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filterPrivacy="1" defaultThemeVersion="124226"/>
  <bookViews>
    <workbookView xWindow="0" yWindow="0" windowWidth="21600" windowHeight="9510"/>
  </bookViews>
  <sheets>
    <sheet name="Лист1" sheetId="1" r:id="rId1"/>
    <sheet name="на 01.03" sheetId="8" r:id="rId2"/>
    <sheet name="на 01.04" sheetId="11" r:id="rId3"/>
  </sheets>
  <calcPr calcId="162913"/>
</workbook>
</file>

<file path=xl/calcChain.xml><?xml version="1.0" encoding="utf-8"?>
<calcChain xmlns="http://schemas.openxmlformats.org/spreadsheetml/2006/main">
  <c r="D9" i="11" l="1"/>
  <c r="D7" i="11" s="1"/>
  <c r="B88" i="8" l="1"/>
  <c r="D47" i="11"/>
  <c r="D20" i="11"/>
  <c r="E8" i="11"/>
  <c r="C9" i="11"/>
  <c r="E9" i="11" s="1"/>
  <c r="D6" i="11"/>
  <c r="E88" i="8" l="1"/>
  <c r="J9" i="11" s="1"/>
  <c r="C88" i="8"/>
  <c r="D25" i="11"/>
  <c r="L31" i="1" l="1"/>
  <c r="C34" i="1"/>
  <c r="C35" i="1" s="1"/>
  <c r="L32" i="1"/>
  <c r="J33" i="1"/>
  <c r="J34" i="1"/>
  <c r="I50" i="1" l="1"/>
  <c r="D6" i="8"/>
  <c r="D7" i="8"/>
  <c r="D8" i="8"/>
  <c r="D9" i="8"/>
  <c r="D10" i="8"/>
  <c r="D12" i="8"/>
  <c r="D13" i="8"/>
  <c r="E41" i="8"/>
  <c r="E29" i="8"/>
  <c r="E20" i="8"/>
  <c r="E3" i="8"/>
  <c r="D69" i="11"/>
  <c r="D70" i="11" l="1"/>
  <c r="P20" i="11"/>
  <c r="E24" i="8"/>
  <c r="E33" i="8"/>
  <c r="E47" i="8"/>
  <c r="E44" i="8" s="1"/>
  <c r="E14" i="8"/>
  <c r="E79" i="8" l="1"/>
  <c r="D45" i="11" l="1"/>
  <c r="J6" i="11" s="1"/>
  <c r="J5" i="11" s="1"/>
  <c r="E95" i="8"/>
  <c r="C6" i="11"/>
  <c r="J21" i="11" l="1"/>
  <c r="J16" i="11"/>
  <c r="J13" i="11"/>
  <c r="D59" i="11"/>
  <c r="D52" i="11"/>
  <c r="D38" i="11"/>
  <c r="D16" i="11"/>
  <c r="D46" i="11" s="1"/>
  <c r="D13" i="11"/>
  <c r="E6" i="11"/>
  <c r="E5" i="11"/>
  <c r="D21" i="11" l="1"/>
  <c r="D26" i="11" s="1"/>
  <c r="D24" i="11"/>
  <c r="D29" i="11" s="1"/>
  <c r="D64" i="11"/>
  <c r="D65" i="11" s="1"/>
  <c r="C50" i="1"/>
  <c r="D48" i="11" l="1"/>
  <c r="D31" i="11"/>
  <c r="D36" i="11" s="1"/>
  <c r="D49" i="11" s="1"/>
  <c r="J28" i="1"/>
  <c r="P14" i="11" s="1"/>
  <c r="I28" i="1"/>
  <c r="H28" i="1"/>
  <c r="P13" i="11" s="1"/>
  <c r="G28" i="1"/>
  <c r="E28" i="1"/>
  <c r="I31" i="1"/>
  <c r="P9" i="11" l="1"/>
  <c r="J11" i="11"/>
  <c r="J10" i="11" s="1"/>
  <c r="J25" i="11" s="1"/>
  <c r="P8" i="11"/>
  <c r="D42" i="11"/>
  <c r="D57" i="11"/>
  <c r="D63" i="11" s="1"/>
  <c r="B14" i="1" l="1"/>
  <c r="B47" i="8" l="1"/>
  <c r="B44" i="8" s="1"/>
  <c r="C41" i="8"/>
  <c r="B33" i="8"/>
  <c r="C29" i="8"/>
  <c r="B29" i="8"/>
  <c r="C24" i="8"/>
  <c r="B24" i="8"/>
  <c r="C20" i="8"/>
  <c r="B20" i="8"/>
  <c r="B14" i="8"/>
  <c r="C3" i="8"/>
  <c r="C14" i="8" l="1"/>
  <c r="C33" i="8"/>
  <c r="C47" i="8"/>
  <c r="C44" i="8" s="1"/>
  <c r="J50" i="1"/>
  <c r="H50" i="1"/>
  <c r="G50" i="1"/>
  <c r="F50" i="1"/>
  <c r="E50" i="1"/>
  <c r="D50" i="1"/>
  <c r="C56" i="1" l="1"/>
  <c r="C55" i="1"/>
  <c r="E51" i="1"/>
  <c r="J51" i="1"/>
  <c r="J52" i="1"/>
  <c r="J53" i="1" s="1"/>
  <c r="I52" i="1"/>
  <c r="I53" i="1" s="1"/>
  <c r="I51" i="1"/>
  <c r="G51" i="1"/>
  <c r="G52" i="1"/>
  <c r="G53" i="1" s="1"/>
  <c r="H51" i="1"/>
  <c r="H52" i="1"/>
  <c r="H53" i="1" s="1"/>
  <c r="E52" i="1"/>
  <c r="E53" i="1" s="1"/>
  <c r="D52" i="1"/>
  <c r="D53" i="1" s="1"/>
  <c r="C79" i="8"/>
  <c r="F51" i="1"/>
  <c r="F52" i="1"/>
  <c r="F53" i="1" s="1"/>
  <c r="D51" i="1"/>
  <c r="C52" i="1"/>
  <c r="C53" i="1" s="1"/>
  <c r="C51" i="1"/>
  <c r="D28" i="1" l="1"/>
  <c r="D11" i="8" s="1"/>
  <c r="P12" i="11" l="1"/>
  <c r="P11" i="11" s="1"/>
  <c r="C31" i="1"/>
  <c r="G31" i="1" s="1"/>
  <c r="D56" i="1" l="1"/>
  <c r="O17" i="1"/>
  <c r="B20" i="1"/>
  <c r="B17" i="1" l="1"/>
  <c r="C28" i="1"/>
  <c r="D4" i="8" s="1"/>
  <c r="K28" i="1"/>
  <c r="D5" i="8" s="1"/>
  <c r="O15" i="1"/>
  <c r="P15" i="1" s="1"/>
  <c r="O18" i="1" l="1"/>
  <c r="P16" i="11"/>
  <c r="P7" i="11"/>
  <c r="P6" i="11" s="1"/>
  <c r="D73" i="11" s="1"/>
  <c r="C30" i="1"/>
  <c r="G30" i="1" s="1"/>
  <c r="B3" i="8"/>
  <c r="B79" i="8" s="1"/>
  <c r="C81" i="8" s="1"/>
  <c r="O13" i="1"/>
  <c r="D55" i="1" l="1"/>
  <c r="E32" i="1"/>
  <c r="E31" i="1" s="1"/>
  <c r="P5" i="11"/>
  <c r="D68" i="11"/>
  <c r="D74" i="11" s="1"/>
  <c r="D3" i="8"/>
  <c r="D79" i="8" s="1"/>
  <c r="E30" i="1" l="1"/>
  <c r="F30" i="1" s="1"/>
  <c r="P25" i="11"/>
  <c r="P28" i="11" s="1"/>
  <c r="O16" i="1" l="1"/>
  <c r="F31" i="1" l="1"/>
  <c r="C32" i="1"/>
  <c r="D30" i="1" l="1"/>
  <c r="H35" i="1"/>
  <c r="F36" i="1" s="1"/>
  <c r="B34" i="1"/>
  <c r="C33" i="1"/>
  <c r="D31" i="1"/>
</calcChain>
</file>

<file path=xl/sharedStrings.xml><?xml version="1.0" encoding="utf-8"?>
<sst xmlns="http://schemas.openxmlformats.org/spreadsheetml/2006/main" count="244" uniqueCount="206">
  <si>
    <t>р/с</t>
  </si>
  <si>
    <t>касса</t>
  </si>
  <si>
    <t>итого</t>
  </si>
  <si>
    <t>касса пр</t>
  </si>
  <si>
    <t>№</t>
  </si>
  <si>
    <t>актив</t>
  </si>
  <si>
    <t>сумма</t>
  </si>
  <si>
    <t>пассив</t>
  </si>
  <si>
    <t>поступление д/с</t>
  </si>
  <si>
    <t>затраты на прочие объекты</t>
  </si>
  <si>
    <t>прочие</t>
  </si>
  <si>
    <t>земля нал</t>
  </si>
  <si>
    <t>дебеторская задолженность</t>
  </si>
  <si>
    <t>текущая задолженность</t>
  </si>
  <si>
    <t>покупатели</t>
  </si>
  <si>
    <t>поставщикам</t>
  </si>
  <si>
    <t>зп, Налоги</t>
  </si>
  <si>
    <t>д/с</t>
  </si>
  <si>
    <t>расходы из прибыли</t>
  </si>
  <si>
    <t>инвестиционный доход</t>
  </si>
  <si>
    <t>потери</t>
  </si>
  <si>
    <t>налоги</t>
  </si>
  <si>
    <t>затраты на АИЖК</t>
  </si>
  <si>
    <t>р/с СП</t>
  </si>
  <si>
    <t>боровое</t>
  </si>
  <si>
    <t>опл с верш</t>
  </si>
  <si>
    <t>маркетинг</t>
  </si>
  <si>
    <t>земля боровое</t>
  </si>
  <si>
    <t>благоустройство</t>
  </si>
  <si>
    <t>окт.14-апр.15</t>
  </si>
  <si>
    <t>% рс</t>
  </si>
  <si>
    <t>% касса</t>
  </si>
  <si>
    <t>корр</t>
  </si>
  <si>
    <t>временные сооружения</t>
  </si>
  <si>
    <t>оплата труда</t>
  </si>
  <si>
    <t>услуги банка</t>
  </si>
  <si>
    <t>устройство свайного поля</t>
  </si>
  <si>
    <t>р/с кп</t>
  </si>
  <si>
    <t>заказчик</t>
  </si>
  <si>
    <t>Статьи движения денежных средств</t>
  </si>
  <si>
    <t>Счет</t>
  </si>
  <si>
    <t>поступления</t>
  </si>
  <si>
    <t>% по депозитам</t>
  </si>
  <si>
    <t>прочие поступления</t>
  </si>
  <si>
    <t>подрядчики счет</t>
  </si>
  <si>
    <t>поступления от покупателей</t>
  </si>
  <si>
    <t>подрядчики нал</t>
  </si>
  <si>
    <t>Оплата труда</t>
  </si>
  <si>
    <t>тех. условия</t>
  </si>
  <si>
    <t>услуги согласований, проектирования, экспертиз</t>
  </si>
  <si>
    <t>зп налоги</t>
  </si>
  <si>
    <t>организационные расходы</t>
  </si>
  <si>
    <t>Общехозяйственные</t>
  </si>
  <si>
    <t>СРО</t>
  </si>
  <si>
    <t>зп офис продаж</t>
  </si>
  <si>
    <t>сопровождение</t>
  </si>
  <si>
    <t>реклама</t>
  </si>
  <si>
    <t>агентства</t>
  </si>
  <si>
    <t>риелторы</t>
  </si>
  <si>
    <t>гос.пошлина</t>
  </si>
  <si>
    <t>страховая</t>
  </si>
  <si>
    <t>офис</t>
  </si>
  <si>
    <t>аренда офиса</t>
  </si>
  <si>
    <t>налоги зп</t>
  </si>
  <si>
    <t>услуги связи</t>
  </si>
  <si>
    <t>хоз. расходы</t>
  </si>
  <si>
    <t>юридические и консультационные услуги</t>
  </si>
  <si>
    <t>прибыль ндс и пр</t>
  </si>
  <si>
    <t>подрядчики</t>
  </si>
  <si>
    <t>стройка</t>
  </si>
  <si>
    <t>з/п стройка</t>
  </si>
  <si>
    <t xml:space="preserve">оплата поставщикам </t>
  </si>
  <si>
    <t>2бктп</t>
  </si>
  <si>
    <t>автостоянка</t>
  </si>
  <si>
    <t>вентиляция</t>
  </si>
  <si>
    <t>вертикальная планировка</t>
  </si>
  <si>
    <t>внутренняя отделка</t>
  </si>
  <si>
    <t>временные дороги</t>
  </si>
  <si>
    <t>временные огрождения</t>
  </si>
  <si>
    <t>временное электроснабжение</t>
  </si>
  <si>
    <t>двери</t>
  </si>
  <si>
    <t>заполнение оконных проемов</t>
  </si>
  <si>
    <t>земляные работы</t>
  </si>
  <si>
    <t>инструмент, спецодежда</t>
  </si>
  <si>
    <t>кладка стен</t>
  </si>
  <si>
    <t>лифты</t>
  </si>
  <si>
    <t>наружные сети</t>
  </si>
  <si>
    <t>обслуживание строительной площадки</t>
  </si>
  <si>
    <t>общие материальные расходы</t>
  </si>
  <si>
    <t>охрана</t>
  </si>
  <si>
    <t>подготовительные работы</t>
  </si>
  <si>
    <t>подкрановые пути</t>
  </si>
  <si>
    <t>услуги спец техники</t>
  </si>
  <si>
    <t>устройство внутр сетей</t>
  </si>
  <si>
    <t>устройство кровли</t>
  </si>
  <si>
    <t>устройство монолитного каркаса</t>
  </si>
  <si>
    <t>устройство фундаментов</t>
  </si>
  <si>
    <t>э/энергия</t>
  </si>
  <si>
    <t>электрика</t>
  </si>
  <si>
    <t>Итого</t>
  </si>
  <si>
    <t>КП</t>
  </si>
  <si>
    <t>КИ</t>
  </si>
  <si>
    <t>КС</t>
  </si>
  <si>
    <t>СП</t>
  </si>
  <si>
    <t>%</t>
  </si>
  <si>
    <t>должно быть</t>
  </si>
  <si>
    <t>корректировка</t>
  </si>
  <si>
    <t>на 01.03.16</t>
  </si>
  <si>
    <t>налоги за офис прод</t>
  </si>
  <si>
    <t>оплата налогов за землю боровое</t>
  </si>
  <si>
    <t>материалы на складе</t>
  </si>
  <si>
    <t>авансы поставщикам</t>
  </si>
  <si>
    <t>возврат янв</t>
  </si>
  <si>
    <t>возврат март</t>
  </si>
  <si>
    <t>на 01.04.16</t>
  </si>
  <si>
    <t>прим.</t>
  </si>
  <si>
    <t>продано</t>
  </si>
  <si>
    <t>будущие продажи</t>
  </si>
  <si>
    <t>итого дохода от продаж долей</t>
  </si>
  <si>
    <t>кол-во кв м</t>
  </si>
  <si>
    <t>средняя цена</t>
  </si>
  <si>
    <t>из табл прод</t>
  </si>
  <si>
    <t>получено д/с</t>
  </si>
  <si>
    <t>к получению в будущем (рассрочки+аккр+ип)</t>
  </si>
  <si>
    <t>фактические затраты по объекту</t>
  </si>
  <si>
    <t>заказчик+земля</t>
  </si>
  <si>
    <t>маркетинг+офис</t>
  </si>
  <si>
    <t>СМР</t>
  </si>
  <si>
    <t>средня с/с 1м2</t>
  </si>
  <si>
    <t>прибыль с объекта</t>
  </si>
  <si>
    <t>прибыль с 1 м2</t>
  </si>
  <si>
    <t>прибыль от депозитов</t>
  </si>
  <si>
    <t>прибыль от переуступок</t>
  </si>
  <si>
    <t>всего прибыль</t>
  </si>
  <si>
    <t>налоги подрядчики</t>
  </si>
  <si>
    <t>налоги будущие Вершины</t>
  </si>
  <si>
    <t>налоги будущие ДК</t>
  </si>
  <si>
    <t>премии</t>
  </si>
  <si>
    <t>итого после расходов</t>
  </si>
  <si>
    <t>произведено затрат</t>
  </si>
  <si>
    <t>доля затрат в общем объеме</t>
  </si>
  <si>
    <t>факт затр/пр з</t>
  </si>
  <si>
    <t>доход от продаж долей</t>
  </si>
  <si>
    <t>доля дохода от продаж на долю затрат</t>
  </si>
  <si>
    <t>доля прибыли отработанная</t>
  </si>
  <si>
    <t>чистая прибыль*%постройки</t>
  </si>
  <si>
    <t>прочий доход (переуступки депозиты)</t>
  </si>
  <si>
    <t>расходы из прибыли факт</t>
  </si>
  <si>
    <t>премии потери</t>
  </si>
  <si>
    <t>итого чистой отработанной прибыли факт</t>
  </si>
  <si>
    <t>выбрано прибыли</t>
  </si>
  <si>
    <t>затраты на др объекты</t>
  </si>
  <si>
    <t>остаток чп к распред</t>
  </si>
  <si>
    <t>получено дохода от продаж</t>
  </si>
  <si>
    <t>получено дохода будущего</t>
  </si>
  <si>
    <t>минус:</t>
  </si>
  <si>
    <t>долги по зп и налогам</t>
  </si>
  <si>
    <t>долги поставщикам</t>
  </si>
  <si>
    <t>остаток д/с к расходу</t>
  </si>
  <si>
    <t>по факту выведено д/с</t>
  </si>
  <si>
    <t>займы</t>
  </si>
  <si>
    <t>остаток чп к получению</t>
  </si>
  <si>
    <t>анализ фактической прибыли Клевер парк</t>
  </si>
  <si>
    <t>общий сводный баланс на 01.04.16 4D</t>
  </si>
  <si>
    <t>кп</t>
  </si>
  <si>
    <t>земля+аренда</t>
  </si>
  <si>
    <t>будущие проекты</t>
  </si>
  <si>
    <t>геодезия, геология</t>
  </si>
  <si>
    <t>кв тут кп</t>
  </si>
  <si>
    <t>зп сп</t>
  </si>
  <si>
    <t>из них 9000 боровое, 3500 аижк</t>
  </si>
  <si>
    <t>боровое все</t>
  </si>
  <si>
    <t>потери (малиновского, пр. объекты)</t>
  </si>
  <si>
    <t>пассив ИТОГО</t>
  </si>
  <si>
    <t>актив ИТОГО</t>
  </si>
  <si>
    <t>ПРОДАЖИ</t>
  </si>
  <si>
    <t>в т.ч. СИПЭК</t>
  </si>
  <si>
    <t>продажи</t>
  </si>
  <si>
    <t>ЗАТРАТЫ</t>
  </si>
  <si>
    <t>РАСЧЕТ ПРИБЫЛИ</t>
  </si>
  <si>
    <t>итого чистая прибыль с объекта (вся прибыль-налоги)</t>
  </si>
  <si>
    <t>ОТРАБОТАННАЯ ПРИБЫЛЬ К РАСПРЕДЕЛЕНИЮ</t>
  </si>
  <si>
    <t>общ д*%факт затрат</t>
  </si>
  <si>
    <t>затраты 2-3 очередь</t>
  </si>
  <si>
    <t>затраты 1 очередь</t>
  </si>
  <si>
    <t>ПРОИЗВЕДЕННЫЕ ЗАТРАТЫ (оплата по факту)</t>
  </si>
  <si>
    <t>заказчик 2-3 очедь</t>
  </si>
  <si>
    <t>р/с Иванов</t>
  </si>
  <si>
    <t>р/с Петров</t>
  </si>
  <si>
    <t>касса Иванов</t>
  </si>
  <si>
    <t>касса Петров</t>
  </si>
  <si>
    <t>земля боровое Иванов</t>
  </si>
  <si>
    <t>земля боровое Петров</t>
  </si>
  <si>
    <t>опл с сми</t>
  </si>
  <si>
    <t>Иванов</t>
  </si>
  <si>
    <t>Петров</t>
  </si>
  <si>
    <t>общие расходы</t>
  </si>
  <si>
    <t>займ Иванов</t>
  </si>
  <si>
    <t>оплата СМИ</t>
  </si>
  <si>
    <t>займ Петров</t>
  </si>
  <si>
    <t>ПО Иванов</t>
  </si>
  <si>
    <t xml:space="preserve">в т.ч. Иванов </t>
  </si>
  <si>
    <t>в т.ч. Иванов р/с</t>
  </si>
  <si>
    <t>Иванов касса</t>
  </si>
  <si>
    <t>Петров р/с</t>
  </si>
  <si>
    <t>Петров касса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</si>
</sst>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р_."/>
    <numFmt numFmtId="165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8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4" fontId="0" fillId="0" borderId="0" xfId="0" applyNumberFormat="1"/>
    <xf numFmtId="164" fontId="0" fillId="0" borderId="1" xfId="0" applyNumberFormat="1" applyBorder="1"/>
    <xf numFmtId="164" fontId="0" fillId="0" borderId="0" xfId="0" applyNumberFormat="1"/>
    <xf numFmtId="0" fontId="4" fillId="0" borderId="1" xfId="0" applyFont="1" applyBorder="1"/>
    <xf numFmtId="17" fontId="0" fillId="0" borderId="1" xfId="0" applyNumberFormat="1" applyBorder="1"/>
    <xf numFmtId="0" fontId="0" fillId="2" borderId="1" xfId="0" applyFill="1" applyBorder="1"/>
    <xf numFmtId="0" fontId="5" fillId="0" borderId="1" xfId="0" applyFont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164" fontId="5" fillId="0" borderId="1" xfId="0" applyNumberFormat="1" applyFont="1" applyBorder="1"/>
    <xf numFmtId="164" fontId="1" fillId="0" borderId="1" xfId="0" applyNumberFormat="1" applyFont="1" applyBorder="1"/>
    <xf numFmtId="164" fontId="4" fillId="0" borderId="1" xfId="0" applyNumberFormat="1" applyFont="1" applyBorder="1"/>
    <xf numFmtId="4" fontId="4" fillId="0" borderId="1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/>
    <xf numFmtId="4" fontId="0" fillId="0" borderId="1" xfId="0" applyNumberFormat="1" applyBorder="1"/>
    <xf numFmtId="165" fontId="0" fillId="0" borderId="1" xfId="0" applyNumberFormat="1" applyBorder="1"/>
    <xf numFmtId="164" fontId="4" fillId="0" borderId="1" xfId="0" applyNumberFormat="1" applyFont="1" applyFill="1" applyBorder="1"/>
    <xf numFmtId="17" fontId="0" fillId="2" borderId="1" xfId="0" applyNumberFormat="1" applyFill="1" applyBorder="1"/>
    <xf numFmtId="17" fontId="0" fillId="0" borderId="1" xfId="0" applyNumberFormat="1" applyFill="1" applyBorder="1"/>
    <xf numFmtId="165" fontId="4" fillId="0" borderId="1" xfId="0" applyNumberFormat="1" applyFont="1" applyBorder="1"/>
    <xf numFmtId="0" fontId="4" fillId="0" borderId="0" xfId="0" applyFont="1"/>
    <xf numFmtId="4" fontId="4" fillId="0" borderId="0" xfId="0" applyNumberFormat="1" applyFont="1"/>
    <xf numFmtId="0" fontId="6" fillId="0" borderId="1" xfId="0" applyFont="1" applyBorder="1"/>
    <xf numFmtId="0" fontId="4" fillId="0" borderId="1" xfId="0" applyFont="1" applyFill="1" applyBorder="1"/>
    <xf numFmtId="165" fontId="0" fillId="0" borderId="1" xfId="0" applyNumberFormat="1" applyFont="1" applyBorder="1"/>
    <xf numFmtId="165" fontId="6" fillId="0" borderId="1" xfId="0" applyNumberFormat="1" applyFont="1" applyBorder="1"/>
    <xf numFmtId="3" fontId="4" fillId="0" borderId="1" xfId="0" applyNumberFormat="1" applyFont="1" applyBorder="1"/>
    <xf numFmtId="3" fontId="0" fillId="0" borderId="1" xfId="0" applyNumberFormat="1" applyFont="1" applyBorder="1"/>
    <xf numFmtId="3" fontId="0" fillId="0" borderId="1" xfId="0" applyNumberFormat="1" applyBorder="1"/>
    <xf numFmtId="2" fontId="0" fillId="0" borderId="1" xfId="0" applyNumberFormat="1" applyFont="1" applyBorder="1"/>
    <xf numFmtId="164" fontId="0" fillId="0" borderId="1" xfId="0" applyNumberFormat="1" applyFont="1" applyFill="1" applyBorder="1"/>
    <xf numFmtId="0" fontId="0" fillId="0" borderId="0" xfId="0" applyFont="1"/>
    <xf numFmtId="0" fontId="0" fillId="4" borderId="1" xfId="0" applyFont="1" applyFill="1" applyBorder="1"/>
    <xf numFmtId="9" fontId="0" fillId="0" borderId="1" xfId="0" applyNumberFormat="1" applyFont="1" applyBorder="1"/>
    <xf numFmtId="0" fontId="8" fillId="0" borderId="1" xfId="0" applyFont="1" applyBorder="1"/>
    <xf numFmtId="164" fontId="8" fillId="0" borderId="1" xfId="0" applyNumberFormat="1" applyFont="1" applyBorder="1"/>
    <xf numFmtId="0" fontId="8" fillId="4" borderId="1" xfId="0" applyFont="1" applyFill="1" applyBorder="1"/>
    <xf numFmtId="164" fontId="8" fillId="0" borderId="1" xfId="0" applyNumberFormat="1" applyFont="1" applyFill="1" applyBorder="1"/>
    <xf numFmtId="0" fontId="9" fillId="0" borderId="1" xfId="0" applyFont="1" applyFill="1" applyBorder="1"/>
    <xf numFmtId="0" fontId="9" fillId="0" borderId="1" xfId="0" applyFont="1" applyBorder="1"/>
    <xf numFmtId="164" fontId="9" fillId="0" borderId="1" xfId="0" applyNumberFormat="1" applyFont="1" applyFill="1" applyBorder="1"/>
    <xf numFmtId="0" fontId="7" fillId="0" borderId="1" xfId="0" applyFont="1" applyBorder="1"/>
    <xf numFmtId="0" fontId="8" fillId="0" borderId="0" xfId="0" applyFont="1"/>
    <xf numFmtId="0" fontId="1" fillId="0" borderId="0" xfId="0" applyFont="1" applyFill="1" applyBorder="1"/>
    <xf numFmtId="4" fontId="3" fillId="0" borderId="2" xfId="1" applyNumberFormat="1" applyFont="1" applyBorder="1" applyAlignment="1">
      <alignment horizontal="right" vertical="top" wrapText="1"/>
    </xf>
    <xf numFmtId="0" fontId="3" fillId="0" borderId="2" xfId="1" applyNumberFormat="1" applyFont="1" applyBorder="1" applyAlignment="1">
      <alignment horizontal="right" vertical="top" wrapText="1"/>
    </xf>
    <xf numFmtId="0" fontId="0" fillId="0" borderId="1" xfId="0" applyBorder="1" applyAlignment="1"/>
    <xf numFmtId="0" fontId="4" fillId="0" borderId="0" xfId="0" applyFont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6"/>
  <sheetViews>
    <sheetView tabSelected="1" topLeftCell="A10" workbookViewId="0">
      <selection activeCell="K37" sqref="K37"/>
    </sheetView>
  </sheetViews>
  <sheetFormatPr defaultRowHeight="15" x14ac:dyDescent="0.25"/>
  <cols>
    <col min="1" max="1" width="13.28515625" bestFit="1" customWidth="1"/>
    <col min="2" max="2" width="15" bestFit="1" customWidth="1"/>
    <col min="3" max="3" width="15.42578125" bestFit="1" customWidth="1"/>
    <col min="4" max="4" width="15" bestFit="1" customWidth="1"/>
    <col min="5" max="6" width="14.28515625" bestFit="1" customWidth="1"/>
    <col min="7" max="7" width="15.140625" bestFit="1" customWidth="1"/>
    <col min="8" max="8" width="13.5703125" bestFit="1" customWidth="1"/>
    <col min="9" max="9" width="23.7109375" bestFit="1" customWidth="1"/>
    <col min="10" max="10" width="21.42578125" bestFit="1" customWidth="1"/>
    <col min="11" max="11" width="30.140625" bestFit="1" customWidth="1"/>
    <col min="12" max="12" width="13.5703125" bestFit="1" customWidth="1"/>
    <col min="13" max="13" width="17.42578125" bestFit="1" customWidth="1"/>
    <col min="14" max="14" width="12.42578125" bestFit="1" customWidth="1"/>
    <col min="15" max="15" width="13.28515625" bestFit="1" customWidth="1"/>
    <col min="16" max="16" width="10" bestFit="1" customWidth="1"/>
  </cols>
  <sheetData>
    <row r="2" spans="1:16" x14ac:dyDescent="0.25">
      <c r="C2" s="50"/>
      <c r="D2" s="50"/>
    </row>
    <row r="3" spans="1:16" x14ac:dyDescent="0.25">
      <c r="C3" s="50"/>
      <c r="D3" s="50"/>
    </row>
    <row r="4" spans="1:16" x14ac:dyDescent="0.25">
      <c r="C4" s="50"/>
      <c r="D4" s="50"/>
    </row>
    <row r="5" spans="1:16" x14ac:dyDescent="0.25">
      <c r="C5" s="50"/>
      <c r="D5" s="50"/>
    </row>
    <row r="6" spans="1:16" x14ac:dyDescent="0.25">
      <c r="C6" s="50"/>
      <c r="D6" s="50"/>
    </row>
    <row r="7" spans="1:16" x14ac:dyDescent="0.25">
      <c r="D7" s="51"/>
      <c r="E7" s="51"/>
    </row>
    <row r="8" spans="1:16" x14ac:dyDescent="0.25">
      <c r="D8" s="50"/>
      <c r="E8" s="50"/>
    </row>
    <row r="9" spans="1:16" x14ac:dyDescent="0.25">
      <c r="K9" s="50"/>
      <c r="L9" s="50"/>
    </row>
    <row r="10" spans="1:16" x14ac:dyDescent="0.25">
      <c r="K10" s="50"/>
      <c r="L10" s="50"/>
    </row>
    <row r="11" spans="1:16" x14ac:dyDescent="0.25">
      <c r="C11" s="4"/>
      <c r="D11" s="4"/>
      <c r="K11" s="50"/>
      <c r="L11" s="50"/>
      <c r="M11" s="4"/>
    </row>
    <row r="12" spans="1:16" x14ac:dyDescent="0.25">
      <c r="L12" s="4"/>
    </row>
    <row r="13" spans="1:16" x14ac:dyDescent="0.25">
      <c r="A13" s="1"/>
      <c r="B13" s="1" t="s">
        <v>30</v>
      </c>
      <c r="C13" s="1" t="s">
        <v>187</v>
      </c>
      <c r="D13" s="1" t="s">
        <v>188</v>
      </c>
      <c r="E13" s="1" t="s">
        <v>3</v>
      </c>
      <c r="F13" s="1" t="s">
        <v>31</v>
      </c>
      <c r="G13" s="1" t="s">
        <v>189</v>
      </c>
      <c r="H13" s="1" t="s">
        <v>190</v>
      </c>
      <c r="I13" s="2" t="s">
        <v>191</v>
      </c>
      <c r="J13" s="2" t="s">
        <v>192</v>
      </c>
      <c r="K13" s="2" t="s">
        <v>193</v>
      </c>
      <c r="M13" t="s">
        <v>202</v>
      </c>
      <c r="N13">
        <v>95750000</v>
      </c>
      <c r="O13" s="4">
        <f>N13-C28</f>
        <v>94725000</v>
      </c>
    </row>
    <row r="14" spans="1:16" x14ac:dyDescent="0.25">
      <c r="A14" s="9" t="s">
        <v>29</v>
      </c>
      <c r="B14" s="1" t="e">
        <f>C14/(C14+D14)*100</f>
        <v>#DIV/0!</v>
      </c>
      <c r="C14" s="1"/>
      <c r="D14" s="1"/>
      <c r="E14" s="1"/>
      <c r="F14" s="1"/>
      <c r="G14" s="1"/>
      <c r="H14" s="1"/>
      <c r="I14" s="2"/>
      <c r="J14" s="2"/>
      <c r="K14" s="2"/>
      <c r="O14" s="4"/>
    </row>
    <row r="15" spans="1:16" x14ac:dyDescent="0.25">
      <c r="A15" s="23">
        <v>42125</v>
      </c>
      <c r="B15" s="1"/>
      <c r="C15" s="1"/>
      <c r="D15" s="1"/>
      <c r="E15" s="1"/>
      <c r="F15" s="1"/>
      <c r="G15" s="1"/>
      <c r="H15" s="1"/>
      <c r="I15" s="1">
        <v>85000</v>
      </c>
      <c r="J15" s="1">
        <v>15000</v>
      </c>
      <c r="K15" s="1"/>
      <c r="M15" t="s">
        <v>203</v>
      </c>
      <c r="N15">
        <v>10778787</v>
      </c>
      <c r="O15" s="4">
        <f>N15-G28-I28</f>
        <v>10688787</v>
      </c>
      <c r="P15" s="4">
        <f>O15+O17</f>
        <v>12831487</v>
      </c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t="s">
        <v>204</v>
      </c>
      <c r="N16">
        <v>16500000</v>
      </c>
      <c r="O16" s="4">
        <f>N16-D28</f>
        <v>16319000</v>
      </c>
    </row>
    <row r="17" spans="1:15" x14ac:dyDescent="0.25">
      <c r="A17" s="23">
        <v>42156</v>
      </c>
      <c r="B17" s="1" t="e">
        <f t="shared" ref="B17" si="0">C17/(C17+D17)*100</f>
        <v>#DIV/0!</v>
      </c>
      <c r="C17" s="1"/>
      <c r="D17" s="1"/>
      <c r="E17" s="1"/>
      <c r="F17" s="1"/>
      <c r="G17" s="1">
        <v>5000</v>
      </c>
      <c r="H17" s="1"/>
      <c r="I17" s="1"/>
      <c r="J17" s="1"/>
      <c r="K17" s="1"/>
      <c r="M17" t="s">
        <v>205</v>
      </c>
      <c r="N17">
        <v>2158700</v>
      </c>
      <c r="O17" s="4">
        <f>N17-H28-J28</f>
        <v>2142700</v>
      </c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t="s">
        <v>25</v>
      </c>
      <c r="N18">
        <v>681266.45</v>
      </c>
      <c r="O18" s="4">
        <f>N18-K28</f>
        <v>-153733.55000000005</v>
      </c>
    </row>
    <row r="19" spans="1:15" x14ac:dyDescent="0.25">
      <c r="A19" s="23">
        <v>42248</v>
      </c>
      <c r="B19" s="1"/>
      <c r="C19" s="1"/>
      <c r="D19" s="1"/>
      <c r="E19" s="1"/>
      <c r="F19" s="1"/>
      <c r="G19" s="1"/>
      <c r="H19" s="1">
        <v>1000</v>
      </c>
      <c r="I19" s="1"/>
      <c r="J19" s="1"/>
      <c r="K19" s="1">
        <v>500000</v>
      </c>
    </row>
    <row r="20" spans="1:15" x14ac:dyDescent="0.25">
      <c r="A20" s="23">
        <v>42278</v>
      </c>
      <c r="B20" s="1">
        <f>C20/(C20+D20)*100</f>
        <v>76.923076923076934</v>
      </c>
      <c r="C20" s="1">
        <v>350000</v>
      </c>
      <c r="D20" s="9">
        <v>105000</v>
      </c>
      <c r="E20" s="1"/>
      <c r="F20" s="1" t="s">
        <v>32</v>
      </c>
      <c r="G20" s="9"/>
      <c r="H20" s="9"/>
      <c r="I20" s="1"/>
      <c r="J20" s="1"/>
      <c r="K20" s="1"/>
    </row>
    <row r="21" spans="1:15" x14ac:dyDescent="0.25">
      <c r="A21" s="23">
        <v>42309</v>
      </c>
      <c r="B21" s="2"/>
      <c r="C21" s="5"/>
      <c r="D21" s="5"/>
      <c r="E21" s="5"/>
      <c r="F21" s="5"/>
      <c r="G21" s="5"/>
      <c r="H21" s="5"/>
      <c r="I21" s="5"/>
      <c r="J21" s="5"/>
      <c r="K21" s="1"/>
    </row>
    <row r="22" spans="1:15" x14ac:dyDescent="0.25">
      <c r="A22" s="23">
        <v>42339</v>
      </c>
      <c r="B22" s="2"/>
      <c r="C22" s="5"/>
      <c r="D22" s="5"/>
      <c r="E22" s="5"/>
      <c r="F22" s="5"/>
      <c r="G22" s="5"/>
      <c r="H22" s="5"/>
      <c r="I22" s="5"/>
      <c r="J22" s="5"/>
      <c r="K22" s="1">
        <v>100000</v>
      </c>
    </row>
    <row r="23" spans="1:15" x14ac:dyDescent="0.25">
      <c r="A23" s="23">
        <v>42370</v>
      </c>
      <c r="B23" s="2"/>
      <c r="C23" s="5">
        <v>25000</v>
      </c>
      <c r="D23" s="5"/>
      <c r="E23" s="5"/>
      <c r="F23" s="5"/>
      <c r="G23" s="5"/>
      <c r="H23" s="5"/>
      <c r="I23" s="5"/>
      <c r="J23" s="5"/>
      <c r="K23" s="1"/>
    </row>
    <row r="24" spans="1:15" x14ac:dyDescent="0.25">
      <c r="A24" s="23">
        <v>42401</v>
      </c>
      <c r="B24" s="2"/>
      <c r="C24" s="5">
        <v>650000</v>
      </c>
      <c r="D24" s="5">
        <v>36000</v>
      </c>
      <c r="E24" s="5"/>
      <c r="F24" s="5"/>
      <c r="G24" s="5"/>
      <c r="H24" s="5"/>
      <c r="I24" s="5"/>
      <c r="J24" s="5"/>
      <c r="K24" s="1"/>
    </row>
    <row r="25" spans="1:15" x14ac:dyDescent="0.25">
      <c r="A25" s="23" t="s">
        <v>112</v>
      </c>
      <c r="B25" s="2"/>
      <c r="C25" s="5"/>
      <c r="D25" s="5">
        <v>40000</v>
      </c>
      <c r="E25" s="5"/>
      <c r="F25" s="5"/>
      <c r="G25" s="5"/>
      <c r="H25" s="5"/>
      <c r="I25" s="5"/>
      <c r="J25" s="5"/>
      <c r="K25" s="1">
        <v>235000</v>
      </c>
    </row>
    <row r="26" spans="1:15" x14ac:dyDescent="0.25">
      <c r="A26" s="8" t="s">
        <v>113</v>
      </c>
      <c r="B26" s="2"/>
      <c r="C26" s="5"/>
      <c r="D26" s="5"/>
      <c r="E26" s="5"/>
      <c r="F26" s="5"/>
      <c r="G26" s="5"/>
      <c r="H26" s="5"/>
      <c r="I26" s="5"/>
      <c r="J26" s="5"/>
      <c r="K26" s="1"/>
    </row>
    <row r="27" spans="1:15" x14ac:dyDescent="0.25">
      <c r="A27" s="8">
        <v>42430</v>
      </c>
      <c r="B27" s="2"/>
      <c r="C27" s="5"/>
      <c r="D27" s="5"/>
      <c r="E27" s="5"/>
      <c r="F27" s="5"/>
      <c r="G27" s="5"/>
      <c r="H27" s="5"/>
      <c r="I27" s="5"/>
      <c r="J27" s="5"/>
      <c r="K27" s="1"/>
    </row>
    <row r="28" spans="1:15" x14ac:dyDescent="0.25">
      <c r="A28" s="7" t="s">
        <v>2</v>
      </c>
      <c r="B28" s="7"/>
      <c r="C28" s="15">
        <f>SUM(C14:C27)</f>
        <v>1025000</v>
      </c>
      <c r="D28" s="15">
        <f>SUM(D14:D27)</f>
        <v>181000</v>
      </c>
      <c r="E28" s="15">
        <f>SUM(E14:E27)</f>
        <v>0</v>
      </c>
      <c r="F28" s="7"/>
      <c r="G28" s="15">
        <f>SUM(G14:G27)</f>
        <v>5000</v>
      </c>
      <c r="H28" s="15">
        <f>SUM(H14:H27)</f>
        <v>1000</v>
      </c>
      <c r="I28" s="15">
        <f>SUM(I14:I27)</f>
        <v>85000</v>
      </c>
      <c r="J28" s="15">
        <f>SUM(J14:J27)</f>
        <v>15000</v>
      </c>
      <c r="K28" s="15">
        <f>SUM(K14:K27)</f>
        <v>835000</v>
      </c>
    </row>
    <row r="29" spans="1:15" x14ac:dyDescent="0.25">
      <c r="G29" t="s">
        <v>164</v>
      </c>
    </row>
    <row r="30" spans="1:15" x14ac:dyDescent="0.25">
      <c r="B30" s="7" t="s">
        <v>194</v>
      </c>
      <c r="C30" s="16">
        <f>C28+G28+I28+E28</f>
        <v>1115000</v>
      </c>
      <c r="D30" s="1">
        <f>C30/C32</f>
        <v>0.84984756097560976</v>
      </c>
      <c r="E30" s="1">
        <f>E32*0.85</f>
        <v>1115000</v>
      </c>
      <c r="F30" s="20">
        <f>C30-E30</f>
        <v>0</v>
      </c>
      <c r="G30" s="4" t="e">
        <f>C30-#REF!-#REF!</f>
        <v>#REF!</v>
      </c>
      <c r="L30" s="4"/>
    </row>
    <row r="31" spans="1:15" x14ac:dyDescent="0.25">
      <c r="B31" s="7" t="s">
        <v>195</v>
      </c>
      <c r="C31" s="16">
        <f>D28+H28+J28</f>
        <v>197000</v>
      </c>
      <c r="D31" s="1">
        <f>C31/C32</f>
        <v>0.15015243902439024</v>
      </c>
      <c r="E31" s="1">
        <f>E32*0.15</f>
        <v>196764.70588235295</v>
      </c>
      <c r="F31" s="20">
        <f>C31-E31</f>
        <v>235.29411764704855</v>
      </c>
      <c r="G31" s="4" t="e">
        <f>C31-#REF!-#REF!</f>
        <v>#REF!</v>
      </c>
      <c r="I31" s="4">
        <f>C26+C27+D26+D27+G27</f>
        <v>0</v>
      </c>
      <c r="K31" s="4"/>
      <c r="L31">
        <f>7000000+6776400+1024598</f>
        <v>14800998</v>
      </c>
      <c r="M31" s="5"/>
      <c r="N31" s="5"/>
    </row>
    <row r="32" spans="1:15" x14ac:dyDescent="0.25">
      <c r="B32" s="7" t="s">
        <v>2</v>
      </c>
      <c r="C32" s="16">
        <f>C30+C31</f>
        <v>1312000</v>
      </c>
      <c r="D32" s="1"/>
      <c r="E32" s="1">
        <f>C30/85*100</f>
        <v>1311764.705882353</v>
      </c>
      <c r="F32" s="1"/>
      <c r="L32" s="4">
        <f>C27-L31</f>
        <v>-14800998</v>
      </c>
      <c r="M32" s="5"/>
      <c r="N32" s="5"/>
    </row>
    <row r="33" spans="2:14" x14ac:dyDescent="0.25">
      <c r="C33" s="4" t="e">
        <f>C32-#REF!</f>
        <v>#REF!</v>
      </c>
      <c r="H33" s="6"/>
      <c r="J33">
        <f>15618016-9914038</f>
        <v>5703978</v>
      </c>
      <c r="M33" s="5"/>
      <c r="N33" s="5"/>
    </row>
    <row r="34" spans="2:14" x14ac:dyDescent="0.25">
      <c r="B34" s="4" t="e">
        <f>C32-#REF!-#REF!-#REF!-#REF!</f>
        <v>#REF!</v>
      </c>
      <c r="C34" s="4">
        <f>7000000+6776400+409500</f>
        <v>14185900</v>
      </c>
      <c r="J34">
        <f>23566016-20000000</f>
        <v>3566016</v>
      </c>
    </row>
    <row r="35" spans="2:14" x14ac:dyDescent="0.25">
      <c r="C35" s="4">
        <f>C27-C34</f>
        <v>-14185900</v>
      </c>
      <c r="F35">
        <v>10332790.640000001</v>
      </c>
      <c r="G35" t="s">
        <v>171</v>
      </c>
      <c r="H35" s="4">
        <f>C32-F35-140437823</f>
        <v>-149458613.63999999</v>
      </c>
    </row>
    <row r="36" spans="2:14" x14ac:dyDescent="0.25">
      <c r="F36" s="4">
        <f>F35+H35</f>
        <v>-139125823</v>
      </c>
    </row>
    <row r="37" spans="2:14" x14ac:dyDescent="0.25">
      <c r="B37" s="1"/>
      <c r="C37" s="52" t="s">
        <v>100</v>
      </c>
      <c r="D37" s="52"/>
      <c r="E37" s="52" t="s">
        <v>101</v>
      </c>
      <c r="F37" s="52"/>
      <c r="G37" s="52" t="s">
        <v>102</v>
      </c>
      <c r="H37" s="52"/>
      <c r="I37" s="52" t="s">
        <v>103</v>
      </c>
      <c r="J37" s="52"/>
    </row>
    <row r="38" spans="2:14" x14ac:dyDescent="0.25">
      <c r="B38" s="1"/>
      <c r="C38" s="1" t="s">
        <v>194</v>
      </c>
      <c r="D38" s="1" t="s">
        <v>195</v>
      </c>
      <c r="E38" s="1" t="s">
        <v>194</v>
      </c>
      <c r="F38" s="1" t="s">
        <v>195</v>
      </c>
      <c r="G38" s="1" t="s">
        <v>194</v>
      </c>
      <c r="H38" s="1" t="s">
        <v>195</v>
      </c>
      <c r="I38" s="1" t="s">
        <v>194</v>
      </c>
      <c r="J38" s="1" t="s">
        <v>195</v>
      </c>
    </row>
    <row r="39" spans="2:14" x14ac:dyDescent="0.25">
      <c r="B39" s="24">
        <v>42095</v>
      </c>
      <c r="C39" s="21"/>
      <c r="D39" s="21"/>
      <c r="E39" s="21"/>
      <c r="F39" s="21"/>
      <c r="G39" s="21"/>
      <c r="H39" s="21"/>
      <c r="I39" s="21"/>
      <c r="J39" s="21"/>
    </row>
    <row r="40" spans="2:14" x14ac:dyDescent="0.25">
      <c r="B40" s="24">
        <v>42125</v>
      </c>
      <c r="C40" s="21"/>
      <c r="D40" s="21"/>
      <c r="E40" s="21"/>
      <c r="F40" s="21"/>
      <c r="G40" s="21"/>
      <c r="H40" s="21"/>
      <c r="I40" s="21">
        <v>85000</v>
      </c>
      <c r="J40" s="21">
        <v>15000</v>
      </c>
    </row>
    <row r="41" spans="2:14" x14ac:dyDescent="0.25">
      <c r="B41" s="24">
        <v>42156</v>
      </c>
      <c r="C41" s="21"/>
      <c r="D41" s="21"/>
      <c r="E41" s="21"/>
      <c r="F41" s="21"/>
      <c r="G41" s="21"/>
      <c r="H41" s="21"/>
      <c r="I41" s="21">
        <v>5000</v>
      </c>
      <c r="J41" s="21"/>
    </row>
    <row r="42" spans="2:14" x14ac:dyDescent="0.25">
      <c r="B42" s="24">
        <v>42248</v>
      </c>
      <c r="C42" s="21"/>
      <c r="D42" s="21"/>
      <c r="E42" s="21"/>
      <c r="F42" s="21"/>
      <c r="G42" s="21"/>
      <c r="H42" s="21"/>
      <c r="I42" s="21"/>
      <c r="J42" s="21">
        <v>1000</v>
      </c>
    </row>
    <row r="43" spans="2:14" x14ac:dyDescent="0.25">
      <c r="B43" s="24">
        <v>42278</v>
      </c>
      <c r="C43" s="21">
        <v>350000</v>
      </c>
      <c r="D43" s="21"/>
      <c r="E43" s="21"/>
      <c r="F43" s="21">
        <v>105000</v>
      </c>
      <c r="G43" s="21"/>
      <c r="H43" s="21"/>
      <c r="I43" s="21"/>
      <c r="J43" s="21"/>
    </row>
    <row r="44" spans="2:14" x14ac:dyDescent="0.25">
      <c r="B44" s="24">
        <v>42309</v>
      </c>
      <c r="C44" s="21"/>
      <c r="D44" s="21"/>
      <c r="E44" s="21"/>
      <c r="F44" s="21"/>
      <c r="G44" s="21"/>
      <c r="H44" s="21"/>
      <c r="I44" s="21"/>
      <c r="J44" s="21"/>
    </row>
    <row r="45" spans="2:14" x14ac:dyDescent="0.25">
      <c r="B45" s="24">
        <v>42339</v>
      </c>
      <c r="C45" s="21"/>
      <c r="D45" s="21"/>
      <c r="E45" s="21"/>
      <c r="F45" s="21"/>
      <c r="G45" s="21"/>
      <c r="H45" s="21"/>
      <c r="I45" s="21"/>
      <c r="J45" s="21"/>
    </row>
    <row r="46" spans="2:14" x14ac:dyDescent="0.25">
      <c r="B46" s="24">
        <v>42370</v>
      </c>
      <c r="C46" s="21"/>
      <c r="D46" s="21"/>
      <c r="E46" s="21"/>
      <c r="F46" s="21"/>
      <c r="G46" s="21">
        <v>25000</v>
      </c>
      <c r="H46" s="21"/>
      <c r="I46" s="21"/>
      <c r="J46" s="21"/>
    </row>
    <row r="47" spans="2:14" x14ac:dyDescent="0.25">
      <c r="B47" s="24">
        <v>42401</v>
      </c>
      <c r="C47" s="21">
        <v>650000</v>
      </c>
      <c r="D47" s="21">
        <v>36000</v>
      </c>
      <c r="E47" s="21"/>
      <c r="F47" s="21"/>
      <c r="G47" s="21"/>
      <c r="H47" s="21">
        <v>40000</v>
      </c>
      <c r="I47" s="21"/>
      <c r="J47" s="21"/>
    </row>
    <row r="48" spans="2:14" x14ac:dyDescent="0.25">
      <c r="B48" s="8">
        <v>42430</v>
      </c>
      <c r="C48" s="21"/>
      <c r="D48" s="21"/>
      <c r="E48" s="21"/>
      <c r="F48" s="21"/>
      <c r="G48" s="21"/>
      <c r="H48" s="21"/>
      <c r="I48" s="21"/>
      <c r="J48" s="21"/>
    </row>
    <row r="49" spans="1:11" x14ac:dyDescent="0.25">
      <c r="B49" s="8">
        <v>42461</v>
      </c>
      <c r="C49" s="21"/>
      <c r="D49" s="21"/>
      <c r="E49" s="21"/>
      <c r="F49" s="21"/>
      <c r="G49" s="21"/>
      <c r="H49" s="21"/>
      <c r="I49" s="21"/>
      <c r="J49" s="21"/>
    </row>
    <row r="50" spans="1:11" x14ac:dyDescent="0.25">
      <c r="A50" s="4"/>
      <c r="B50" s="7" t="s">
        <v>6</v>
      </c>
      <c r="C50" s="25">
        <f>SUM(C39:C48)</f>
        <v>1000000</v>
      </c>
      <c r="D50" s="25">
        <f t="shared" ref="D50:J50" si="1">SUM(D39:D48)</f>
        <v>36000</v>
      </c>
      <c r="E50" s="25">
        <f t="shared" si="1"/>
        <v>0</v>
      </c>
      <c r="F50" s="25">
        <f t="shared" si="1"/>
        <v>105000</v>
      </c>
      <c r="G50" s="25">
        <f t="shared" si="1"/>
        <v>25000</v>
      </c>
      <c r="H50" s="25">
        <f t="shared" si="1"/>
        <v>40000</v>
      </c>
      <c r="I50" s="25">
        <f>SUM(I39:I49)</f>
        <v>90000</v>
      </c>
      <c r="J50" s="25">
        <f t="shared" si="1"/>
        <v>16000</v>
      </c>
      <c r="K50" t="s">
        <v>170</v>
      </c>
    </row>
    <row r="51" spans="1:11" x14ac:dyDescent="0.25">
      <c r="B51" s="1" t="s">
        <v>104</v>
      </c>
      <c r="C51" s="21">
        <f>C50/(C50+D50)</f>
        <v>0.96525096525096521</v>
      </c>
      <c r="D51" s="21">
        <f>D50/(C50+D50)</f>
        <v>3.4749034749034749E-2</v>
      </c>
      <c r="E51" s="21">
        <f>E50/(E50+F50)</f>
        <v>0</v>
      </c>
      <c r="F51" s="21">
        <f>F50/(E50+F50)</f>
        <v>1</v>
      </c>
      <c r="G51" s="21">
        <f>G50/(G50+H50)</f>
        <v>0.38461538461538464</v>
      </c>
      <c r="H51" s="21">
        <f>H50/(G50+H50)</f>
        <v>0.61538461538461542</v>
      </c>
      <c r="I51" s="21">
        <f>I50/(I50+J50)</f>
        <v>0.84905660377358494</v>
      </c>
      <c r="J51" s="21">
        <f>J50/(I50+J50)</f>
        <v>0.15094339622641509</v>
      </c>
    </row>
    <row r="52" spans="1:11" x14ac:dyDescent="0.25">
      <c r="B52" s="1" t="s">
        <v>105</v>
      </c>
      <c r="C52" s="21">
        <f>(C50+D50)*0.85</f>
        <v>880600</v>
      </c>
      <c r="D52" s="21">
        <f>(C50+D50)*0.15</f>
        <v>155400</v>
      </c>
      <c r="E52" s="21">
        <f>(E50+F50)*0.85</f>
        <v>89250</v>
      </c>
      <c r="F52" s="21">
        <f>(E50+F50)*0.15</f>
        <v>15750</v>
      </c>
      <c r="G52" s="21">
        <f>(G50+H50)*0.85</f>
        <v>55250</v>
      </c>
      <c r="H52" s="21">
        <f>(G50+H50)*0.15</f>
        <v>9750</v>
      </c>
      <c r="I52" s="21">
        <f>(I50+J50)*0.85</f>
        <v>90100</v>
      </c>
      <c r="J52" s="21">
        <f>(I50+J50)*0.15</f>
        <v>15900</v>
      </c>
    </row>
    <row r="53" spans="1:11" x14ac:dyDescent="0.25">
      <c r="B53" s="1" t="s">
        <v>106</v>
      </c>
      <c r="C53" s="21">
        <f>C52-C50</f>
        <v>-119400</v>
      </c>
      <c r="D53" s="21">
        <f t="shared" ref="D53:J53" si="2">D52-D50</f>
        <v>119400</v>
      </c>
      <c r="E53" s="21">
        <f t="shared" si="2"/>
        <v>89250</v>
      </c>
      <c r="F53" s="21">
        <f t="shared" si="2"/>
        <v>-89250</v>
      </c>
      <c r="G53" s="21">
        <f t="shared" si="2"/>
        <v>30250</v>
      </c>
      <c r="H53" s="21">
        <f t="shared" si="2"/>
        <v>-30250</v>
      </c>
      <c r="I53" s="21">
        <f t="shared" si="2"/>
        <v>100</v>
      </c>
      <c r="J53" s="21">
        <f t="shared" si="2"/>
        <v>-100</v>
      </c>
    </row>
    <row r="55" spans="1:11" x14ac:dyDescent="0.25">
      <c r="B55" s="26" t="s">
        <v>194</v>
      </c>
      <c r="C55" s="27">
        <f>C50+E50+G50+I50</f>
        <v>1115000</v>
      </c>
      <c r="D55" s="4">
        <f>C30-C55</f>
        <v>0</v>
      </c>
    </row>
    <row r="56" spans="1:11" x14ac:dyDescent="0.25">
      <c r="B56" s="26" t="s">
        <v>195</v>
      </c>
      <c r="C56" s="27">
        <f>D50+F50+H50+J50</f>
        <v>197000</v>
      </c>
      <c r="D56" s="4">
        <f>C31-C56</f>
        <v>0</v>
      </c>
    </row>
  </sheetData>
  <mergeCells count="14">
    <mergeCell ref="C37:D37"/>
    <mergeCell ref="E37:F37"/>
    <mergeCell ref="G37:H37"/>
    <mergeCell ref="I37:J37"/>
    <mergeCell ref="D8:E8"/>
    <mergeCell ref="K9:L9"/>
    <mergeCell ref="K10:L10"/>
    <mergeCell ref="K11:L11"/>
    <mergeCell ref="D7:E7"/>
    <mergeCell ref="C2:D2"/>
    <mergeCell ref="C3:D3"/>
    <mergeCell ref="C4:D4"/>
    <mergeCell ref="C5:D5"/>
    <mergeCell ref="C6:D6"/>
  </mergeCells>
  <pageMargins left="0.25" right="0.25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A6" sqref="A6"/>
    </sheetView>
  </sheetViews>
  <sheetFormatPr defaultRowHeight="15" x14ac:dyDescent="0.25"/>
  <cols>
    <col min="1" max="1" width="44.42578125" bestFit="1" customWidth="1"/>
    <col min="2" max="3" width="15.42578125" bestFit="1" customWidth="1"/>
    <col min="4" max="5" width="15.42578125" customWidth="1"/>
    <col min="6" max="6" width="12.42578125" bestFit="1" customWidth="1"/>
    <col min="9" max="9" width="28" bestFit="1" customWidth="1"/>
    <col min="10" max="11" width="15.28515625" bestFit="1" customWidth="1"/>
    <col min="12" max="12" width="3.7109375" customWidth="1"/>
    <col min="13" max="13" width="3.85546875" customWidth="1"/>
    <col min="15" max="15" width="23.85546875" bestFit="1" customWidth="1"/>
    <col min="16" max="16" width="15.28515625" bestFit="1" customWidth="1"/>
  </cols>
  <sheetData>
    <row r="1" spans="1:16" x14ac:dyDescent="0.25">
      <c r="A1" s="10" t="s">
        <v>39</v>
      </c>
      <c r="B1" s="10" t="s">
        <v>107</v>
      </c>
      <c r="C1" s="10"/>
      <c r="D1" s="10" t="s">
        <v>114</v>
      </c>
      <c r="E1" s="10"/>
      <c r="H1" s="53"/>
      <c r="I1" s="53"/>
      <c r="J1" s="53"/>
      <c r="K1" s="53"/>
      <c r="L1" s="53"/>
      <c r="M1" s="53"/>
      <c r="N1" s="53"/>
      <c r="O1" s="53"/>
      <c r="P1" s="53"/>
    </row>
    <row r="2" spans="1:16" x14ac:dyDescent="0.25">
      <c r="A2" s="10" t="s">
        <v>40</v>
      </c>
      <c r="B2" s="10"/>
      <c r="C2" s="10"/>
      <c r="D2" s="10"/>
      <c r="E2" s="10"/>
    </row>
    <row r="3" spans="1:16" x14ac:dyDescent="0.25">
      <c r="A3" s="11" t="s">
        <v>41</v>
      </c>
      <c r="B3" s="12">
        <f>SUM(B4:B13)</f>
        <v>0</v>
      </c>
      <c r="C3" s="12">
        <f>SUM(C4:C13)</f>
        <v>0</v>
      </c>
      <c r="D3" s="12">
        <f>SUM(D4:D13)</f>
        <v>2147000</v>
      </c>
      <c r="E3" s="12">
        <f>SUM(E4:E13)</f>
        <v>0</v>
      </c>
      <c r="F3" s="4"/>
      <c r="H3" s="7"/>
      <c r="I3" s="7"/>
      <c r="J3" s="7"/>
      <c r="N3" s="7"/>
      <c r="O3" s="7"/>
      <c r="P3" s="7"/>
    </row>
    <row r="4" spans="1:16" x14ac:dyDescent="0.25">
      <c r="A4" s="10" t="s">
        <v>197</v>
      </c>
      <c r="B4" s="13"/>
      <c r="C4" s="13"/>
      <c r="D4" s="13">
        <f>Лист1!C28+Лист1!E28+Лист1!G28+Лист1!I28</f>
        <v>1115000</v>
      </c>
      <c r="E4" s="13"/>
      <c r="H4" s="7"/>
      <c r="I4" s="7"/>
      <c r="J4" s="15"/>
      <c r="K4" s="6"/>
      <c r="N4" s="7"/>
      <c r="O4" s="7"/>
      <c r="P4" s="15"/>
    </row>
    <row r="5" spans="1:16" x14ac:dyDescent="0.25">
      <c r="A5" s="10" t="s">
        <v>198</v>
      </c>
      <c r="B5" s="13"/>
      <c r="C5" s="13"/>
      <c r="D5" s="13">
        <f>Лист1!K28</f>
        <v>835000</v>
      </c>
      <c r="E5" s="13"/>
      <c r="H5" s="7"/>
      <c r="I5" s="17"/>
      <c r="J5" s="18"/>
      <c r="N5" s="1"/>
      <c r="O5" s="1"/>
      <c r="P5" s="5"/>
    </row>
    <row r="6" spans="1:16" x14ac:dyDescent="0.25">
      <c r="A6" s="10" t="s">
        <v>42</v>
      </c>
      <c r="B6" s="13"/>
      <c r="C6" s="13"/>
      <c r="D6" s="13">
        <f t="shared" ref="D6:D13" si="0">B6</f>
        <v>0</v>
      </c>
      <c r="E6" s="13"/>
      <c r="H6" s="7"/>
      <c r="I6" s="17"/>
      <c r="J6" s="18"/>
      <c r="N6" s="1"/>
      <c r="O6" s="1"/>
      <c r="P6" s="5"/>
    </row>
    <row r="7" spans="1:16" x14ac:dyDescent="0.25">
      <c r="A7" s="10" t="s">
        <v>43</v>
      </c>
      <c r="B7" s="13"/>
      <c r="C7" s="13"/>
      <c r="D7" s="13">
        <f t="shared" si="0"/>
        <v>0</v>
      </c>
      <c r="E7" s="13"/>
      <c r="H7" s="7"/>
      <c r="I7" s="17"/>
      <c r="J7" s="1"/>
      <c r="N7" s="1"/>
      <c r="O7" s="1"/>
      <c r="P7" s="5"/>
    </row>
    <row r="8" spans="1:16" x14ac:dyDescent="0.25">
      <c r="A8" s="10" t="s">
        <v>44</v>
      </c>
      <c r="B8" s="13"/>
      <c r="C8" s="13"/>
      <c r="D8" s="13">
        <f t="shared" si="0"/>
        <v>0</v>
      </c>
      <c r="E8" s="13"/>
      <c r="H8" s="1"/>
      <c r="I8" s="7"/>
      <c r="J8" s="7"/>
      <c r="N8" s="1"/>
      <c r="O8" s="1"/>
      <c r="P8" s="1"/>
    </row>
    <row r="9" spans="1:16" x14ac:dyDescent="0.25">
      <c r="A9" s="10" t="s">
        <v>15</v>
      </c>
      <c r="B9" s="13"/>
      <c r="C9" s="13"/>
      <c r="D9" s="13">
        <f t="shared" si="0"/>
        <v>0</v>
      </c>
      <c r="E9" s="13"/>
      <c r="H9" s="1"/>
      <c r="I9" s="1"/>
      <c r="J9" s="1"/>
      <c r="N9" s="1"/>
      <c r="O9" s="1"/>
      <c r="P9" s="1"/>
    </row>
    <row r="10" spans="1:16" x14ac:dyDescent="0.25">
      <c r="A10" s="10" t="s">
        <v>200</v>
      </c>
      <c r="B10" s="13"/>
      <c r="C10" s="13"/>
      <c r="D10" s="13">
        <f t="shared" si="0"/>
        <v>0</v>
      </c>
      <c r="E10" s="13"/>
      <c r="H10" s="7"/>
      <c r="I10" s="1"/>
      <c r="J10" s="1"/>
      <c r="N10" s="7"/>
      <c r="O10" s="7"/>
      <c r="P10" s="7"/>
    </row>
    <row r="11" spans="1:16" x14ac:dyDescent="0.25">
      <c r="A11" s="10" t="s">
        <v>199</v>
      </c>
      <c r="B11" s="13"/>
      <c r="C11" s="13"/>
      <c r="D11" s="13">
        <f>Лист1!D28+Лист1!H28+Лист1!J28</f>
        <v>197000</v>
      </c>
      <c r="E11" s="13"/>
      <c r="H11" s="1"/>
      <c r="I11" s="7"/>
      <c r="J11" s="7"/>
      <c r="N11" s="1"/>
      <c r="O11" s="1"/>
      <c r="P11" s="1"/>
    </row>
    <row r="12" spans="1:16" x14ac:dyDescent="0.25">
      <c r="A12" s="10" t="s">
        <v>45</v>
      </c>
      <c r="B12" s="13"/>
      <c r="C12" s="13"/>
      <c r="D12" s="13">
        <f t="shared" si="0"/>
        <v>0</v>
      </c>
      <c r="E12" s="13"/>
      <c r="H12" s="7"/>
      <c r="I12" s="1"/>
      <c r="N12" s="1"/>
      <c r="O12" s="1"/>
      <c r="P12" s="1"/>
    </row>
    <row r="13" spans="1:16" x14ac:dyDescent="0.25">
      <c r="A13" s="10" t="s">
        <v>46</v>
      </c>
      <c r="B13" s="13"/>
      <c r="C13" s="13"/>
      <c r="D13" s="13">
        <f t="shared" si="0"/>
        <v>0</v>
      </c>
      <c r="E13" s="13"/>
      <c r="H13" s="1"/>
      <c r="I13" s="7"/>
      <c r="J13" s="7"/>
      <c r="N13" s="1"/>
      <c r="O13" s="1"/>
      <c r="P13" s="1"/>
    </row>
    <row r="14" spans="1:16" x14ac:dyDescent="0.25">
      <c r="A14" s="11" t="s">
        <v>38</v>
      </c>
      <c r="B14" s="12">
        <f>SUM(B15:B19)</f>
        <v>0</v>
      </c>
      <c r="C14" s="12">
        <f>SUM(C15:C19)</f>
        <v>0</v>
      </c>
      <c r="D14" s="12"/>
      <c r="E14" s="12">
        <f>SUM(E15:E19)</f>
        <v>121000</v>
      </c>
      <c r="H14" s="1"/>
      <c r="I14" s="1"/>
      <c r="J14" s="1"/>
      <c r="N14" s="1"/>
      <c r="O14" s="1"/>
      <c r="P14" s="1"/>
    </row>
    <row r="15" spans="1:16" x14ac:dyDescent="0.25">
      <c r="A15" s="10" t="s">
        <v>47</v>
      </c>
      <c r="B15" s="13"/>
      <c r="C15" s="13"/>
      <c r="D15" s="13"/>
      <c r="E15" s="13">
        <v>5000</v>
      </c>
      <c r="H15" s="1"/>
      <c r="I15" s="1"/>
      <c r="J15" s="1"/>
      <c r="N15" s="7"/>
      <c r="O15" s="7"/>
      <c r="P15" s="15"/>
    </row>
    <row r="16" spans="1:16" x14ac:dyDescent="0.25">
      <c r="A16" s="10" t="s">
        <v>48</v>
      </c>
      <c r="B16" s="13"/>
      <c r="C16" s="13"/>
      <c r="D16" s="13"/>
      <c r="E16" s="13">
        <v>1000</v>
      </c>
      <c r="H16" s="7"/>
      <c r="I16" s="1"/>
      <c r="J16" s="1"/>
      <c r="P16" s="6"/>
    </row>
    <row r="17" spans="1:16" x14ac:dyDescent="0.25">
      <c r="A17" s="10" t="s">
        <v>49</v>
      </c>
      <c r="B17" s="13"/>
      <c r="C17" s="13"/>
      <c r="D17" s="13"/>
      <c r="E17" s="13"/>
      <c r="H17" s="1"/>
      <c r="I17" s="7"/>
      <c r="J17" s="7"/>
    </row>
    <row r="18" spans="1:16" x14ac:dyDescent="0.25">
      <c r="A18" s="10" t="s">
        <v>165</v>
      </c>
      <c r="B18" s="13"/>
      <c r="C18" s="13"/>
      <c r="D18" s="13"/>
      <c r="E18" s="13">
        <v>100000</v>
      </c>
      <c r="H18" s="1"/>
      <c r="I18" s="1"/>
      <c r="J18" s="1"/>
      <c r="P18" s="19"/>
    </row>
    <row r="19" spans="1:16" x14ac:dyDescent="0.25">
      <c r="A19" s="10" t="s">
        <v>50</v>
      </c>
      <c r="B19" s="13"/>
      <c r="C19" s="13"/>
      <c r="D19" s="13"/>
      <c r="E19" s="13">
        <v>15000</v>
      </c>
      <c r="H19" s="1"/>
      <c r="I19" s="1"/>
      <c r="J19" s="1"/>
      <c r="P19" s="4"/>
    </row>
    <row r="20" spans="1:16" x14ac:dyDescent="0.25">
      <c r="A20" s="11" t="s">
        <v>51</v>
      </c>
      <c r="B20" s="12">
        <f>SUM(B21:B23)</f>
        <v>0</v>
      </c>
      <c r="C20" s="12">
        <f>SUM(C21:C23)</f>
        <v>0</v>
      </c>
      <c r="D20" s="12"/>
      <c r="E20" s="12">
        <f>SUM(E21:E23)</f>
        <v>25000</v>
      </c>
      <c r="H20" s="7"/>
      <c r="I20" s="1"/>
      <c r="J20" s="1"/>
      <c r="K20" s="4"/>
      <c r="P20" s="4"/>
    </row>
    <row r="21" spans="1:16" x14ac:dyDescent="0.25">
      <c r="A21" s="10" t="s">
        <v>26</v>
      </c>
      <c r="B21" s="13"/>
      <c r="C21" s="10"/>
      <c r="D21" s="10"/>
      <c r="E21" s="10"/>
      <c r="I21" s="7"/>
      <c r="J21" s="16"/>
    </row>
    <row r="22" spans="1:16" x14ac:dyDescent="0.25">
      <c r="A22" s="10" t="s">
        <v>52</v>
      </c>
      <c r="B22" s="13"/>
      <c r="C22" s="10"/>
      <c r="D22" s="10"/>
      <c r="E22" s="10">
        <v>25000</v>
      </c>
      <c r="P22" s="4"/>
    </row>
    <row r="23" spans="1:16" x14ac:dyDescent="0.25">
      <c r="A23" s="10" t="s">
        <v>53</v>
      </c>
      <c r="B23" s="13"/>
      <c r="C23" s="10"/>
      <c r="D23" s="10"/>
      <c r="E23" s="10"/>
    </row>
    <row r="24" spans="1:16" x14ac:dyDescent="0.25">
      <c r="A24" s="11" t="s">
        <v>26</v>
      </c>
      <c r="B24" s="12">
        <f>SUM(B25:B28)</f>
        <v>0</v>
      </c>
      <c r="C24" s="12">
        <f>SUM(C25:C28)</f>
        <v>0</v>
      </c>
      <c r="D24" s="12"/>
      <c r="E24" s="12">
        <f>SUM(E25:E28)</f>
        <v>52900</v>
      </c>
      <c r="P24" s="4"/>
    </row>
    <row r="25" spans="1:16" x14ac:dyDescent="0.25">
      <c r="A25" s="10" t="s">
        <v>54</v>
      </c>
      <c r="B25" s="13"/>
      <c r="C25" s="13"/>
      <c r="D25" s="13"/>
      <c r="E25" s="13">
        <v>16900</v>
      </c>
      <c r="P25" s="4"/>
    </row>
    <row r="26" spans="1:16" x14ac:dyDescent="0.25">
      <c r="A26" s="10" t="s">
        <v>108</v>
      </c>
      <c r="B26" s="13"/>
      <c r="C26" s="13"/>
      <c r="D26" s="13"/>
      <c r="E26" s="13"/>
      <c r="J26" s="4"/>
      <c r="O26" s="4"/>
    </row>
    <row r="27" spans="1:16" x14ac:dyDescent="0.25">
      <c r="A27" s="10" t="s">
        <v>55</v>
      </c>
      <c r="B27" s="13"/>
      <c r="C27" s="13"/>
      <c r="D27" s="13"/>
      <c r="E27" s="13">
        <v>36000</v>
      </c>
      <c r="J27" s="4"/>
    </row>
    <row r="28" spans="1:16" x14ac:dyDescent="0.25">
      <c r="A28" s="10" t="s">
        <v>56</v>
      </c>
      <c r="B28" s="13"/>
      <c r="C28" s="13"/>
      <c r="D28" s="13"/>
      <c r="E28" s="13"/>
      <c r="J28" s="4"/>
    </row>
    <row r="29" spans="1:16" x14ac:dyDescent="0.25">
      <c r="A29" s="11" t="s">
        <v>57</v>
      </c>
      <c r="B29" s="12">
        <f>SUM(B30:B32)</f>
        <v>0</v>
      </c>
      <c r="C29" s="12">
        <f>SUM(C30:C32)</f>
        <v>0</v>
      </c>
      <c r="D29" s="12"/>
      <c r="E29" s="12">
        <f>SUM(E30:E32)</f>
        <v>12000</v>
      </c>
    </row>
    <row r="30" spans="1:16" x14ac:dyDescent="0.25">
      <c r="A30" s="10" t="s">
        <v>58</v>
      </c>
      <c r="B30" s="13"/>
      <c r="C30" s="13"/>
      <c r="D30" s="13"/>
      <c r="E30" s="13"/>
    </row>
    <row r="31" spans="1:16" x14ac:dyDescent="0.25">
      <c r="A31" s="10" t="s">
        <v>59</v>
      </c>
      <c r="B31" s="13"/>
      <c r="C31" s="13"/>
      <c r="D31" s="13"/>
      <c r="E31" s="13"/>
      <c r="J31" s="4"/>
    </row>
    <row r="32" spans="1:16" x14ac:dyDescent="0.25">
      <c r="A32" s="10" t="s">
        <v>60</v>
      </c>
      <c r="B32" s="13"/>
      <c r="C32" s="13"/>
      <c r="D32" s="13"/>
      <c r="E32" s="13">
        <v>12000</v>
      </c>
    </row>
    <row r="33" spans="1:5" x14ac:dyDescent="0.25">
      <c r="A33" s="11" t="s">
        <v>61</v>
      </c>
      <c r="B33" s="12">
        <f>SUM(B34:B43)</f>
        <v>0</v>
      </c>
      <c r="C33" s="12">
        <f>SUM(C34:C40)</f>
        <v>0</v>
      </c>
      <c r="D33" s="12"/>
      <c r="E33" s="12">
        <f>SUM(E34:E40)</f>
        <v>244000</v>
      </c>
    </row>
    <row r="34" spans="1:5" x14ac:dyDescent="0.25">
      <c r="A34" s="10" t="s">
        <v>62</v>
      </c>
      <c r="B34" s="13"/>
      <c r="C34" s="13"/>
      <c r="D34" s="13"/>
      <c r="E34" s="13">
        <v>156000</v>
      </c>
    </row>
    <row r="35" spans="1:5" x14ac:dyDescent="0.25">
      <c r="A35" s="10" t="s">
        <v>34</v>
      </c>
      <c r="B35" s="13"/>
      <c r="C35" s="13"/>
      <c r="D35" s="13"/>
      <c r="E35" s="13"/>
    </row>
    <row r="36" spans="1:5" x14ac:dyDescent="0.25">
      <c r="A36" s="10" t="s">
        <v>63</v>
      </c>
      <c r="B36" s="13"/>
      <c r="C36" s="13"/>
      <c r="D36" s="13"/>
      <c r="E36" s="13"/>
    </row>
    <row r="37" spans="1:5" x14ac:dyDescent="0.25">
      <c r="A37" s="10" t="s">
        <v>35</v>
      </c>
      <c r="B37" s="13"/>
      <c r="C37" s="13"/>
      <c r="D37" s="13"/>
      <c r="E37" s="13">
        <v>23000</v>
      </c>
    </row>
    <row r="38" spans="1:5" x14ac:dyDescent="0.25">
      <c r="A38" s="10" t="s">
        <v>64</v>
      </c>
      <c r="B38" s="13"/>
      <c r="C38" s="13"/>
      <c r="D38" s="13"/>
      <c r="E38" s="13"/>
    </row>
    <row r="39" spans="1:5" x14ac:dyDescent="0.25">
      <c r="A39" s="10" t="s">
        <v>65</v>
      </c>
      <c r="B39" s="13"/>
      <c r="C39" s="13"/>
      <c r="D39" s="13"/>
      <c r="E39" s="13">
        <v>65000</v>
      </c>
    </row>
    <row r="40" spans="1:5" x14ac:dyDescent="0.25">
      <c r="A40" s="10" t="s">
        <v>66</v>
      </c>
      <c r="B40" s="13"/>
      <c r="C40" s="13"/>
      <c r="D40" s="13"/>
      <c r="E40" s="13"/>
    </row>
    <row r="41" spans="1:5" x14ac:dyDescent="0.25">
      <c r="A41" s="11" t="s">
        <v>21</v>
      </c>
      <c r="B41" s="12"/>
      <c r="C41" s="12">
        <f>SUM(C42:C43)</f>
        <v>0</v>
      </c>
      <c r="D41" s="12"/>
      <c r="E41" s="12">
        <f>SUM(E42:E43)</f>
        <v>0</v>
      </c>
    </row>
    <row r="42" spans="1:5" x14ac:dyDescent="0.25">
      <c r="A42" s="10" t="s">
        <v>67</v>
      </c>
      <c r="B42" s="13"/>
      <c r="C42" s="13"/>
      <c r="D42" s="13"/>
      <c r="E42" s="13"/>
    </row>
    <row r="43" spans="1:5" x14ac:dyDescent="0.25">
      <c r="A43" s="10" t="s">
        <v>68</v>
      </c>
      <c r="B43" s="13"/>
      <c r="C43" s="13"/>
      <c r="D43" s="13"/>
      <c r="E43" s="13"/>
    </row>
    <row r="44" spans="1:5" x14ac:dyDescent="0.25">
      <c r="A44" s="11" t="s">
        <v>69</v>
      </c>
      <c r="B44" s="12">
        <f>SUM(B45:B47)</f>
        <v>0</v>
      </c>
      <c r="C44" s="12">
        <f>SUM(C45:C47)</f>
        <v>0</v>
      </c>
      <c r="D44" s="12"/>
      <c r="E44" s="12">
        <f>SUM(E45:E47)</f>
        <v>1136000</v>
      </c>
    </row>
    <row r="45" spans="1:5" x14ac:dyDescent="0.25">
      <c r="A45" s="10" t="s">
        <v>70</v>
      </c>
      <c r="B45" s="13"/>
      <c r="C45" s="13"/>
      <c r="D45" s="13"/>
      <c r="E45" s="13"/>
    </row>
    <row r="46" spans="1:5" x14ac:dyDescent="0.25">
      <c r="A46" s="10" t="s">
        <v>50</v>
      </c>
      <c r="B46" s="13"/>
      <c r="C46" s="13"/>
      <c r="D46" s="13"/>
      <c r="E46" s="13"/>
    </row>
    <row r="47" spans="1:5" x14ac:dyDescent="0.25">
      <c r="A47" s="3" t="s">
        <v>71</v>
      </c>
      <c r="B47" s="14">
        <f>SUM(B50:B78)</f>
        <v>0</v>
      </c>
      <c r="C47" s="14">
        <f>SUM(C48:C78)</f>
        <v>0</v>
      </c>
      <c r="D47" s="14"/>
      <c r="E47" s="14">
        <f>SUM(E48:E78)</f>
        <v>1136000</v>
      </c>
    </row>
    <row r="48" spans="1:5" x14ac:dyDescent="0.25">
      <c r="A48" s="10" t="s">
        <v>72</v>
      </c>
      <c r="B48" s="14"/>
      <c r="C48" s="13"/>
      <c r="D48" s="13"/>
      <c r="E48" s="13"/>
    </row>
    <row r="49" spans="1:5" x14ac:dyDescent="0.25">
      <c r="A49" s="10" t="s">
        <v>73</v>
      </c>
      <c r="B49" s="14"/>
      <c r="C49" s="13"/>
      <c r="D49" s="13"/>
      <c r="E49" s="13"/>
    </row>
    <row r="50" spans="1:5" x14ac:dyDescent="0.25">
      <c r="A50" s="10" t="s">
        <v>28</v>
      </c>
      <c r="B50" s="13"/>
      <c r="C50" s="13"/>
      <c r="D50" s="13"/>
      <c r="E50" s="13">
        <v>520000</v>
      </c>
    </row>
    <row r="51" spans="1:5" x14ac:dyDescent="0.25">
      <c r="A51" s="10" t="s">
        <v>74</v>
      </c>
      <c r="B51" s="13"/>
      <c r="C51" s="13"/>
      <c r="D51" s="13"/>
      <c r="E51" s="13"/>
    </row>
    <row r="52" spans="1:5" x14ac:dyDescent="0.25">
      <c r="A52" s="10" t="s">
        <v>75</v>
      </c>
      <c r="B52" s="13"/>
      <c r="C52" s="13"/>
      <c r="D52" s="13"/>
      <c r="E52" s="13"/>
    </row>
    <row r="53" spans="1:5" x14ac:dyDescent="0.25">
      <c r="A53" s="10" t="s">
        <v>76</v>
      </c>
      <c r="B53" s="13"/>
      <c r="C53" s="13"/>
      <c r="D53" s="13"/>
      <c r="E53" s="13"/>
    </row>
    <row r="54" spans="1:5" x14ac:dyDescent="0.25">
      <c r="A54" s="10" t="s">
        <v>77</v>
      </c>
      <c r="B54" s="13"/>
      <c r="C54" s="13"/>
      <c r="D54" s="13"/>
      <c r="E54" s="13">
        <v>360000</v>
      </c>
    </row>
    <row r="55" spans="1:5" x14ac:dyDescent="0.25">
      <c r="A55" s="10" t="s">
        <v>33</v>
      </c>
      <c r="B55" s="13"/>
      <c r="C55" s="1"/>
      <c r="D55" s="1"/>
      <c r="E55" s="1"/>
    </row>
    <row r="56" spans="1:5" x14ac:dyDescent="0.25">
      <c r="A56" s="10" t="s">
        <v>78</v>
      </c>
      <c r="B56" s="13"/>
      <c r="C56" s="13"/>
      <c r="D56" s="13"/>
      <c r="E56" s="13"/>
    </row>
    <row r="57" spans="1:5" x14ac:dyDescent="0.25">
      <c r="A57" s="10" t="s">
        <v>79</v>
      </c>
      <c r="B57" s="13"/>
      <c r="C57" s="13"/>
      <c r="D57" s="13"/>
      <c r="E57" s="13"/>
    </row>
    <row r="58" spans="1:5" x14ac:dyDescent="0.25">
      <c r="A58" s="10" t="s">
        <v>167</v>
      </c>
      <c r="B58" s="13"/>
      <c r="C58" s="13"/>
      <c r="D58" s="13"/>
      <c r="E58" s="13"/>
    </row>
    <row r="59" spans="1:5" x14ac:dyDescent="0.25">
      <c r="A59" s="10" t="s">
        <v>80</v>
      </c>
      <c r="B59" s="13"/>
      <c r="C59" s="13"/>
      <c r="D59" s="13"/>
      <c r="E59" s="13"/>
    </row>
    <row r="60" spans="1:5" x14ac:dyDescent="0.25">
      <c r="A60" s="10" t="s">
        <v>81</v>
      </c>
      <c r="B60" s="13"/>
      <c r="C60" s="13"/>
      <c r="D60" s="13"/>
      <c r="E60" s="13"/>
    </row>
    <row r="61" spans="1:5" x14ac:dyDescent="0.25">
      <c r="A61" s="10" t="s">
        <v>82</v>
      </c>
      <c r="B61" s="13"/>
      <c r="C61" s="13"/>
      <c r="D61" s="13"/>
      <c r="E61" s="13"/>
    </row>
    <row r="62" spans="1:5" x14ac:dyDescent="0.25">
      <c r="A62" s="10" t="s">
        <v>83</v>
      </c>
      <c r="B62" s="13"/>
      <c r="C62" s="13"/>
      <c r="D62" s="13"/>
      <c r="E62" s="13"/>
    </row>
    <row r="63" spans="1:5" x14ac:dyDescent="0.25">
      <c r="A63" s="10" t="s">
        <v>84</v>
      </c>
      <c r="B63" s="13"/>
      <c r="C63" s="13"/>
      <c r="D63" s="13"/>
      <c r="E63" s="13"/>
    </row>
    <row r="64" spans="1:5" x14ac:dyDescent="0.25">
      <c r="A64" s="10" t="s">
        <v>85</v>
      </c>
      <c r="B64" s="13"/>
      <c r="C64" s="13"/>
      <c r="D64" s="13"/>
      <c r="E64" s="13"/>
    </row>
    <row r="65" spans="1:5" x14ac:dyDescent="0.25">
      <c r="A65" s="10" t="s">
        <v>86</v>
      </c>
      <c r="B65" s="13"/>
      <c r="C65" s="13"/>
      <c r="D65" s="13"/>
      <c r="E65" s="13"/>
    </row>
    <row r="66" spans="1:5" x14ac:dyDescent="0.25">
      <c r="A66" s="10" t="s">
        <v>87</v>
      </c>
      <c r="B66" s="13"/>
      <c r="C66" s="13"/>
      <c r="D66" s="13"/>
      <c r="E66" s="13"/>
    </row>
    <row r="67" spans="1:5" x14ac:dyDescent="0.25">
      <c r="A67" s="10" t="s">
        <v>88</v>
      </c>
      <c r="B67" s="13"/>
      <c r="C67" s="13"/>
      <c r="D67" s="13"/>
      <c r="E67" s="13"/>
    </row>
    <row r="68" spans="1:5" x14ac:dyDescent="0.25">
      <c r="A68" s="10" t="s">
        <v>89</v>
      </c>
      <c r="B68" s="13"/>
      <c r="C68" s="13"/>
      <c r="D68" s="13"/>
      <c r="E68" s="13"/>
    </row>
    <row r="69" spans="1:5" x14ac:dyDescent="0.25">
      <c r="A69" s="10" t="s">
        <v>90</v>
      </c>
      <c r="B69" s="13"/>
      <c r="C69" s="13"/>
      <c r="D69" s="13"/>
      <c r="E69" s="13">
        <v>256000</v>
      </c>
    </row>
    <row r="70" spans="1:5" x14ac:dyDescent="0.25">
      <c r="A70" s="10" t="s">
        <v>91</v>
      </c>
      <c r="B70" s="13"/>
      <c r="C70" s="13"/>
      <c r="D70" s="13"/>
      <c r="E70" s="13"/>
    </row>
    <row r="71" spans="1:5" x14ac:dyDescent="0.25">
      <c r="A71" s="10" t="s">
        <v>92</v>
      </c>
      <c r="B71" s="13"/>
      <c r="C71" s="13"/>
      <c r="D71" s="13"/>
      <c r="E71" s="13"/>
    </row>
    <row r="72" spans="1:5" x14ac:dyDescent="0.25">
      <c r="A72" s="10" t="s">
        <v>93</v>
      </c>
      <c r="B72" s="13"/>
      <c r="C72" s="13"/>
      <c r="D72" s="13"/>
      <c r="E72" s="13"/>
    </row>
    <row r="73" spans="1:5" x14ac:dyDescent="0.25">
      <c r="A73" s="10" t="s">
        <v>94</v>
      </c>
      <c r="B73" s="13"/>
      <c r="C73" s="13"/>
      <c r="D73" s="13"/>
      <c r="E73" s="13"/>
    </row>
    <row r="74" spans="1:5" x14ac:dyDescent="0.25">
      <c r="A74" s="10" t="s">
        <v>95</v>
      </c>
      <c r="B74" s="13"/>
      <c r="C74" s="13"/>
      <c r="D74" s="13"/>
      <c r="E74" s="13"/>
    </row>
    <row r="75" spans="1:5" x14ac:dyDescent="0.25">
      <c r="A75" s="10" t="s">
        <v>96</v>
      </c>
      <c r="B75" s="13"/>
      <c r="C75" s="13"/>
      <c r="D75" s="13"/>
      <c r="E75" s="13"/>
    </row>
    <row r="76" spans="1:5" x14ac:dyDescent="0.25">
      <c r="A76" s="10" t="s">
        <v>36</v>
      </c>
      <c r="B76" s="13"/>
      <c r="C76" s="13"/>
      <c r="D76" s="13"/>
      <c r="E76" s="13"/>
    </row>
    <row r="77" spans="1:5" x14ac:dyDescent="0.25">
      <c r="A77" s="10" t="s">
        <v>97</v>
      </c>
      <c r="B77" s="13"/>
      <c r="C77" s="13"/>
      <c r="D77" s="13"/>
      <c r="E77" s="13"/>
    </row>
    <row r="78" spans="1:5" x14ac:dyDescent="0.25">
      <c r="A78" s="10" t="s">
        <v>98</v>
      </c>
      <c r="B78" s="13"/>
      <c r="C78" s="13"/>
      <c r="D78" s="13"/>
      <c r="E78" s="13"/>
    </row>
    <row r="79" spans="1:5" x14ac:dyDescent="0.25">
      <c r="A79" s="10" t="s">
        <v>99</v>
      </c>
      <c r="B79" s="13">
        <f>B44+B33+B29+B24+B20+B14+B3</f>
        <v>0</v>
      </c>
      <c r="C79" s="13">
        <f>C44+C33+C29+C24+C20+C14+C3+C41</f>
        <v>0</v>
      </c>
      <c r="D79" s="13">
        <f>D44+D33+D29+D24+D20+D14+D3</f>
        <v>2147000</v>
      </c>
      <c r="E79" s="13">
        <f>E44+E33+E29+E24+E20+E14+E3+E41</f>
        <v>1590900</v>
      </c>
    </row>
    <row r="81" spans="1:5" x14ac:dyDescent="0.25">
      <c r="C81" s="4">
        <f>B79-C79</f>
        <v>0</v>
      </c>
      <c r="D81" s="4"/>
      <c r="E81" s="4"/>
    </row>
    <row r="83" spans="1:5" x14ac:dyDescent="0.25">
      <c r="A83" t="s">
        <v>109</v>
      </c>
      <c r="C83">
        <v>105459</v>
      </c>
    </row>
    <row r="84" spans="1:5" x14ac:dyDescent="0.25">
      <c r="A84" t="s">
        <v>166</v>
      </c>
      <c r="C84">
        <v>10000</v>
      </c>
    </row>
    <row r="85" spans="1:5" x14ac:dyDescent="0.25">
      <c r="A85" t="s">
        <v>169</v>
      </c>
      <c r="C85">
        <v>6738</v>
      </c>
    </row>
    <row r="88" spans="1:5" x14ac:dyDescent="0.25">
      <c r="A88" s="11" t="s">
        <v>186</v>
      </c>
      <c r="B88" s="12">
        <f>SUM(B89:B93)</f>
        <v>0</v>
      </c>
      <c r="C88" s="12">
        <f>SUM(C89:C93)</f>
        <v>0</v>
      </c>
      <c r="D88" s="12"/>
      <c r="E88" s="12">
        <f>SUM(E89:E93)</f>
        <v>350000</v>
      </c>
    </row>
    <row r="89" spans="1:5" x14ac:dyDescent="0.25">
      <c r="A89" s="10" t="s">
        <v>47</v>
      </c>
      <c r="B89" s="13"/>
      <c r="C89" s="13"/>
      <c r="D89" s="13"/>
      <c r="E89" s="13"/>
    </row>
    <row r="90" spans="1:5" x14ac:dyDescent="0.25">
      <c r="A90" s="10" t="s">
        <v>48</v>
      </c>
      <c r="B90" s="13"/>
      <c r="C90" s="13"/>
      <c r="D90" s="13"/>
      <c r="E90" s="13"/>
    </row>
    <row r="91" spans="1:5" x14ac:dyDescent="0.25">
      <c r="A91" s="10" t="s">
        <v>49</v>
      </c>
      <c r="B91" s="13"/>
      <c r="C91" s="13"/>
      <c r="D91" s="13"/>
      <c r="E91" s="13">
        <v>350000</v>
      </c>
    </row>
    <row r="92" spans="1:5" x14ac:dyDescent="0.25">
      <c r="A92" s="10" t="s">
        <v>165</v>
      </c>
      <c r="B92" s="13"/>
      <c r="C92" s="13"/>
      <c r="D92" s="13"/>
      <c r="E92" s="13"/>
    </row>
    <row r="93" spans="1:5" x14ac:dyDescent="0.25">
      <c r="A93" s="10" t="s">
        <v>50</v>
      </c>
      <c r="B93" s="13"/>
      <c r="C93" s="13"/>
      <c r="D93" s="13"/>
      <c r="E93" s="13"/>
    </row>
    <row r="95" spans="1:5" x14ac:dyDescent="0.25">
      <c r="A95" s="49" t="s">
        <v>196</v>
      </c>
      <c r="B95" s="26"/>
      <c r="C95" s="26"/>
      <c r="D95" s="26"/>
      <c r="E95" s="27">
        <f>E88+E79</f>
        <v>1940900</v>
      </c>
    </row>
  </sheetData>
  <mergeCells count="1">
    <mergeCell ref="H1:P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workbookViewId="0">
      <selection activeCell="P23" sqref="P23"/>
    </sheetView>
  </sheetViews>
  <sheetFormatPr defaultRowHeight="15" x14ac:dyDescent="0.25"/>
  <cols>
    <col min="2" max="2" width="43.85546875" bestFit="1" customWidth="1"/>
    <col min="3" max="3" width="10.85546875" customWidth="1"/>
    <col min="4" max="4" width="17.42578125" bestFit="1" customWidth="1"/>
    <col min="5" max="5" width="10.42578125" customWidth="1"/>
    <col min="6" max="6" width="13.5703125" bestFit="1" customWidth="1"/>
    <col min="9" max="9" width="28" bestFit="1" customWidth="1"/>
    <col min="10" max="10" width="15.28515625" bestFit="1" customWidth="1"/>
    <col min="15" max="15" width="23.85546875" bestFit="1" customWidth="1"/>
    <col min="16" max="16" width="15.85546875" bestFit="1" customWidth="1"/>
    <col min="17" max="17" width="14.28515625" bestFit="1" customWidth="1"/>
  </cols>
  <sheetData>
    <row r="1" spans="1:17" x14ac:dyDescent="0.25">
      <c r="A1" s="37"/>
      <c r="B1" s="37"/>
      <c r="C1" s="37"/>
      <c r="D1" s="37"/>
      <c r="E1" s="48" t="s">
        <v>114</v>
      </c>
    </row>
    <row r="2" spans="1:17" x14ac:dyDescent="0.25">
      <c r="A2" s="37"/>
      <c r="B2" s="57" t="s">
        <v>162</v>
      </c>
      <c r="C2" s="58"/>
      <c r="D2" s="58"/>
      <c r="E2" s="59"/>
      <c r="H2" s="60" t="s">
        <v>163</v>
      </c>
      <c r="I2" s="60"/>
      <c r="J2" s="60"/>
      <c r="K2" s="60"/>
      <c r="L2" s="60"/>
      <c r="M2" s="60"/>
      <c r="N2" s="60"/>
      <c r="O2" s="60"/>
      <c r="P2" s="60"/>
    </row>
    <row r="3" spans="1:17" x14ac:dyDescent="0.25">
      <c r="A3" s="37"/>
      <c r="B3" s="17"/>
      <c r="C3" s="17" t="s">
        <v>115</v>
      </c>
      <c r="D3" s="17" t="s">
        <v>6</v>
      </c>
      <c r="E3" s="17"/>
    </row>
    <row r="4" spans="1:17" x14ac:dyDescent="0.25">
      <c r="A4" s="37"/>
      <c r="B4" s="54" t="s">
        <v>175</v>
      </c>
      <c r="C4" s="55"/>
      <c r="D4" s="55"/>
      <c r="E4" s="56"/>
      <c r="H4" s="7" t="s">
        <v>4</v>
      </c>
      <c r="I4" s="7" t="s">
        <v>5</v>
      </c>
      <c r="J4" s="7" t="s">
        <v>6</v>
      </c>
      <c r="N4" s="7" t="s">
        <v>4</v>
      </c>
      <c r="O4" s="7" t="s">
        <v>7</v>
      </c>
      <c r="P4" s="7" t="s">
        <v>6</v>
      </c>
    </row>
    <row r="5" spans="1:17" x14ac:dyDescent="0.25">
      <c r="A5" s="37">
        <v>1</v>
      </c>
      <c r="B5" s="40" t="s">
        <v>116</v>
      </c>
      <c r="C5" s="40">
        <v>5</v>
      </c>
      <c r="D5" s="41">
        <v>11000000</v>
      </c>
      <c r="E5" s="35">
        <f>D5/D7*100</f>
        <v>2.722772277227723</v>
      </c>
      <c r="H5" s="32">
        <v>1</v>
      </c>
      <c r="I5" s="25" t="s">
        <v>22</v>
      </c>
      <c r="J5" s="25">
        <f>J6+J7+J8+J9</f>
        <v>3301220</v>
      </c>
      <c r="K5" s="6"/>
      <c r="N5" s="7">
        <v>1</v>
      </c>
      <c r="O5" s="25" t="s">
        <v>8</v>
      </c>
      <c r="P5" s="25">
        <f>P6+P11+P16</f>
        <v>2147000</v>
      </c>
    </row>
    <row r="6" spans="1:17" x14ac:dyDescent="0.25">
      <c r="A6" s="37">
        <v>2</v>
      </c>
      <c r="B6" s="17" t="s">
        <v>117</v>
      </c>
      <c r="C6" s="17">
        <f>C7-C5</f>
        <v>195</v>
      </c>
      <c r="D6" s="18">
        <f>D7-D5</f>
        <v>393000000</v>
      </c>
      <c r="E6" s="35">
        <f>D6/D7*100</f>
        <v>97.277227722772281</v>
      </c>
      <c r="H6" s="33">
        <v>2</v>
      </c>
      <c r="I6" s="30" t="s">
        <v>184</v>
      </c>
      <c r="J6" s="30">
        <f>D45-J7-J8+P21+P22</f>
        <v>2103220</v>
      </c>
      <c r="N6" s="1">
        <v>2</v>
      </c>
      <c r="O6" s="31" t="s">
        <v>201</v>
      </c>
      <c r="P6" s="31">
        <f>SUM(P7:P9)</f>
        <v>1115000</v>
      </c>
    </row>
    <row r="7" spans="1:17" x14ac:dyDescent="0.25">
      <c r="A7" s="37">
        <v>3</v>
      </c>
      <c r="B7" s="42" t="s">
        <v>118</v>
      </c>
      <c r="C7" s="40">
        <v>200</v>
      </c>
      <c r="D7" s="43">
        <f>D8+D9</f>
        <v>404000000</v>
      </c>
      <c r="E7" s="36"/>
      <c r="F7" s="4"/>
      <c r="H7" s="33">
        <v>3</v>
      </c>
      <c r="I7" s="30" t="s">
        <v>110</v>
      </c>
      <c r="J7" s="30">
        <v>150000</v>
      </c>
      <c r="N7" s="17">
        <v>3</v>
      </c>
      <c r="O7" s="21" t="s">
        <v>0</v>
      </c>
      <c r="P7" s="21">
        <f>Лист1!C28</f>
        <v>1025000</v>
      </c>
    </row>
    <row r="8" spans="1:17" x14ac:dyDescent="0.25">
      <c r="A8" s="37">
        <v>4</v>
      </c>
      <c r="B8" s="44" t="s">
        <v>176</v>
      </c>
      <c r="C8" s="45"/>
      <c r="D8" s="46"/>
      <c r="E8" s="36">
        <f>C8/C7</f>
        <v>0</v>
      </c>
      <c r="H8" s="33">
        <v>4</v>
      </c>
      <c r="I8" s="30" t="s">
        <v>111</v>
      </c>
      <c r="J8" s="21">
        <v>698000</v>
      </c>
      <c r="N8" s="17">
        <v>4</v>
      </c>
      <c r="O8" s="21" t="s">
        <v>1</v>
      </c>
      <c r="P8" s="21">
        <f>Лист1!E28+Лист1!G28</f>
        <v>5000</v>
      </c>
    </row>
    <row r="9" spans="1:17" x14ac:dyDescent="0.25">
      <c r="A9" s="37">
        <v>5</v>
      </c>
      <c r="B9" s="44" t="s">
        <v>177</v>
      </c>
      <c r="C9" s="45">
        <f>C7-C8</f>
        <v>200</v>
      </c>
      <c r="D9" s="46">
        <f>D10*D11</f>
        <v>404000000</v>
      </c>
      <c r="E9" s="36">
        <f>C9/C7</f>
        <v>1</v>
      </c>
      <c r="H9" s="33"/>
      <c r="I9" s="30" t="s">
        <v>183</v>
      </c>
      <c r="J9" s="21">
        <f>'на 01.03'!E88</f>
        <v>350000</v>
      </c>
      <c r="N9" s="17">
        <v>5</v>
      </c>
      <c r="O9" s="21" t="s">
        <v>27</v>
      </c>
      <c r="P9" s="21">
        <f>Лист1!I28</f>
        <v>85000</v>
      </c>
    </row>
    <row r="10" spans="1:17" x14ac:dyDescent="0.25">
      <c r="A10" s="37">
        <v>6</v>
      </c>
      <c r="B10" s="17" t="s">
        <v>119</v>
      </c>
      <c r="C10" s="17"/>
      <c r="D10" s="36">
        <v>8000</v>
      </c>
      <c r="E10" s="36"/>
      <c r="H10" s="32">
        <v>5</v>
      </c>
      <c r="I10" s="25" t="s">
        <v>9</v>
      </c>
      <c r="J10" s="25">
        <f>SUM(J11:J12)</f>
        <v>136800</v>
      </c>
      <c r="N10" s="17"/>
      <c r="O10" s="21"/>
      <c r="P10" s="21"/>
      <c r="Q10" s="6"/>
    </row>
    <row r="11" spans="1:17" x14ac:dyDescent="0.25">
      <c r="A11" s="37">
        <v>7</v>
      </c>
      <c r="B11" s="17" t="s">
        <v>120</v>
      </c>
      <c r="C11" s="17" t="s">
        <v>121</v>
      </c>
      <c r="D11" s="36">
        <v>50500</v>
      </c>
      <c r="E11" s="36"/>
      <c r="H11" s="34">
        <v>6</v>
      </c>
      <c r="I11" s="21" t="s">
        <v>24</v>
      </c>
      <c r="J11" s="21">
        <f>Лист1!I28+Лист1!J28+36800</f>
        <v>136800</v>
      </c>
      <c r="N11" s="17">
        <v>6</v>
      </c>
      <c r="O11" s="31" t="s">
        <v>195</v>
      </c>
      <c r="P11" s="31">
        <f>SUM(P12:P14)</f>
        <v>197000</v>
      </c>
    </row>
    <row r="12" spans="1:17" x14ac:dyDescent="0.25">
      <c r="A12" s="37">
        <v>8</v>
      </c>
      <c r="B12" s="40" t="s">
        <v>122</v>
      </c>
      <c r="C12" s="40"/>
      <c r="D12" s="43">
        <v>6500000</v>
      </c>
      <c r="E12" s="36"/>
      <c r="H12" s="33">
        <v>7</v>
      </c>
      <c r="I12" s="21"/>
      <c r="J12" s="21"/>
      <c r="N12" s="17">
        <v>7</v>
      </c>
      <c r="O12" s="21" t="s">
        <v>0</v>
      </c>
      <c r="P12" s="21">
        <f>Лист1!D28</f>
        <v>181000</v>
      </c>
    </row>
    <row r="13" spans="1:17" x14ac:dyDescent="0.25">
      <c r="A13" s="37">
        <v>9</v>
      </c>
      <c r="B13" s="17" t="s">
        <v>123</v>
      </c>
      <c r="C13" s="17"/>
      <c r="D13" s="36">
        <f>D5-D12</f>
        <v>4500000</v>
      </c>
      <c r="E13" s="36"/>
      <c r="H13" s="32">
        <v>8</v>
      </c>
      <c r="I13" s="25" t="s">
        <v>12</v>
      </c>
      <c r="J13" s="25">
        <f>J14</f>
        <v>0</v>
      </c>
      <c r="N13" s="1">
        <v>8</v>
      </c>
      <c r="O13" s="21" t="s">
        <v>1</v>
      </c>
      <c r="P13" s="21">
        <f>Лист1!H28</f>
        <v>1000</v>
      </c>
    </row>
    <row r="14" spans="1:17" x14ac:dyDescent="0.25">
      <c r="A14" s="37"/>
      <c r="B14" s="17"/>
      <c r="C14" s="17"/>
      <c r="D14" s="36"/>
      <c r="E14" s="36"/>
      <c r="H14" s="33">
        <v>9</v>
      </c>
      <c r="I14" s="21" t="s">
        <v>14</v>
      </c>
      <c r="J14" s="21"/>
      <c r="N14" s="17">
        <v>9</v>
      </c>
      <c r="O14" s="21" t="s">
        <v>27</v>
      </c>
      <c r="P14" s="21">
        <f>Лист1!J28</f>
        <v>15000</v>
      </c>
    </row>
    <row r="15" spans="1:17" x14ac:dyDescent="0.25">
      <c r="A15" s="37"/>
      <c r="B15" s="54" t="s">
        <v>178</v>
      </c>
      <c r="C15" s="55"/>
      <c r="D15" s="55"/>
      <c r="E15" s="56"/>
      <c r="H15" s="33"/>
      <c r="I15" s="21"/>
      <c r="J15" s="21"/>
      <c r="N15" s="17"/>
      <c r="O15" s="21"/>
      <c r="P15" s="21"/>
    </row>
    <row r="16" spans="1:17" x14ac:dyDescent="0.25">
      <c r="A16" s="37">
        <v>10</v>
      </c>
      <c r="B16" s="42" t="s">
        <v>124</v>
      </c>
      <c r="C16" s="40"/>
      <c r="D16" s="43">
        <f>D17+D18+D19</f>
        <v>296000000</v>
      </c>
      <c r="E16" s="36"/>
      <c r="H16" s="32">
        <v>10</v>
      </c>
      <c r="I16" s="25" t="s">
        <v>17</v>
      </c>
      <c r="J16" s="25">
        <f>SUM(J17:J19)</f>
        <v>69300</v>
      </c>
      <c r="N16" s="28">
        <v>10</v>
      </c>
      <c r="O16" s="31" t="s">
        <v>193</v>
      </c>
      <c r="P16" s="31">
        <f>Лист1!K28</f>
        <v>835000</v>
      </c>
    </row>
    <row r="17" spans="1:16" x14ac:dyDescent="0.25">
      <c r="A17" s="37">
        <v>11</v>
      </c>
      <c r="B17" s="17" t="s">
        <v>125</v>
      </c>
      <c r="C17" s="17"/>
      <c r="D17" s="36">
        <v>32000000</v>
      </c>
      <c r="E17" s="36" t="s">
        <v>168</v>
      </c>
      <c r="H17" s="34">
        <v>11</v>
      </c>
      <c r="I17" s="21" t="s">
        <v>1</v>
      </c>
      <c r="J17" s="21"/>
      <c r="N17" s="17">
        <v>11</v>
      </c>
      <c r="O17" s="21" t="s">
        <v>10</v>
      </c>
      <c r="P17" s="21"/>
    </row>
    <row r="18" spans="1:16" x14ac:dyDescent="0.25">
      <c r="A18" s="37">
        <v>12</v>
      </c>
      <c r="B18" s="17" t="s">
        <v>126</v>
      </c>
      <c r="C18" s="17"/>
      <c r="D18" s="36">
        <v>24000000</v>
      </c>
      <c r="E18" s="36"/>
      <c r="H18" s="34">
        <v>12</v>
      </c>
      <c r="I18" s="21" t="s">
        <v>37</v>
      </c>
      <c r="J18" s="21">
        <v>36900</v>
      </c>
      <c r="N18" s="17">
        <v>12</v>
      </c>
      <c r="O18" s="21" t="s">
        <v>11</v>
      </c>
      <c r="P18" s="21"/>
    </row>
    <row r="19" spans="1:16" x14ac:dyDescent="0.25">
      <c r="A19" s="37">
        <v>13</v>
      </c>
      <c r="B19" s="17" t="s">
        <v>127</v>
      </c>
      <c r="C19" s="17"/>
      <c r="D19" s="36">
        <v>240000000</v>
      </c>
      <c r="E19" s="36"/>
      <c r="H19" s="33">
        <v>13</v>
      </c>
      <c r="I19" s="21" t="s">
        <v>23</v>
      </c>
      <c r="J19" s="21">
        <v>32400</v>
      </c>
      <c r="N19" s="17"/>
      <c r="O19" s="21"/>
      <c r="P19" s="21"/>
    </row>
    <row r="20" spans="1:16" x14ac:dyDescent="0.25">
      <c r="A20" s="37">
        <v>14</v>
      </c>
      <c r="B20" s="17" t="s">
        <v>119</v>
      </c>
      <c r="C20" s="17"/>
      <c r="D20" s="36">
        <f>D10</f>
        <v>8000</v>
      </c>
      <c r="E20" s="36"/>
      <c r="H20" s="33"/>
      <c r="I20" s="21"/>
      <c r="J20" s="21"/>
      <c r="N20" s="7">
        <v>13</v>
      </c>
      <c r="O20" s="25" t="s">
        <v>13</v>
      </c>
      <c r="P20" s="25">
        <f>SUM(P21:P23)</f>
        <v>1360320</v>
      </c>
    </row>
    <row r="21" spans="1:16" x14ac:dyDescent="0.25">
      <c r="A21" s="37">
        <v>15</v>
      </c>
      <c r="B21" s="17" t="s">
        <v>128</v>
      </c>
      <c r="C21" s="17"/>
      <c r="D21" s="36">
        <f>D16/D20</f>
        <v>37000</v>
      </c>
      <c r="E21" s="36"/>
      <c r="H21" s="32">
        <v>14</v>
      </c>
      <c r="I21" s="25" t="s">
        <v>18</v>
      </c>
      <c r="J21" s="25">
        <f>SUM(J22:J24)</f>
        <v>0</v>
      </c>
      <c r="K21" s="4"/>
      <c r="N21" s="17">
        <v>14</v>
      </c>
      <c r="O21" s="21" t="s">
        <v>15</v>
      </c>
      <c r="P21" s="21">
        <v>796320</v>
      </c>
    </row>
    <row r="22" spans="1:16" x14ac:dyDescent="0.25">
      <c r="A22" s="37"/>
      <c r="B22" s="17"/>
      <c r="C22" s="17"/>
      <c r="D22" s="36"/>
      <c r="E22" s="36"/>
      <c r="H22" s="34">
        <v>15</v>
      </c>
      <c r="I22" s="21" t="s">
        <v>19</v>
      </c>
      <c r="J22" s="21"/>
      <c r="N22" s="17">
        <v>15</v>
      </c>
      <c r="O22" s="21" t="s">
        <v>16</v>
      </c>
      <c r="P22" s="21">
        <v>564000</v>
      </c>
    </row>
    <row r="23" spans="1:16" x14ac:dyDescent="0.25">
      <c r="A23" s="37"/>
      <c r="B23" s="54" t="s">
        <v>179</v>
      </c>
      <c r="C23" s="55"/>
      <c r="D23" s="55"/>
      <c r="E23" s="56"/>
      <c r="H23" s="34">
        <v>16</v>
      </c>
      <c r="I23" s="21" t="s">
        <v>172</v>
      </c>
      <c r="J23" s="21"/>
      <c r="N23" s="17">
        <v>16</v>
      </c>
      <c r="O23" s="21"/>
      <c r="P23" s="21"/>
    </row>
    <row r="24" spans="1:16" x14ac:dyDescent="0.25">
      <c r="A24" s="37">
        <v>16</v>
      </c>
      <c r="B24" s="42" t="s">
        <v>129</v>
      </c>
      <c r="C24" s="40"/>
      <c r="D24" s="43">
        <f>D7-D16</f>
        <v>108000000</v>
      </c>
      <c r="E24" s="36"/>
      <c r="H24" s="33">
        <v>17</v>
      </c>
      <c r="I24" s="21" t="s">
        <v>21</v>
      </c>
      <c r="J24" s="21"/>
      <c r="N24" s="17">
        <v>17</v>
      </c>
      <c r="O24" s="21"/>
      <c r="P24" s="21"/>
    </row>
    <row r="25" spans="1:16" x14ac:dyDescent="0.25">
      <c r="A25" s="37">
        <v>17</v>
      </c>
      <c r="B25" s="17" t="s">
        <v>119</v>
      </c>
      <c r="C25" s="17"/>
      <c r="D25" s="36">
        <f>D10</f>
        <v>8000</v>
      </c>
      <c r="E25" s="36"/>
      <c r="H25" s="29">
        <v>18</v>
      </c>
      <c r="I25" s="7" t="s">
        <v>174</v>
      </c>
      <c r="J25" s="16">
        <f>J5+J10+J13+J16+J21</f>
        <v>3507320</v>
      </c>
      <c r="N25" s="7">
        <v>18</v>
      </c>
      <c r="O25" s="7" t="s">
        <v>173</v>
      </c>
      <c r="P25" s="15">
        <f>P20+P5</f>
        <v>3507320</v>
      </c>
    </row>
    <row r="26" spans="1:16" x14ac:dyDescent="0.25">
      <c r="A26" s="37">
        <v>18</v>
      </c>
      <c r="B26" s="17" t="s">
        <v>130</v>
      </c>
      <c r="C26" s="17"/>
      <c r="D26" s="36">
        <f>D11-D21</f>
        <v>13500</v>
      </c>
      <c r="E26" s="36"/>
      <c r="P26" s="6"/>
    </row>
    <row r="27" spans="1:16" x14ac:dyDescent="0.25">
      <c r="A27" s="37">
        <v>19</v>
      </c>
      <c r="B27" s="17" t="s">
        <v>131</v>
      </c>
      <c r="C27" s="17"/>
      <c r="D27" s="36">
        <v>2000000</v>
      </c>
      <c r="E27" s="36"/>
    </row>
    <row r="28" spans="1:16" x14ac:dyDescent="0.25">
      <c r="A28" s="37">
        <v>20</v>
      </c>
      <c r="B28" s="17" t="s">
        <v>132</v>
      </c>
      <c r="C28" s="17"/>
      <c r="D28" s="36"/>
      <c r="E28" s="36"/>
      <c r="P28" s="19">
        <f>P25-J25</f>
        <v>0</v>
      </c>
    </row>
    <row r="29" spans="1:16" x14ac:dyDescent="0.25">
      <c r="A29" s="37">
        <v>21</v>
      </c>
      <c r="B29" s="7" t="s">
        <v>133</v>
      </c>
      <c r="C29" s="7"/>
      <c r="D29" s="22">
        <f>D24+D27+D28</f>
        <v>110000000</v>
      </c>
      <c r="E29" s="36"/>
      <c r="P29" s="4"/>
    </row>
    <row r="30" spans="1:16" x14ac:dyDescent="0.25">
      <c r="A30" s="37"/>
      <c r="B30" s="17"/>
      <c r="C30" s="17"/>
      <c r="D30" s="36"/>
      <c r="E30" s="36"/>
      <c r="P30" s="4"/>
    </row>
    <row r="31" spans="1:16" x14ac:dyDescent="0.25">
      <c r="A31" s="37">
        <v>22</v>
      </c>
      <c r="B31" s="42" t="s">
        <v>21</v>
      </c>
      <c r="C31" s="40"/>
      <c r="D31" s="43">
        <f>D29*0.235</f>
        <v>25850000</v>
      </c>
      <c r="E31" s="36"/>
    </row>
    <row r="32" spans="1:16" x14ac:dyDescent="0.25">
      <c r="A32" s="37">
        <v>23</v>
      </c>
      <c r="B32" s="17" t="s">
        <v>134</v>
      </c>
      <c r="C32" s="17"/>
      <c r="D32" s="36"/>
      <c r="E32" s="36"/>
    </row>
    <row r="33" spans="1:5" x14ac:dyDescent="0.25">
      <c r="A33" s="37">
        <v>24</v>
      </c>
      <c r="B33" s="17" t="s">
        <v>135</v>
      </c>
      <c r="C33" s="17"/>
      <c r="D33" s="36"/>
      <c r="E33" s="36"/>
    </row>
    <row r="34" spans="1:5" x14ac:dyDescent="0.25">
      <c r="A34" s="37">
        <v>25</v>
      </c>
      <c r="B34" s="17" t="s">
        <v>136</v>
      </c>
      <c r="C34" s="17"/>
      <c r="D34" s="18"/>
      <c r="E34" s="18"/>
    </row>
    <row r="35" spans="1:5" x14ac:dyDescent="0.25">
      <c r="A35" s="37"/>
      <c r="B35" s="17"/>
      <c r="C35" s="17"/>
      <c r="D35" s="18"/>
      <c r="E35" s="18"/>
    </row>
    <row r="36" spans="1:5" x14ac:dyDescent="0.25">
      <c r="A36" s="37">
        <v>26</v>
      </c>
      <c r="B36" s="42" t="s">
        <v>180</v>
      </c>
      <c r="C36" s="40"/>
      <c r="D36" s="41">
        <f>D29-D31</f>
        <v>84150000</v>
      </c>
      <c r="E36" s="18"/>
    </row>
    <row r="37" spans="1:5" x14ac:dyDescent="0.25">
      <c r="A37" s="37"/>
      <c r="B37" s="17"/>
      <c r="C37" s="17"/>
      <c r="D37" s="18"/>
      <c r="E37" s="17"/>
    </row>
    <row r="38" spans="1:5" x14ac:dyDescent="0.25">
      <c r="A38" s="37">
        <v>27</v>
      </c>
      <c r="B38" s="38" t="s">
        <v>18</v>
      </c>
      <c r="C38" s="17"/>
      <c r="D38" s="18">
        <f>D39+D40</f>
        <v>0</v>
      </c>
      <c r="E38" s="17"/>
    </row>
    <row r="39" spans="1:5" x14ac:dyDescent="0.25">
      <c r="A39" s="37">
        <v>28</v>
      </c>
      <c r="B39" s="17" t="s">
        <v>20</v>
      </c>
      <c r="C39" s="17"/>
      <c r="D39" s="18"/>
      <c r="E39" s="17"/>
    </row>
    <row r="40" spans="1:5" x14ac:dyDescent="0.25">
      <c r="A40" s="37">
        <v>29</v>
      </c>
      <c r="B40" s="17" t="s">
        <v>137</v>
      </c>
      <c r="C40" s="17"/>
      <c r="D40" s="18"/>
      <c r="E40" s="17"/>
    </row>
    <row r="41" spans="1:5" x14ac:dyDescent="0.25">
      <c r="A41" s="37"/>
      <c r="B41" s="17"/>
      <c r="C41" s="17"/>
      <c r="D41" s="18"/>
      <c r="E41" s="17"/>
    </row>
    <row r="42" spans="1:5" x14ac:dyDescent="0.25">
      <c r="A42" s="37">
        <v>28</v>
      </c>
      <c r="B42" s="38" t="s">
        <v>138</v>
      </c>
      <c r="C42" s="17"/>
      <c r="D42" s="18">
        <f>D36-D38</f>
        <v>84150000</v>
      </c>
      <c r="E42" s="17"/>
    </row>
    <row r="43" spans="1:5" x14ac:dyDescent="0.25">
      <c r="A43" s="37"/>
      <c r="B43" s="17"/>
      <c r="C43" s="17"/>
      <c r="D43" s="18"/>
      <c r="E43" s="17"/>
    </row>
    <row r="44" spans="1:5" x14ac:dyDescent="0.25">
      <c r="A44" s="37"/>
      <c r="B44" s="54" t="s">
        <v>185</v>
      </c>
      <c r="C44" s="55"/>
      <c r="D44" s="55"/>
      <c r="E44" s="56"/>
    </row>
    <row r="45" spans="1:5" x14ac:dyDescent="0.25">
      <c r="A45" s="37">
        <v>29</v>
      </c>
      <c r="B45" s="40" t="s">
        <v>139</v>
      </c>
      <c r="C45" s="40"/>
      <c r="D45" s="41">
        <f>'на 01.03'!E79</f>
        <v>1590900</v>
      </c>
      <c r="E45" s="17"/>
    </row>
    <row r="46" spans="1:5" x14ac:dyDescent="0.25">
      <c r="A46" s="37">
        <v>30</v>
      </c>
      <c r="B46" s="17" t="s">
        <v>140</v>
      </c>
      <c r="C46" s="17" t="s">
        <v>141</v>
      </c>
      <c r="D46" s="18">
        <f>(D45/D16)</f>
        <v>5.3746621621621618E-3</v>
      </c>
      <c r="E46" s="17"/>
    </row>
    <row r="47" spans="1:5" x14ac:dyDescent="0.25">
      <c r="A47" s="37">
        <v>31</v>
      </c>
      <c r="B47" s="17" t="s">
        <v>142</v>
      </c>
      <c r="C47" s="17"/>
      <c r="D47" s="18">
        <f>D5</f>
        <v>11000000</v>
      </c>
      <c r="E47" s="17"/>
    </row>
    <row r="48" spans="1:5" x14ac:dyDescent="0.25">
      <c r="A48" s="37">
        <v>32</v>
      </c>
      <c r="B48" s="17" t="s">
        <v>143</v>
      </c>
      <c r="C48" s="17" t="s">
        <v>182</v>
      </c>
      <c r="D48" s="18">
        <f>D5*D46</f>
        <v>59121.28378378378</v>
      </c>
      <c r="E48" s="17"/>
    </row>
    <row r="49" spans="1:5" x14ac:dyDescent="0.25">
      <c r="A49" s="37">
        <v>33</v>
      </c>
      <c r="B49" s="38" t="s">
        <v>144</v>
      </c>
      <c r="C49" s="17" t="s">
        <v>145</v>
      </c>
      <c r="D49" s="18">
        <f>D36*D46</f>
        <v>452277.82094594592</v>
      </c>
      <c r="E49" s="39"/>
    </row>
    <row r="50" spans="1:5" x14ac:dyDescent="0.25">
      <c r="A50" s="37">
        <v>34</v>
      </c>
      <c r="B50" s="17" t="s">
        <v>146</v>
      </c>
      <c r="C50" s="17"/>
      <c r="D50" s="18"/>
      <c r="E50" s="17"/>
    </row>
    <row r="51" spans="1:5" x14ac:dyDescent="0.25">
      <c r="A51" s="37"/>
      <c r="B51" s="17"/>
      <c r="C51" s="17"/>
      <c r="D51" s="18"/>
      <c r="E51" s="17"/>
    </row>
    <row r="52" spans="1:5" x14ac:dyDescent="0.25">
      <c r="A52" s="37">
        <v>35</v>
      </c>
      <c r="B52" s="38" t="s">
        <v>147</v>
      </c>
      <c r="C52" s="17"/>
      <c r="D52" s="18">
        <f>D53+D54</f>
        <v>0</v>
      </c>
      <c r="E52" s="17"/>
    </row>
    <row r="53" spans="1:5" x14ac:dyDescent="0.25">
      <c r="A53" s="37">
        <v>36</v>
      </c>
      <c r="B53" s="17" t="s">
        <v>21</v>
      </c>
      <c r="C53" s="17"/>
      <c r="D53" s="18"/>
      <c r="E53" s="17"/>
    </row>
    <row r="54" spans="1:5" x14ac:dyDescent="0.25">
      <c r="A54" s="37">
        <v>37</v>
      </c>
      <c r="B54" s="17" t="s">
        <v>148</v>
      </c>
      <c r="C54" s="17"/>
      <c r="D54" s="18"/>
      <c r="E54" s="17"/>
    </row>
    <row r="55" spans="1:5" x14ac:dyDescent="0.25">
      <c r="A55" s="37"/>
      <c r="B55" s="17"/>
      <c r="C55" s="17"/>
      <c r="D55" s="18"/>
      <c r="E55" s="17"/>
    </row>
    <row r="56" spans="1:5" x14ac:dyDescent="0.25">
      <c r="A56" s="37"/>
      <c r="B56" s="54" t="s">
        <v>181</v>
      </c>
      <c r="C56" s="55"/>
      <c r="D56" s="55"/>
      <c r="E56" s="56"/>
    </row>
    <row r="57" spans="1:5" x14ac:dyDescent="0.25">
      <c r="A57" s="37">
        <v>38</v>
      </c>
      <c r="B57" s="38" t="s">
        <v>149</v>
      </c>
      <c r="C57" s="17"/>
      <c r="D57" s="18">
        <f>D49-D52+D50</f>
        <v>452277.82094594592</v>
      </c>
      <c r="E57" s="17"/>
    </row>
    <row r="58" spans="1:5" x14ac:dyDescent="0.25">
      <c r="A58" s="37"/>
      <c r="B58" s="17"/>
      <c r="C58" s="17"/>
      <c r="D58" s="18"/>
      <c r="E58" s="17"/>
    </row>
    <row r="59" spans="1:5" x14ac:dyDescent="0.25">
      <c r="A59" s="37">
        <v>39</v>
      </c>
      <c r="B59" s="42" t="s">
        <v>150</v>
      </c>
      <c r="C59" s="47"/>
      <c r="D59" s="41">
        <f>D60+D61</f>
        <v>0</v>
      </c>
      <c r="E59" s="17"/>
    </row>
    <row r="60" spans="1:5" x14ac:dyDescent="0.25">
      <c r="A60" s="37">
        <v>40</v>
      </c>
      <c r="B60" s="17" t="s">
        <v>19</v>
      </c>
      <c r="C60" s="17"/>
      <c r="D60" s="18"/>
      <c r="E60" s="17"/>
    </row>
    <row r="61" spans="1:5" x14ac:dyDescent="0.25">
      <c r="A61" s="37">
        <v>41</v>
      </c>
      <c r="B61" s="17" t="s">
        <v>151</v>
      </c>
      <c r="C61" s="17"/>
      <c r="D61" s="18"/>
      <c r="E61" s="17"/>
    </row>
    <row r="62" spans="1:5" x14ac:dyDescent="0.25">
      <c r="A62" s="37"/>
      <c r="B62" s="17"/>
      <c r="C62" s="17"/>
      <c r="D62" s="18"/>
      <c r="E62" s="17"/>
    </row>
    <row r="63" spans="1:5" x14ac:dyDescent="0.25">
      <c r="A63" s="37">
        <v>42</v>
      </c>
      <c r="B63" s="38" t="s">
        <v>152</v>
      </c>
      <c r="C63" s="17"/>
      <c r="D63" s="18">
        <f>D57-D59</f>
        <v>452277.82094594592</v>
      </c>
      <c r="E63" s="17"/>
    </row>
    <row r="64" spans="1:5" x14ac:dyDescent="0.25">
      <c r="A64" s="37">
        <v>43</v>
      </c>
      <c r="B64" s="17" t="s">
        <v>153</v>
      </c>
      <c r="C64" s="17"/>
      <c r="D64" s="18">
        <f>D12</f>
        <v>6500000</v>
      </c>
      <c r="E64" s="17"/>
    </row>
    <row r="65" spans="1:5" x14ac:dyDescent="0.25">
      <c r="A65" s="37">
        <v>44</v>
      </c>
      <c r="B65" s="17" t="s">
        <v>154</v>
      </c>
      <c r="C65" s="17"/>
      <c r="D65" s="18">
        <f>D64-D46*D7</f>
        <v>4328636.4864864871</v>
      </c>
      <c r="E65" s="17"/>
    </row>
    <row r="66" spans="1:5" x14ac:dyDescent="0.25">
      <c r="A66" s="37">
        <v>45</v>
      </c>
      <c r="B66" s="38" t="s">
        <v>2</v>
      </c>
      <c r="C66" s="17"/>
      <c r="D66" s="18"/>
      <c r="E66" s="17"/>
    </row>
    <row r="67" spans="1:5" x14ac:dyDescent="0.25">
      <c r="A67" s="37"/>
      <c r="B67" s="17"/>
      <c r="C67" s="17"/>
      <c r="D67" s="18"/>
      <c r="E67" s="17"/>
    </row>
    <row r="68" spans="1:5" x14ac:dyDescent="0.25">
      <c r="A68" s="37">
        <v>46</v>
      </c>
      <c r="B68" s="38" t="s">
        <v>155</v>
      </c>
      <c r="C68" s="17"/>
      <c r="D68" s="18">
        <f>SUM(D69:D73)</f>
        <v>2572320</v>
      </c>
      <c r="E68" s="17"/>
    </row>
    <row r="69" spans="1:5" x14ac:dyDescent="0.25">
      <c r="A69" s="37">
        <v>47</v>
      </c>
      <c r="B69" s="17" t="s">
        <v>156</v>
      </c>
      <c r="C69" s="17"/>
      <c r="D69" s="18">
        <f>P22</f>
        <v>564000</v>
      </c>
      <c r="E69" s="17"/>
    </row>
    <row r="70" spans="1:5" x14ac:dyDescent="0.25">
      <c r="A70" s="37">
        <v>48</v>
      </c>
      <c r="B70" s="17" t="s">
        <v>157</v>
      </c>
      <c r="C70" s="17"/>
      <c r="D70" s="18">
        <f>P21</f>
        <v>796320</v>
      </c>
      <c r="E70" s="17"/>
    </row>
    <row r="71" spans="1:5" x14ac:dyDescent="0.25">
      <c r="A71" s="37">
        <v>49</v>
      </c>
      <c r="B71" s="17" t="s">
        <v>158</v>
      </c>
      <c r="C71" s="17"/>
      <c r="D71" s="18"/>
      <c r="E71" s="17"/>
    </row>
    <row r="72" spans="1:5" x14ac:dyDescent="0.25">
      <c r="A72" s="37">
        <v>50</v>
      </c>
      <c r="B72" s="17" t="s">
        <v>159</v>
      </c>
      <c r="C72" s="17"/>
      <c r="D72" s="18"/>
      <c r="E72" s="17"/>
    </row>
    <row r="73" spans="1:5" x14ac:dyDescent="0.25">
      <c r="A73" s="37">
        <v>51</v>
      </c>
      <c r="B73" s="17" t="s">
        <v>160</v>
      </c>
      <c r="C73" s="17"/>
      <c r="D73" s="18">
        <f>P6+P11-P9-P14</f>
        <v>1212000</v>
      </c>
      <c r="E73" s="17"/>
    </row>
    <row r="74" spans="1:5" x14ac:dyDescent="0.25">
      <c r="A74" s="37">
        <v>52</v>
      </c>
      <c r="B74" s="38" t="s">
        <v>161</v>
      </c>
      <c r="C74" s="17"/>
      <c r="D74" s="18">
        <f>D63-D68</f>
        <v>-2120042.179054054</v>
      </c>
      <c r="E74" s="17"/>
    </row>
  </sheetData>
  <mergeCells count="7">
    <mergeCell ref="B44:E44"/>
    <mergeCell ref="B56:E56"/>
    <mergeCell ref="B2:E2"/>
    <mergeCell ref="H2:P2"/>
    <mergeCell ref="B4:E4"/>
    <mergeCell ref="B15:E15"/>
    <mergeCell ref="B23:E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на 01.03</vt:lpstr>
      <vt:lpstr>на 01.04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2016-05-19T06:33:34Z</dcterms:created>
  <dcterms:modified xsi:type="dcterms:W3CDTF">2016-05-19T06:34:00Z</dcterms:modified>
</cp:coreProperties>
</file>