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876" firstSheet="3" activeTab="3"/>
  </bookViews>
  <sheets>
    <sheet name="Расчет процента расходов" sheetId="1" state="hidden" r:id="rId1"/>
    <sheet name="Описание расходов" sheetId="2" state="hidden" r:id="rId2"/>
    <sheet name="Лист2" sheetId="3" state="hidden" r:id="rId3"/>
    <sheet name="Расходы помесячно (План-Факт)" sheetId="4" r:id="rId4"/>
    <sheet name="Мес. программа" sheetId="7" state="hidden" r:id="rId5"/>
    <sheet name="Мес. программа (без янв фев)" sheetId="8" state="hidden" r:id="rId6"/>
    <sheet name="Мес_прог (по пред. мес)" sheetId="9" state="hidden" r:id="rId7"/>
    <sheet name="Мес_прог (без пост. расх.)" sheetId="10" state="hidden" r:id="rId8"/>
    <sheet name="Мес. прог. (УПС 350)" sheetId="11" state="hidden" r:id="rId9"/>
    <sheet name="Касса" sheetId="17" state="hidden" r:id="rId10"/>
    <sheet name="Продажи2" sheetId="18" state="hidden" r:id="rId11"/>
    <sheet name="Сортировка материалов" sheetId="19" state="hidden" r:id="rId12"/>
    <sheet name="Лист4" sheetId="20" state="hidden" r:id="rId13"/>
    <sheet name="Лист3" sheetId="21" state="hidden" r:id="rId14"/>
  </sheets>
  <definedNames>
    <definedName name="__xlnm._FilterDatabase" localSheetId="9">Касса!$A$3:$G$224</definedName>
    <definedName name="__xlnm._FilterDatabase" localSheetId="10">Продажи2!$A$3:$I$338</definedName>
    <definedName name="__xlnm._FilterDatabase_1">#REF!</definedName>
    <definedName name="__xlnm._FilterDatabase_1_1">Касса!$A$3:$G$224</definedName>
    <definedName name="__xlnm._FilterDatabase_2">Продажи2!$A$3:$I$338</definedName>
    <definedName name="__xlnm._FilterDatabase_3">#REF!</definedName>
    <definedName name="__xlnm.Print_Area" localSheetId="10">NA()</definedName>
    <definedName name="_xlnm._FilterDatabase" localSheetId="9" hidden="1">Касса!$A$3:$G$224</definedName>
    <definedName name="Excel_BuiltIn__FilterDatabase" localSheetId="10">Продажи2!$A$3:$I$338</definedName>
  </definedNames>
  <calcPr calcId="124519"/>
</workbook>
</file>

<file path=xl/calcChain.xml><?xml version="1.0" encoding="utf-8"?>
<calcChain xmlns="http://schemas.openxmlformats.org/spreadsheetml/2006/main">
  <c r="AQ157" i="4"/>
  <c r="AG77"/>
  <c r="C3" i="17"/>
  <c r="B4"/>
  <c r="F4"/>
  <c r="B5"/>
  <c r="F5"/>
  <c r="B6"/>
  <c r="F6"/>
  <c r="B7"/>
  <c r="F7"/>
  <c r="B8"/>
  <c r="F8"/>
  <c r="B9"/>
  <c r="F9"/>
  <c r="B10"/>
  <c r="F10"/>
  <c r="B11"/>
  <c r="F11"/>
  <c r="B12"/>
  <c r="F12"/>
  <c r="B13"/>
  <c r="F13"/>
  <c r="B14"/>
  <c r="F14"/>
  <c r="B15"/>
  <c r="F15"/>
  <c r="B16"/>
  <c r="F16"/>
  <c r="B17"/>
  <c r="F17"/>
  <c r="B18"/>
  <c r="F18"/>
  <c r="B19"/>
  <c r="F19"/>
  <c r="B20"/>
  <c r="F20"/>
  <c r="B21"/>
  <c r="F21"/>
  <c r="B22"/>
  <c r="F22"/>
  <c r="B23"/>
  <c r="F23"/>
  <c r="B24"/>
  <c r="F24"/>
  <c r="B25"/>
  <c r="F25"/>
  <c r="B26"/>
  <c r="F26"/>
  <c r="B27"/>
  <c r="F27"/>
  <c r="B28"/>
  <c r="F28"/>
  <c r="B29"/>
  <c r="F29"/>
  <c r="B30"/>
  <c r="F30"/>
  <c r="B31"/>
  <c r="F31"/>
  <c r="B32"/>
  <c r="F32"/>
  <c r="B33"/>
  <c r="F33"/>
  <c r="B34"/>
  <c r="F34"/>
  <c r="B35"/>
  <c r="F35"/>
  <c r="B36"/>
  <c r="F36"/>
  <c r="B37"/>
  <c r="F37"/>
  <c r="B38"/>
  <c r="F38"/>
  <c r="B39"/>
  <c r="F39"/>
  <c r="B40"/>
  <c r="F40"/>
  <c r="B41"/>
  <c r="F41"/>
  <c r="B42"/>
  <c r="F42"/>
  <c r="B43"/>
  <c r="F43"/>
  <c r="B44"/>
  <c r="F44"/>
  <c r="B45"/>
  <c r="F45"/>
  <c r="B46"/>
  <c r="F46"/>
  <c r="B47"/>
  <c r="F47"/>
  <c r="B48"/>
  <c r="F48"/>
  <c r="B49"/>
  <c r="F49"/>
  <c r="B50"/>
  <c r="F50"/>
  <c r="B51"/>
  <c r="F51"/>
  <c r="B52"/>
  <c r="F52"/>
  <c r="B53"/>
  <c r="F53"/>
  <c r="B54"/>
  <c r="F54"/>
  <c r="B55"/>
  <c r="F55"/>
  <c r="B56"/>
  <c r="F56"/>
  <c r="B57"/>
  <c r="F57"/>
  <c r="B58"/>
  <c r="F58"/>
  <c r="B59"/>
  <c r="F59"/>
  <c r="B60"/>
  <c r="F60"/>
  <c r="B61"/>
  <c r="F61"/>
  <c r="B62"/>
  <c r="F62"/>
  <c r="B63"/>
  <c r="F63"/>
  <c r="B64"/>
  <c r="F64"/>
  <c r="B65"/>
  <c r="F65"/>
  <c r="B66"/>
  <c r="F66"/>
  <c r="B67"/>
  <c r="F67"/>
  <c r="B68"/>
  <c r="F68"/>
  <c r="B69"/>
  <c r="F69"/>
  <c r="B70"/>
  <c r="F70"/>
  <c r="B71"/>
  <c r="F71"/>
  <c r="B72"/>
  <c r="F72"/>
  <c r="B73"/>
  <c r="F73"/>
  <c r="B74"/>
  <c r="F74"/>
  <c r="B75"/>
  <c r="F75"/>
  <c r="B76"/>
  <c r="F76"/>
  <c r="B77"/>
  <c r="F77"/>
  <c r="B78"/>
  <c r="F78"/>
  <c r="B79"/>
  <c r="F79"/>
  <c r="B80"/>
  <c r="F80"/>
  <c r="B81"/>
  <c r="F81"/>
  <c r="B82"/>
  <c r="F82"/>
  <c r="B83"/>
  <c r="F83"/>
  <c r="B84"/>
  <c r="F84"/>
  <c r="B85"/>
  <c r="F85"/>
  <c r="B86"/>
  <c r="F86"/>
  <c r="B87"/>
  <c r="F87"/>
  <c r="B88"/>
  <c r="F88"/>
  <c r="B89"/>
  <c r="F89"/>
  <c r="B90"/>
  <c r="F90"/>
  <c r="B91"/>
  <c r="F91"/>
  <c r="B92"/>
  <c r="F92"/>
  <c r="B93"/>
  <c r="F93"/>
  <c r="B94"/>
  <c r="F94"/>
  <c r="B95"/>
  <c r="F95"/>
  <c r="B96"/>
  <c r="F96"/>
  <c r="B97"/>
  <c r="F97"/>
  <c r="B98"/>
  <c r="F98"/>
  <c r="B99"/>
  <c r="F99"/>
  <c r="B100"/>
  <c r="F100"/>
  <c r="B101"/>
  <c r="F101"/>
  <c r="B102"/>
  <c r="F102"/>
  <c r="B103"/>
  <c r="F103"/>
  <c r="B104"/>
  <c r="F104"/>
  <c r="B105"/>
  <c r="F105"/>
  <c r="B106"/>
  <c r="F106"/>
  <c r="B107"/>
  <c r="F107"/>
  <c r="B108"/>
  <c r="F108"/>
  <c r="B109"/>
  <c r="F109"/>
  <c r="B110"/>
  <c r="F110"/>
  <c r="B111"/>
  <c r="F111"/>
  <c r="B112"/>
  <c r="F112"/>
  <c r="B113"/>
  <c r="F113"/>
  <c r="B114"/>
  <c r="F114"/>
  <c r="B115"/>
  <c r="F115"/>
  <c r="B116"/>
  <c r="F116"/>
  <c r="B117"/>
  <c r="F117"/>
  <c r="B118"/>
  <c r="F118"/>
  <c r="B119"/>
  <c r="F119"/>
  <c r="B120"/>
  <c r="F120"/>
  <c r="B121"/>
  <c r="F121"/>
  <c r="B122"/>
  <c r="F122"/>
  <c r="B123"/>
  <c r="F123"/>
  <c r="B124"/>
  <c r="F124"/>
  <c r="B125"/>
  <c r="F125"/>
  <c r="B126"/>
  <c r="F126"/>
  <c r="B127"/>
  <c r="F127"/>
  <c r="B128"/>
  <c r="F128"/>
  <c r="B129"/>
  <c r="F129"/>
  <c r="B130"/>
  <c r="F130"/>
  <c r="B131"/>
  <c r="F131"/>
  <c r="B132"/>
  <c r="F132"/>
  <c r="B133"/>
  <c r="F133"/>
  <c r="B134"/>
  <c r="F134"/>
  <c r="B135"/>
  <c r="F135"/>
  <c r="B136"/>
  <c r="F136"/>
  <c r="B137"/>
  <c r="F137"/>
  <c r="B138"/>
  <c r="D20"/>
  <c r="D3"/>
  <c r="F138"/>
  <c r="B139"/>
  <c r="F139"/>
  <c r="B140"/>
  <c r="F140"/>
  <c r="B141"/>
  <c r="F141"/>
  <c r="B142"/>
  <c r="F142"/>
  <c r="B143"/>
  <c r="F143"/>
  <c r="B144"/>
  <c r="F144"/>
  <c r="B145"/>
  <c r="F145"/>
  <c r="B146"/>
  <c r="F146"/>
  <c r="B147"/>
  <c r="F147"/>
  <c r="B148"/>
  <c r="F148"/>
  <c r="B149"/>
  <c r="F149"/>
  <c r="B150"/>
  <c r="F150"/>
  <c r="B151"/>
  <c r="F151"/>
  <c r="B152"/>
  <c r="F152"/>
  <c r="B153"/>
  <c r="F153"/>
  <c r="B154"/>
  <c r="F154"/>
  <c r="B155"/>
  <c r="F155"/>
  <c r="B156"/>
  <c r="F156"/>
  <c r="B157"/>
  <c r="F157"/>
  <c r="B158"/>
  <c r="F158"/>
  <c r="B159"/>
  <c r="F159"/>
  <c r="B160"/>
  <c r="F160"/>
  <c r="B161"/>
  <c r="F161"/>
  <c r="B162"/>
  <c r="F162"/>
  <c r="B163"/>
  <c r="F163"/>
  <c r="B164"/>
  <c r="F164"/>
  <c r="B165"/>
  <c r="F165"/>
  <c r="B166"/>
  <c r="F166"/>
  <c r="B167"/>
  <c r="F167"/>
  <c r="B168"/>
  <c r="F168"/>
  <c r="B169"/>
  <c r="F169"/>
  <c r="B170"/>
  <c r="F170"/>
  <c r="B171"/>
  <c r="F171"/>
  <c r="B172"/>
  <c r="F172"/>
  <c r="B173"/>
  <c r="F173"/>
  <c r="B174"/>
  <c r="F174"/>
  <c r="B175"/>
  <c r="F175"/>
  <c r="B176"/>
  <c r="F176"/>
  <c r="B177"/>
  <c r="F177"/>
  <c r="B178"/>
  <c r="F178"/>
  <c r="B179"/>
  <c r="F179"/>
  <c r="B180"/>
  <c r="F180"/>
  <c r="B181"/>
  <c r="F181"/>
  <c r="B182"/>
  <c r="F182"/>
  <c r="B183"/>
  <c r="F183"/>
  <c r="B184"/>
  <c r="F184"/>
  <c r="B185"/>
  <c r="F185"/>
  <c r="B186"/>
  <c r="F186"/>
  <c r="B187"/>
  <c r="F187"/>
  <c r="B188"/>
  <c r="F188"/>
  <c r="B189"/>
  <c r="F189"/>
  <c r="B190"/>
  <c r="F190"/>
  <c r="B191"/>
  <c r="F191"/>
  <c r="B192"/>
  <c r="F192"/>
  <c r="B193"/>
  <c r="F193"/>
  <c r="B194"/>
  <c r="F194"/>
  <c r="B195"/>
  <c r="F195"/>
  <c r="B196"/>
  <c r="F196"/>
  <c r="B197"/>
  <c r="F197"/>
  <c r="B198"/>
  <c r="F198"/>
  <c r="B199"/>
  <c r="F199"/>
  <c r="B200"/>
  <c r="F200"/>
  <c r="B201"/>
  <c r="F201"/>
  <c r="B202"/>
  <c r="F202"/>
  <c r="B203"/>
  <c r="F203"/>
  <c r="B204"/>
  <c r="F204"/>
  <c r="B205"/>
  <c r="F205"/>
  <c r="B206"/>
  <c r="F206"/>
  <c r="B207"/>
  <c r="F207"/>
  <c r="B208"/>
  <c r="F208"/>
  <c r="B209"/>
  <c r="F209"/>
  <c r="B210"/>
  <c r="F210"/>
  <c r="B211"/>
  <c r="F211"/>
  <c r="B212"/>
  <c r="F212"/>
  <c r="B213"/>
  <c r="F213"/>
  <c r="B214"/>
  <c r="F214"/>
  <c r="B215"/>
  <c r="F215"/>
  <c r="B216"/>
  <c r="F216"/>
  <c r="B217"/>
  <c r="F217"/>
  <c r="B218"/>
  <c r="F218"/>
  <c r="B219"/>
  <c r="F219"/>
  <c r="B220"/>
  <c r="F220"/>
  <c r="B221"/>
  <c r="F221"/>
  <c r="B222"/>
  <c r="F222"/>
  <c r="B223"/>
  <c r="F223"/>
  <c r="B224"/>
  <c r="F224"/>
  <c r="F4" i="3"/>
  <c r="H4"/>
  <c r="H3"/>
  <c r="J4"/>
  <c r="L4"/>
  <c r="L3"/>
  <c r="N4"/>
  <c r="D5"/>
  <c r="E5"/>
  <c r="E4"/>
  <c r="F5"/>
  <c r="G5"/>
  <c r="G4"/>
  <c r="H5"/>
  <c r="I5"/>
  <c r="I4"/>
  <c r="J5"/>
  <c r="K5"/>
  <c r="K4"/>
  <c r="L5"/>
  <c r="M5"/>
  <c r="M4"/>
  <c r="N5"/>
  <c r="O5"/>
  <c r="O4"/>
  <c r="P6"/>
  <c r="P7"/>
  <c r="P8"/>
  <c r="E9"/>
  <c r="F9"/>
  <c r="G9"/>
  <c r="H9"/>
  <c r="I9"/>
  <c r="J9"/>
  <c r="K9"/>
  <c r="L9"/>
  <c r="M9"/>
  <c r="N9"/>
  <c r="O9"/>
  <c r="D10"/>
  <c r="D9"/>
  <c r="P11"/>
  <c r="D12"/>
  <c r="E12"/>
  <c r="P12"/>
  <c r="F12"/>
  <c r="G12"/>
  <c r="H12"/>
  <c r="I12"/>
  <c r="J12"/>
  <c r="K12"/>
  <c r="L12"/>
  <c r="M12"/>
  <c r="N12"/>
  <c r="O12"/>
  <c r="P13"/>
  <c r="D14"/>
  <c r="E14"/>
  <c r="P14"/>
  <c r="F14"/>
  <c r="G14"/>
  <c r="H14"/>
  <c r="I14"/>
  <c r="J14"/>
  <c r="K14"/>
  <c r="L14"/>
  <c r="M14"/>
  <c r="N14"/>
  <c r="O14"/>
  <c r="P15"/>
  <c r="P16"/>
  <c r="D18"/>
  <c r="E18"/>
  <c r="E17"/>
  <c r="F18"/>
  <c r="G18"/>
  <c r="G17"/>
  <c r="H18"/>
  <c r="I18"/>
  <c r="I17"/>
  <c r="J18"/>
  <c r="K18"/>
  <c r="K17"/>
  <c r="L18"/>
  <c r="M18"/>
  <c r="M17"/>
  <c r="N18"/>
  <c r="O18"/>
  <c r="O17"/>
  <c r="P19"/>
  <c r="P20"/>
  <c r="D21"/>
  <c r="D17"/>
  <c r="E21"/>
  <c r="F21"/>
  <c r="F17"/>
  <c r="G21"/>
  <c r="H21"/>
  <c r="H17"/>
  <c r="I21"/>
  <c r="J21"/>
  <c r="J17"/>
  <c r="K21"/>
  <c r="L21"/>
  <c r="L17"/>
  <c r="M21"/>
  <c r="N21"/>
  <c r="N17"/>
  <c r="O21"/>
  <c r="P21"/>
  <c r="P22"/>
  <c r="P23"/>
  <c r="P24"/>
  <c r="D25"/>
  <c r="E25"/>
  <c r="F25"/>
  <c r="G25"/>
  <c r="H25"/>
  <c r="I25"/>
  <c r="J25"/>
  <c r="K25"/>
  <c r="L25"/>
  <c r="M25"/>
  <c r="N25"/>
  <c r="O25"/>
  <c r="P25"/>
  <c r="P26"/>
  <c r="P27"/>
  <c r="P28"/>
  <c r="P29"/>
  <c r="D32"/>
  <c r="D31"/>
  <c r="E32"/>
  <c r="E31"/>
  <c r="F32"/>
  <c r="G32"/>
  <c r="H32"/>
  <c r="I32"/>
  <c r="J32"/>
  <c r="K32"/>
  <c r="K31"/>
  <c r="L32"/>
  <c r="L31"/>
  <c r="M32"/>
  <c r="M31"/>
  <c r="N32"/>
  <c r="N31"/>
  <c r="O32"/>
  <c r="O31"/>
  <c r="P33"/>
  <c r="Q33"/>
  <c r="D34"/>
  <c r="E34"/>
  <c r="P34"/>
  <c r="Q34"/>
  <c r="F34"/>
  <c r="G34"/>
  <c r="H34"/>
  <c r="I34"/>
  <c r="J34"/>
  <c r="K34"/>
  <c r="L34"/>
  <c r="M34"/>
  <c r="N34"/>
  <c r="O34"/>
  <c r="P35"/>
  <c r="Q35"/>
  <c r="P36"/>
  <c r="Q36"/>
  <c r="P37"/>
  <c r="Q37"/>
  <c r="D38"/>
  <c r="E38"/>
  <c r="P38"/>
  <c r="Q38"/>
  <c r="F38"/>
  <c r="G38"/>
  <c r="H38"/>
  <c r="I38"/>
  <c r="J38"/>
  <c r="K38"/>
  <c r="L38"/>
  <c r="M38"/>
  <c r="N38"/>
  <c r="O38"/>
  <c r="P39"/>
  <c r="Q39"/>
  <c r="D40"/>
  <c r="E40"/>
  <c r="P40"/>
  <c r="Q40"/>
  <c r="F40"/>
  <c r="G40"/>
  <c r="H40"/>
  <c r="I40"/>
  <c r="J40"/>
  <c r="K40"/>
  <c r="L40"/>
  <c r="M40"/>
  <c r="N40"/>
  <c r="O40"/>
  <c r="P41"/>
  <c r="Q41"/>
  <c r="I42"/>
  <c r="P42"/>
  <c r="Q42"/>
  <c r="P43"/>
  <c r="Q43"/>
  <c r="P44"/>
  <c r="Q44"/>
  <c r="D45"/>
  <c r="P45"/>
  <c r="Q45"/>
  <c r="E45"/>
  <c r="F45"/>
  <c r="G45"/>
  <c r="H45"/>
  <c r="I45"/>
  <c r="J45"/>
  <c r="K45"/>
  <c r="L45"/>
  <c r="P46"/>
  <c r="Q46"/>
  <c r="D47"/>
  <c r="E47"/>
  <c r="P47"/>
  <c r="Q47"/>
  <c r="F47"/>
  <c r="G47"/>
  <c r="H47"/>
  <c r="I47"/>
  <c r="J47"/>
  <c r="K47"/>
  <c r="L47"/>
  <c r="M47"/>
  <c r="N47"/>
  <c r="O47"/>
  <c r="P48"/>
  <c r="Q48"/>
  <c r="P49"/>
  <c r="Q49"/>
  <c r="D50"/>
  <c r="E50"/>
  <c r="P50"/>
  <c r="Q50"/>
  <c r="F50"/>
  <c r="G50"/>
  <c r="H50"/>
  <c r="I50"/>
  <c r="J50"/>
  <c r="K50"/>
  <c r="L50"/>
  <c r="M50"/>
  <c r="N50"/>
  <c r="O50"/>
  <c r="P51"/>
  <c r="Q51"/>
  <c r="P52"/>
  <c r="Q52"/>
  <c r="D53"/>
  <c r="E53"/>
  <c r="J53"/>
  <c r="K53"/>
  <c r="L53"/>
  <c r="M53"/>
  <c r="N53"/>
  <c r="O53"/>
  <c r="F54"/>
  <c r="F53"/>
  <c r="P54"/>
  <c r="Q54"/>
  <c r="P55"/>
  <c r="Q55"/>
  <c r="G56"/>
  <c r="G53"/>
  <c r="H56"/>
  <c r="H53"/>
  <c r="I56"/>
  <c r="I53"/>
  <c r="K56"/>
  <c r="P56"/>
  <c r="Q56"/>
  <c r="P57"/>
  <c r="Q57"/>
  <c r="P58"/>
  <c r="Q58"/>
  <c r="P59"/>
  <c r="Q59"/>
  <c r="D60"/>
  <c r="E60"/>
  <c r="G60"/>
  <c r="H60"/>
  <c r="I60"/>
  <c r="K60"/>
  <c r="L60"/>
  <c r="M60"/>
  <c r="N60"/>
  <c r="O60"/>
  <c r="P61"/>
  <c r="Q61"/>
  <c r="F62"/>
  <c r="F60"/>
  <c r="L62"/>
  <c r="P62"/>
  <c r="Q62"/>
  <c r="J63"/>
  <c r="J60"/>
  <c r="P64"/>
  <c r="Q64"/>
  <c r="D65"/>
  <c r="E65"/>
  <c r="P65"/>
  <c r="Q65"/>
  <c r="F65"/>
  <c r="G65"/>
  <c r="H65"/>
  <c r="I65"/>
  <c r="J65"/>
  <c r="K65"/>
  <c r="L65"/>
  <c r="M65"/>
  <c r="N65"/>
  <c r="O65"/>
  <c r="P66"/>
  <c r="Q66"/>
  <c r="P67"/>
  <c r="Q67"/>
  <c r="P68"/>
  <c r="Q68"/>
  <c r="P69"/>
  <c r="Q69"/>
  <c r="P70"/>
  <c r="Q70"/>
  <c r="P71"/>
  <c r="Q71"/>
  <c r="D73"/>
  <c r="E73"/>
  <c r="F73"/>
  <c r="G73"/>
  <c r="H73"/>
  <c r="I73"/>
  <c r="J73"/>
  <c r="K73"/>
  <c r="L73"/>
  <c r="L72"/>
  <c r="M73"/>
  <c r="N73"/>
  <c r="N72"/>
  <c r="O73"/>
  <c r="O72"/>
  <c r="P74"/>
  <c r="Q74"/>
  <c r="P75"/>
  <c r="Q75"/>
  <c r="P76"/>
  <c r="Q76"/>
  <c r="I77"/>
  <c r="P77"/>
  <c r="Q77"/>
  <c r="P78"/>
  <c r="Q78"/>
  <c r="P79"/>
  <c r="Q79"/>
  <c r="P80"/>
  <c r="Q80"/>
  <c r="P81"/>
  <c r="Q81"/>
  <c r="P82"/>
  <c r="Q82"/>
  <c r="P83"/>
  <c r="Q83"/>
  <c r="P84"/>
  <c r="Q84"/>
  <c r="P85"/>
  <c r="Q85"/>
  <c r="P86"/>
  <c r="Q86"/>
  <c r="P87"/>
  <c r="Q87"/>
  <c r="P88"/>
  <c r="Q88"/>
  <c r="F89"/>
  <c r="J89"/>
  <c r="L89"/>
  <c r="M89"/>
  <c r="N89"/>
  <c r="O89"/>
  <c r="D90"/>
  <c r="D89"/>
  <c r="H90"/>
  <c r="P90"/>
  <c r="Q90"/>
  <c r="P91"/>
  <c r="Q91"/>
  <c r="P92"/>
  <c r="Q92"/>
  <c r="P93"/>
  <c r="Q93"/>
  <c r="I94"/>
  <c r="I89"/>
  <c r="L94"/>
  <c r="P94"/>
  <c r="Q94"/>
  <c r="P95"/>
  <c r="Q95"/>
  <c r="P96"/>
  <c r="Q96"/>
  <c r="P97"/>
  <c r="Q97"/>
  <c r="E98"/>
  <c r="E89"/>
  <c r="G98"/>
  <c r="G89"/>
  <c r="P98"/>
  <c r="Q98"/>
  <c r="P99"/>
  <c r="Q99"/>
  <c r="P100"/>
  <c r="Q100"/>
  <c r="P101"/>
  <c r="Q101"/>
  <c r="E102"/>
  <c r="P102"/>
  <c r="Q102"/>
  <c r="P103"/>
  <c r="Q103"/>
  <c r="F104"/>
  <c r="G104"/>
  <c r="H104"/>
  <c r="I104"/>
  <c r="K104"/>
  <c r="K89"/>
  <c r="P104"/>
  <c r="Q104"/>
  <c r="P105"/>
  <c r="Q105"/>
  <c r="P106"/>
  <c r="Q106"/>
  <c r="P107"/>
  <c r="Q107"/>
  <c r="H108"/>
  <c r="H89"/>
  <c r="P109"/>
  <c r="Q109"/>
  <c r="P110"/>
  <c r="Q110"/>
  <c r="P111"/>
  <c r="Q111"/>
  <c r="P112"/>
  <c r="Q112"/>
  <c r="P113"/>
  <c r="Q113"/>
  <c r="P114"/>
  <c r="Q114"/>
  <c r="L115"/>
  <c r="P115"/>
  <c r="Q115"/>
  <c r="P116"/>
  <c r="Q116"/>
  <c r="P117"/>
  <c r="Q117"/>
  <c r="P118"/>
  <c r="Q118"/>
  <c r="P119"/>
  <c r="Q119"/>
  <c r="P120"/>
  <c r="Q120"/>
  <c r="P121"/>
  <c r="Q121"/>
  <c r="P122"/>
  <c r="Q122"/>
  <c r="P123"/>
  <c r="Q123"/>
  <c r="P124"/>
  <c r="Q124"/>
  <c r="D125"/>
  <c r="E125"/>
  <c r="F125"/>
  <c r="G125"/>
  <c r="H125"/>
  <c r="I125"/>
  <c r="L125"/>
  <c r="M125"/>
  <c r="N125"/>
  <c r="O125"/>
  <c r="J126"/>
  <c r="J125"/>
  <c r="P125"/>
  <c r="Q125"/>
  <c r="P127"/>
  <c r="Q127"/>
  <c r="P128"/>
  <c r="Q128"/>
  <c r="P129"/>
  <c r="Q129"/>
  <c r="K130"/>
  <c r="K125"/>
  <c r="P130"/>
  <c r="Q130"/>
  <c r="P131"/>
  <c r="Q131"/>
  <c r="P132"/>
  <c r="Q132"/>
  <c r="P133"/>
  <c r="Q133"/>
  <c r="Q134"/>
  <c r="Q135"/>
  <c r="Q136"/>
  <c r="P137"/>
  <c r="Q137"/>
  <c r="I138"/>
  <c r="K138"/>
  <c r="L138"/>
  <c r="M138"/>
  <c r="N138"/>
  <c r="O138"/>
  <c r="D139"/>
  <c r="D138"/>
  <c r="E139"/>
  <c r="E138"/>
  <c r="H139"/>
  <c r="H138"/>
  <c r="P139"/>
  <c r="Q139"/>
  <c r="D140"/>
  <c r="P140"/>
  <c r="Q140"/>
  <c r="H140"/>
  <c r="J140"/>
  <c r="J138"/>
  <c r="G141"/>
  <c r="P141"/>
  <c r="Q141"/>
  <c r="D142"/>
  <c r="P142"/>
  <c r="Q142"/>
  <c r="D143"/>
  <c r="E143"/>
  <c r="P143"/>
  <c r="Q143"/>
  <c r="D144"/>
  <c r="P144"/>
  <c r="Q144"/>
  <c r="E145"/>
  <c r="P145"/>
  <c r="Q145"/>
  <c r="F146"/>
  <c r="F138"/>
  <c r="P146"/>
  <c r="Q146"/>
  <c r="G147"/>
  <c r="G138"/>
  <c r="H147"/>
  <c r="J147"/>
  <c r="G148"/>
  <c r="H148"/>
  <c r="J148"/>
  <c r="P148"/>
  <c r="Q148"/>
  <c r="G149"/>
  <c r="P149"/>
  <c r="Q149"/>
  <c r="P150"/>
  <c r="Q150"/>
  <c r="D151"/>
  <c r="E151"/>
  <c r="P151"/>
  <c r="Q151"/>
  <c r="F151"/>
  <c r="G151"/>
  <c r="H151"/>
  <c r="I151"/>
  <c r="J151"/>
  <c r="K151"/>
  <c r="L151"/>
  <c r="M151"/>
  <c r="N151"/>
  <c r="O151"/>
  <c r="P152"/>
  <c r="Q152"/>
  <c r="P153"/>
  <c r="Q153"/>
  <c r="P154"/>
  <c r="Q154"/>
  <c r="P155"/>
  <c r="Q155"/>
  <c r="P156"/>
  <c r="Q156"/>
  <c r="P157"/>
  <c r="Q157"/>
  <c r="D158"/>
  <c r="E158"/>
  <c r="P158"/>
  <c r="Q158"/>
  <c r="F158"/>
  <c r="G158"/>
  <c r="H158"/>
  <c r="I158"/>
  <c r="J158"/>
  <c r="K158"/>
  <c r="L158"/>
  <c r="M158"/>
  <c r="N158"/>
  <c r="O158"/>
  <c r="P159"/>
  <c r="Q159"/>
  <c r="P160"/>
  <c r="Q160"/>
  <c r="D161"/>
  <c r="E161"/>
  <c r="P161"/>
  <c r="Q161"/>
  <c r="F161"/>
  <c r="G161"/>
  <c r="H161"/>
  <c r="I161"/>
  <c r="J161"/>
  <c r="K161"/>
  <c r="L161"/>
  <c r="M161"/>
  <c r="N161"/>
  <c r="O161"/>
  <c r="G162"/>
  <c r="P162"/>
  <c r="Q162"/>
  <c r="P163"/>
  <c r="Q163"/>
  <c r="E164"/>
  <c r="F164"/>
  <c r="G164"/>
  <c r="H164"/>
  <c r="I164"/>
  <c r="J164"/>
  <c r="L164"/>
  <c r="N164"/>
  <c r="O164"/>
  <c r="P165"/>
  <c r="Q165"/>
  <c r="K166"/>
  <c r="K164"/>
  <c r="M166"/>
  <c r="M164"/>
  <c r="P166"/>
  <c r="Q166"/>
  <c r="D167"/>
  <c r="D164"/>
  <c r="P164"/>
  <c r="Q164"/>
  <c r="F167"/>
  <c r="P167"/>
  <c r="Q167"/>
  <c r="E5" i="21"/>
  <c r="L5"/>
  <c r="S5"/>
  <c r="Z5"/>
  <c r="AG5"/>
  <c r="AN5"/>
  <c r="AU5"/>
  <c r="BB5"/>
  <c r="BI5"/>
  <c r="BP5"/>
  <c r="E8"/>
  <c r="F8"/>
  <c r="G8"/>
  <c r="H8"/>
  <c r="I8"/>
  <c r="J8"/>
  <c r="L8"/>
  <c r="M8"/>
  <c r="N8"/>
  <c r="O8"/>
  <c r="P8"/>
  <c r="Q8"/>
  <c r="S8"/>
  <c r="T8"/>
  <c r="U8"/>
  <c r="V8"/>
  <c r="W8"/>
  <c r="X8"/>
  <c r="Z8"/>
  <c r="AA8"/>
  <c r="AB8"/>
  <c r="AC8"/>
  <c r="AD8"/>
  <c r="AE8"/>
  <c r="AG8"/>
  <c r="AH8"/>
  <c r="AI8"/>
  <c r="AJ8"/>
  <c r="AK8"/>
  <c r="AL8"/>
  <c r="AN8"/>
  <c r="AO8"/>
  <c r="AP8"/>
  <c r="AQ8"/>
  <c r="AR8"/>
  <c r="AS8"/>
  <c r="AU8"/>
  <c r="AV8"/>
  <c r="AW8"/>
  <c r="AX8"/>
  <c r="AY8"/>
  <c r="AZ8"/>
  <c r="BB8"/>
  <c r="BC8"/>
  <c r="BD8"/>
  <c r="BE8"/>
  <c r="BF8"/>
  <c r="BG8"/>
  <c r="BI8"/>
  <c r="BJ8"/>
  <c r="BK8"/>
  <c r="BL8"/>
  <c r="BM8"/>
  <c r="BN8"/>
  <c r="BP8"/>
  <c r="BQ8"/>
  <c r="BR8"/>
  <c r="BS8"/>
  <c r="BT8"/>
  <c r="BU8"/>
  <c r="E10"/>
  <c r="F10"/>
  <c r="G10"/>
  <c r="H10"/>
  <c r="I10"/>
  <c r="J10"/>
  <c r="L10"/>
  <c r="M10"/>
  <c r="N10"/>
  <c r="O10"/>
  <c r="P10"/>
  <c r="Q10"/>
  <c r="S10"/>
  <c r="T10"/>
  <c r="U10"/>
  <c r="V10"/>
  <c r="W10"/>
  <c r="X10"/>
  <c r="Z10"/>
  <c r="AA10"/>
  <c r="AB10"/>
  <c r="AC10"/>
  <c r="AD10"/>
  <c r="AE10"/>
  <c r="AG10"/>
  <c r="AH10"/>
  <c r="AI10"/>
  <c r="AJ10"/>
  <c r="AK10"/>
  <c r="AL10"/>
  <c r="AN10"/>
  <c r="AO10"/>
  <c r="AP10"/>
  <c r="AQ10"/>
  <c r="AR10"/>
  <c r="AS10"/>
  <c r="AU10"/>
  <c r="AV10"/>
  <c r="AW10"/>
  <c r="AX10"/>
  <c r="AY10"/>
  <c r="AZ10"/>
  <c r="BB10"/>
  <c r="BC10"/>
  <c r="BD10"/>
  <c r="BE10"/>
  <c r="BF10"/>
  <c r="BG10"/>
  <c r="BI10"/>
  <c r="BJ10"/>
  <c r="BK10"/>
  <c r="BL10"/>
  <c r="BM10"/>
  <c r="BN10"/>
  <c r="BP10"/>
  <c r="BQ10"/>
  <c r="BR10"/>
  <c r="BS10"/>
  <c r="BT10"/>
  <c r="BU10"/>
  <c r="F11"/>
  <c r="H11"/>
  <c r="H9" s="1"/>
  <c r="H15" s="1"/>
  <c r="I11"/>
  <c r="J11"/>
  <c r="M11"/>
  <c r="O11"/>
  <c r="P11"/>
  <c r="Q11"/>
  <c r="Q9" s="1"/>
  <c r="Q15" s="1"/>
  <c r="T11"/>
  <c r="V11"/>
  <c r="V9" s="1"/>
  <c r="V15" s="1"/>
  <c r="W11"/>
  <c r="X11"/>
  <c r="X9" s="1"/>
  <c r="X15" s="1"/>
  <c r="AA11"/>
  <c r="AC11"/>
  <c r="AC9" s="1"/>
  <c r="AC15" s="1"/>
  <c r="AD11"/>
  <c r="AE11"/>
  <c r="AE9" s="1"/>
  <c r="AE15" s="1"/>
  <c r="AH11"/>
  <c r="AJ11"/>
  <c r="AJ9" s="1"/>
  <c r="AJ15" s="1"/>
  <c r="AK11"/>
  <c r="AL11"/>
  <c r="AL9" s="1"/>
  <c r="AL15" s="1"/>
  <c r="AO11"/>
  <c r="AQ11"/>
  <c r="AQ9" s="1"/>
  <c r="AQ15" s="1"/>
  <c r="AR11"/>
  <c r="AS11"/>
  <c r="AS9" s="1"/>
  <c r="AS15" s="1"/>
  <c r="AV11"/>
  <c r="AX11"/>
  <c r="AY11"/>
  <c r="AZ11"/>
  <c r="AZ9" s="1"/>
  <c r="AZ15" s="1"/>
  <c r="BC11"/>
  <c r="BE11"/>
  <c r="BE9" s="1"/>
  <c r="BE15" s="1"/>
  <c r="BF11"/>
  <c r="BG11"/>
  <c r="BJ11"/>
  <c r="BL11"/>
  <c r="BL9" s="1"/>
  <c r="BL15" s="1"/>
  <c r="BM11"/>
  <c r="BN11"/>
  <c r="BN9" s="1"/>
  <c r="BN15" s="1"/>
  <c r="BQ11"/>
  <c r="BS11"/>
  <c r="BS9" s="1"/>
  <c r="BS15" s="1"/>
  <c r="BT11"/>
  <c r="BU11"/>
  <c r="F12"/>
  <c r="I12"/>
  <c r="M12"/>
  <c r="P12"/>
  <c r="T12"/>
  <c r="W12"/>
  <c r="AA12"/>
  <c r="AD12"/>
  <c r="AH12"/>
  <c r="AK12"/>
  <c r="AO12"/>
  <c r="AR12"/>
  <c r="AV12"/>
  <c r="AY12"/>
  <c r="BC12"/>
  <c r="BF12"/>
  <c r="BJ12"/>
  <c r="BM12"/>
  <c r="BQ12"/>
  <c r="BT12"/>
  <c r="I13"/>
  <c r="P13"/>
  <c r="W13"/>
  <c r="AD13"/>
  <c r="AK13"/>
  <c r="AR13"/>
  <c r="AY13"/>
  <c r="BF13"/>
  <c r="BM13"/>
  <c r="BT13"/>
  <c r="E14"/>
  <c r="F14"/>
  <c r="G14"/>
  <c r="H14"/>
  <c r="I14"/>
  <c r="J14"/>
  <c r="L14"/>
  <c r="M14"/>
  <c r="N14"/>
  <c r="O14"/>
  <c r="P14"/>
  <c r="Q14"/>
  <c r="S14"/>
  <c r="T14"/>
  <c r="U14"/>
  <c r="V14"/>
  <c r="W14"/>
  <c r="X14"/>
  <c r="Z14"/>
  <c r="AA14"/>
  <c r="AB14"/>
  <c r="AC14"/>
  <c r="AD14"/>
  <c r="AE14"/>
  <c r="AG14"/>
  <c r="AH14"/>
  <c r="AI14"/>
  <c r="AJ14"/>
  <c r="AK14"/>
  <c r="AL14"/>
  <c r="AN14"/>
  <c r="AO14"/>
  <c r="AP14"/>
  <c r="AQ14"/>
  <c r="AR14"/>
  <c r="AS14"/>
  <c r="AU14"/>
  <c r="AV14"/>
  <c r="AW14"/>
  <c r="AX14"/>
  <c r="AY14"/>
  <c r="AZ14"/>
  <c r="BB14"/>
  <c r="BC14"/>
  <c r="BD14"/>
  <c r="BE14"/>
  <c r="BF14"/>
  <c r="BG14"/>
  <c r="BI14"/>
  <c r="BJ14"/>
  <c r="BK14"/>
  <c r="BL14"/>
  <c r="BM14"/>
  <c r="BN14"/>
  <c r="BP14"/>
  <c r="BQ14"/>
  <c r="BR14"/>
  <c r="BS14"/>
  <c r="BT14"/>
  <c r="BU14"/>
  <c r="E16"/>
  <c r="F16"/>
  <c r="G16"/>
  <c r="H16"/>
  <c r="I16"/>
  <c r="J16"/>
  <c r="L16"/>
  <c r="M16"/>
  <c r="N16"/>
  <c r="O16"/>
  <c r="P16"/>
  <c r="Q16"/>
  <c r="S16"/>
  <c r="T16"/>
  <c r="U16"/>
  <c r="V16"/>
  <c r="W16"/>
  <c r="X16"/>
  <c r="Z16"/>
  <c r="AA16"/>
  <c r="AB16"/>
  <c r="AC16"/>
  <c r="AD16"/>
  <c r="AE16"/>
  <c r="AG16"/>
  <c r="AH16"/>
  <c r="AI16"/>
  <c r="AJ16"/>
  <c r="AK16"/>
  <c r="AL16"/>
  <c r="AN16"/>
  <c r="AO16"/>
  <c r="AP16"/>
  <c r="AQ16"/>
  <c r="AR16"/>
  <c r="AS16"/>
  <c r="AU16"/>
  <c r="AV16"/>
  <c r="AW16"/>
  <c r="AX16"/>
  <c r="AY16"/>
  <c r="AZ16"/>
  <c r="BB16"/>
  <c r="BC16"/>
  <c r="BD16"/>
  <c r="BE16"/>
  <c r="BF16"/>
  <c r="BG16"/>
  <c r="BI16"/>
  <c r="BJ16"/>
  <c r="BK16"/>
  <c r="BL16"/>
  <c r="BM16"/>
  <c r="BN16"/>
  <c r="BP16"/>
  <c r="BQ16"/>
  <c r="BR16"/>
  <c r="BS16"/>
  <c r="BT16"/>
  <c r="BU16"/>
  <c r="F18"/>
  <c r="G18"/>
  <c r="H18"/>
  <c r="I18"/>
  <c r="J18"/>
  <c r="M18"/>
  <c r="N18"/>
  <c r="O18"/>
  <c r="P18"/>
  <c r="Q18"/>
  <c r="T18"/>
  <c r="U18"/>
  <c r="V18"/>
  <c r="W18"/>
  <c r="X18"/>
  <c r="AA18"/>
  <c r="AB18"/>
  <c r="AC18"/>
  <c r="AD18"/>
  <c r="AE18"/>
  <c r="AH18"/>
  <c r="AI18"/>
  <c r="AJ18"/>
  <c r="AK18"/>
  <c r="AL18"/>
  <c r="AO18"/>
  <c r="AP18"/>
  <c r="AQ18"/>
  <c r="AR18"/>
  <c r="AS18"/>
  <c r="AV18"/>
  <c r="AW18"/>
  <c r="AX18"/>
  <c r="AY18"/>
  <c r="AZ18"/>
  <c r="BC18"/>
  <c r="BD18"/>
  <c r="BE18"/>
  <c r="BF18"/>
  <c r="BG18"/>
  <c r="BJ18"/>
  <c r="BK18"/>
  <c r="BL18"/>
  <c r="BM18"/>
  <c r="BN18"/>
  <c r="BQ18"/>
  <c r="BR18"/>
  <c r="BS18"/>
  <c r="BT18"/>
  <c r="BU18"/>
  <c r="E19"/>
  <c r="E18"/>
  <c r="L19"/>
  <c r="L18"/>
  <c r="S19"/>
  <c r="S18"/>
  <c r="Z19"/>
  <c r="Z18"/>
  <c r="AG19"/>
  <c r="AG18"/>
  <c r="AN19"/>
  <c r="AN18"/>
  <c r="AU19"/>
  <c r="AU18"/>
  <c r="BB19"/>
  <c r="BB18"/>
  <c r="BI19"/>
  <c r="BI18"/>
  <c r="BP19"/>
  <c r="BP18"/>
  <c r="E23"/>
  <c r="E22"/>
  <c r="F23"/>
  <c r="F22"/>
  <c r="G23"/>
  <c r="G22"/>
  <c r="H23"/>
  <c r="H22"/>
  <c r="I23"/>
  <c r="I22"/>
  <c r="J23"/>
  <c r="J22"/>
  <c r="L23"/>
  <c r="L22"/>
  <c r="M23"/>
  <c r="M22"/>
  <c r="N23"/>
  <c r="N22"/>
  <c r="O23"/>
  <c r="O22"/>
  <c r="P23"/>
  <c r="P22"/>
  <c r="Q23"/>
  <c r="Q22"/>
  <c r="S23"/>
  <c r="S22"/>
  <c r="T23"/>
  <c r="T22"/>
  <c r="U23"/>
  <c r="U22"/>
  <c r="V23"/>
  <c r="V22"/>
  <c r="W23"/>
  <c r="W22"/>
  <c r="X23"/>
  <c r="X22"/>
  <c r="Z23"/>
  <c r="Z22"/>
  <c r="AA23"/>
  <c r="AA22"/>
  <c r="AB23"/>
  <c r="AB22"/>
  <c r="AC23"/>
  <c r="AC22"/>
  <c r="AD23"/>
  <c r="AD22"/>
  <c r="AE23"/>
  <c r="AE22"/>
  <c r="AG23"/>
  <c r="AG22"/>
  <c r="AH23"/>
  <c r="AH22"/>
  <c r="AI23"/>
  <c r="AI22"/>
  <c r="AJ23"/>
  <c r="AJ22"/>
  <c r="AK23"/>
  <c r="AK22"/>
  <c r="AL23"/>
  <c r="AL22"/>
  <c r="AN23"/>
  <c r="AN22"/>
  <c r="AO23"/>
  <c r="AO22"/>
  <c r="AP23"/>
  <c r="AP22"/>
  <c r="AQ23"/>
  <c r="AQ22"/>
  <c r="AR23"/>
  <c r="AR22"/>
  <c r="AS23"/>
  <c r="AS22"/>
  <c r="AU23"/>
  <c r="AU22"/>
  <c r="AV23"/>
  <c r="AV22"/>
  <c r="AW23"/>
  <c r="AW22"/>
  <c r="AX23"/>
  <c r="AX22"/>
  <c r="AY23"/>
  <c r="AY22"/>
  <c r="AZ23"/>
  <c r="AZ22"/>
  <c r="BB23"/>
  <c r="BB22"/>
  <c r="BC23"/>
  <c r="BC22"/>
  <c r="BD23"/>
  <c r="BD22"/>
  <c r="BE23"/>
  <c r="BE22"/>
  <c r="BF23"/>
  <c r="BF22"/>
  <c r="BG23"/>
  <c r="BG22"/>
  <c r="BI23"/>
  <c r="BI22"/>
  <c r="BJ23"/>
  <c r="BJ22"/>
  <c r="BK23"/>
  <c r="BK22"/>
  <c r="BL23"/>
  <c r="BL22"/>
  <c r="BM23"/>
  <c r="BM22"/>
  <c r="BN23"/>
  <c r="BN22"/>
  <c r="BP23"/>
  <c r="BP22"/>
  <c r="BQ23"/>
  <c r="BQ22"/>
  <c r="BR23"/>
  <c r="BR22"/>
  <c r="BS23"/>
  <c r="BS22"/>
  <c r="BT23"/>
  <c r="BT22"/>
  <c r="BU23"/>
  <c r="BU22"/>
  <c r="E24"/>
  <c r="F24"/>
  <c r="G24"/>
  <c r="H24"/>
  <c r="I24"/>
  <c r="J24"/>
  <c r="L24"/>
  <c r="M24"/>
  <c r="N24"/>
  <c r="O24"/>
  <c r="P24"/>
  <c r="Q24"/>
  <c r="S24"/>
  <c r="T24"/>
  <c r="U24"/>
  <c r="V24"/>
  <c r="W24"/>
  <c r="X24"/>
  <c r="Z24"/>
  <c r="AA24"/>
  <c r="AB24"/>
  <c r="AC24"/>
  <c r="AD24"/>
  <c r="AE24"/>
  <c r="AG24"/>
  <c r="AH24"/>
  <c r="AI24"/>
  <c r="AJ24"/>
  <c r="AK24"/>
  <c r="AL24"/>
  <c r="AN24"/>
  <c r="AO24"/>
  <c r="AP24"/>
  <c r="AQ24"/>
  <c r="AR24"/>
  <c r="AS24"/>
  <c r="AU24"/>
  <c r="AV24"/>
  <c r="AW24"/>
  <c r="AX24"/>
  <c r="AY24"/>
  <c r="AZ24"/>
  <c r="BB24"/>
  <c r="BC24"/>
  <c r="BD24"/>
  <c r="BE24"/>
  <c r="BF24"/>
  <c r="BG24"/>
  <c r="BI24"/>
  <c r="BJ24"/>
  <c r="BK24"/>
  <c r="BL24"/>
  <c r="BM24"/>
  <c r="BN24"/>
  <c r="BP24"/>
  <c r="BQ24"/>
  <c r="BR24"/>
  <c r="BS24"/>
  <c r="BT24"/>
  <c r="BU24"/>
  <c r="E28"/>
  <c r="E27"/>
  <c r="F28"/>
  <c r="F27"/>
  <c r="G28"/>
  <c r="G27"/>
  <c r="H28"/>
  <c r="H27"/>
  <c r="I28"/>
  <c r="I27"/>
  <c r="J28"/>
  <c r="J27"/>
  <c r="L28"/>
  <c r="L27"/>
  <c r="M28"/>
  <c r="M27"/>
  <c r="N28"/>
  <c r="N27"/>
  <c r="O28"/>
  <c r="O27"/>
  <c r="P28"/>
  <c r="P27"/>
  <c r="Q28"/>
  <c r="Q27"/>
  <c r="S28"/>
  <c r="S27"/>
  <c r="T28"/>
  <c r="T27"/>
  <c r="U28"/>
  <c r="U27"/>
  <c r="V28"/>
  <c r="V27"/>
  <c r="W28"/>
  <c r="W27"/>
  <c r="X28"/>
  <c r="X27"/>
  <c r="Z28"/>
  <c r="Z27"/>
  <c r="AA28"/>
  <c r="AA27"/>
  <c r="AB28"/>
  <c r="AB27"/>
  <c r="AC28"/>
  <c r="AC27"/>
  <c r="AD28"/>
  <c r="AD27"/>
  <c r="AE28"/>
  <c r="AE27"/>
  <c r="AG28"/>
  <c r="AG27"/>
  <c r="AH28"/>
  <c r="AH27"/>
  <c r="AI28"/>
  <c r="AI27"/>
  <c r="AJ28"/>
  <c r="AJ27"/>
  <c r="AK28"/>
  <c r="AK27"/>
  <c r="AL28"/>
  <c r="AL27"/>
  <c r="AN28"/>
  <c r="AN27"/>
  <c r="AO28"/>
  <c r="AO27"/>
  <c r="AP28"/>
  <c r="AP27"/>
  <c r="AQ28"/>
  <c r="AQ27"/>
  <c r="AR28"/>
  <c r="AR27"/>
  <c r="AS28"/>
  <c r="AS27"/>
  <c r="AU28"/>
  <c r="AU27"/>
  <c r="AV28"/>
  <c r="AV27"/>
  <c r="AW28"/>
  <c r="AW27"/>
  <c r="AX28"/>
  <c r="AX27"/>
  <c r="AY28"/>
  <c r="AY27"/>
  <c r="AZ28"/>
  <c r="AZ27"/>
  <c r="BB28"/>
  <c r="BB27"/>
  <c r="BC28"/>
  <c r="BC27"/>
  <c r="BD28"/>
  <c r="BD27"/>
  <c r="BE28"/>
  <c r="BE27"/>
  <c r="BF28"/>
  <c r="BF27"/>
  <c r="BG28"/>
  <c r="BG27"/>
  <c r="BI28"/>
  <c r="BI27"/>
  <c r="BJ28"/>
  <c r="BJ27"/>
  <c r="BK28"/>
  <c r="BK27"/>
  <c r="BL28"/>
  <c r="BL27"/>
  <c r="BM28"/>
  <c r="BM27"/>
  <c r="BN28"/>
  <c r="BN27"/>
  <c r="BP28"/>
  <c r="BP27"/>
  <c r="BQ28"/>
  <c r="BQ27"/>
  <c r="BR28"/>
  <c r="BR27"/>
  <c r="BS28"/>
  <c r="BS27"/>
  <c r="BT28"/>
  <c r="BT27"/>
  <c r="BU28"/>
  <c r="BU27"/>
  <c r="E29"/>
  <c r="F29"/>
  <c r="G29"/>
  <c r="H29"/>
  <c r="I29"/>
  <c r="J29"/>
  <c r="L29"/>
  <c r="M29"/>
  <c r="N29"/>
  <c r="O29"/>
  <c r="P29"/>
  <c r="Q29"/>
  <c r="S29"/>
  <c r="T29"/>
  <c r="U29"/>
  <c r="V29"/>
  <c r="W29"/>
  <c r="X29"/>
  <c r="Z29"/>
  <c r="AA29"/>
  <c r="AB29"/>
  <c r="AC29"/>
  <c r="AD29"/>
  <c r="AE29"/>
  <c r="AG29"/>
  <c r="AH29"/>
  <c r="AI29"/>
  <c r="AJ29"/>
  <c r="AK29"/>
  <c r="AL29"/>
  <c r="AN29"/>
  <c r="AO29"/>
  <c r="AP29"/>
  <c r="AQ29"/>
  <c r="AR29"/>
  <c r="AS29"/>
  <c r="AU29"/>
  <c r="AV29"/>
  <c r="AW29"/>
  <c r="AX29"/>
  <c r="AY29"/>
  <c r="AZ29"/>
  <c r="BB29"/>
  <c r="BC29"/>
  <c r="BD29"/>
  <c r="BE29"/>
  <c r="BF29"/>
  <c r="BG29"/>
  <c r="BI29"/>
  <c r="BJ29"/>
  <c r="BK29"/>
  <c r="BL29"/>
  <c r="BM29"/>
  <c r="BN29"/>
  <c r="BP29"/>
  <c r="BQ29"/>
  <c r="BR29"/>
  <c r="BS29"/>
  <c r="BT29"/>
  <c r="BU29"/>
  <c r="E30"/>
  <c r="F30"/>
  <c r="G30"/>
  <c r="H30"/>
  <c r="I30"/>
  <c r="J30"/>
  <c r="L30"/>
  <c r="M30"/>
  <c r="N30"/>
  <c r="O30"/>
  <c r="P30"/>
  <c r="Q30"/>
  <c r="S30"/>
  <c r="T30"/>
  <c r="U30"/>
  <c r="V30"/>
  <c r="W30"/>
  <c r="X30"/>
  <c r="Z30"/>
  <c r="AA30"/>
  <c r="AB30"/>
  <c r="AC30"/>
  <c r="AD30"/>
  <c r="AE30"/>
  <c r="AG30"/>
  <c r="AH30"/>
  <c r="AI30"/>
  <c r="AJ30"/>
  <c r="AK30"/>
  <c r="AL30"/>
  <c r="AN30"/>
  <c r="AO30"/>
  <c r="AP30"/>
  <c r="AQ30"/>
  <c r="AR30"/>
  <c r="AS30"/>
  <c r="AU30"/>
  <c r="AV30"/>
  <c r="AW30"/>
  <c r="AX30"/>
  <c r="AY30"/>
  <c r="AZ30"/>
  <c r="BB30"/>
  <c r="BC30"/>
  <c r="BD30"/>
  <c r="BE30"/>
  <c r="BF30"/>
  <c r="BG30"/>
  <c r="BI30"/>
  <c r="BJ30"/>
  <c r="BK30"/>
  <c r="BL30"/>
  <c r="BM30"/>
  <c r="BN30"/>
  <c r="BP30"/>
  <c r="BQ30"/>
  <c r="BR30"/>
  <c r="BS30"/>
  <c r="BT30"/>
  <c r="BU30"/>
  <c r="E2" i="20"/>
  <c r="F2"/>
  <c r="B5"/>
  <c r="D9"/>
  <c r="E9"/>
  <c r="D12"/>
  <c r="E12"/>
  <c r="C14"/>
  <c r="D14"/>
  <c r="E14"/>
  <c r="D15"/>
  <c r="E15"/>
  <c r="N6" i="11"/>
  <c r="Y6"/>
  <c r="AA6"/>
  <c r="F8"/>
  <c r="L8"/>
  <c r="Q8"/>
  <c r="W8"/>
  <c r="F10"/>
  <c r="H10"/>
  <c r="J10"/>
  <c r="L10"/>
  <c r="Q10"/>
  <c r="S10"/>
  <c r="U10"/>
  <c r="W10"/>
  <c r="F11"/>
  <c r="H11"/>
  <c r="J11"/>
  <c r="L11"/>
  <c r="Q11"/>
  <c r="S11"/>
  <c r="U11"/>
  <c r="W11"/>
  <c r="F19"/>
  <c r="H19"/>
  <c r="J19"/>
  <c r="L19"/>
  <c r="Q19"/>
  <c r="S19"/>
  <c r="U19"/>
  <c r="W19"/>
  <c r="F21"/>
  <c r="F20"/>
  <c r="J21"/>
  <c r="J20"/>
  <c r="L21"/>
  <c r="L20"/>
  <c r="Q21"/>
  <c r="Y21"/>
  <c r="U21"/>
  <c r="W21"/>
  <c r="W20"/>
  <c r="F22"/>
  <c r="H22"/>
  <c r="N22"/>
  <c r="AA22"/>
  <c r="J22"/>
  <c r="L22"/>
  <c r="Q22"/>
  <c r="S22"/>
  <c r="S20"/>
  <c r="U22"/>
  <c r="U20"/>
  <c r="W22"/>
  <c r="Y22"/>
  <c r="N23"/>
  <c r="Y23"/>
  <c r="AA23"/>
  <c r="N24"/>
  <c r="Y24"/>
  <c r="AA24"/>
  <c r="N25"/>
  <c r="Y25"/>
  <c r="AA25"/>
  <c r="N26"/>
  <c r="Y26"/>
  <c r="AA26"/>
  <c r="H27"/>
  <c r="N27"/>
  <c r="S27"/>
  <c r="Y27"/>
  <c r="H28"/>
  <c r="N28"/>
  <c r="AA28"/>
  <c r="S28"/>
  <c r="Y28"/>
  <c r="I30"/>
  <c r="K30"/>
  <c r="M30"/>
  <c r="R30"/>
  <c r="T30"/>
  <c r="V30"/>
  <c r="X30"/>
  <c r="Z30"/>
  <c r="F31"/>
  <c r="G31"/>
  <c r="H31"/>
  <c r="H30"/>
  <c r="H44"/>
  <c r="I31"/>
  <c r="J31"/>
  <c r="J30"/>
  <c r="J44"/>
  <c r="K31"/>
  <c r="L31"/>
  <c r="L30"/>
  <c r="L44"/>
  <c r="M31"/>
  <c r="N31"/>
  <c r="O31"/>
  <c r="Q31"/>
  <c r="Q30"/>
  <c r="R31"/>
  <c r="S31"/>
  <c r="S30"/>
  <c r="T31"/>
  <c r="U31"/>
  <c r="U30"/>
  <c r="V31"/>
  <c r="W31"/>
  <c r="W30"/>
  <c r="X31"/>
  <c r="Y31"/>
  <c r="Z31"/>
  <c r="AA31"/>
  <c r="AB31"/>
  <c r="F32"/>
  <c r="G32"/>
  <c r="H32"/>
  <c r="I32"/>
  <c r="J32"/>
  <c r="K32"/>
  <c r="L32"/>
  <c r="M32"/>
  <c r="N32"/>
  <c r="O32"/>
  <c r="Q32"/>
  <c r="R32"/>
  <c r="S32"/>
  <c r="T32"/>
  <c r="U32"/>
  <c r="V32"/>
  <c r="W32"/>
  <c r="X32"/>
  <c r="Y32"/>
  <c r="Z32"/>
  <c r="AA32"/>
  <c r="AB32"/>
  <c r="F33"/>
  <c r="G33"/>
  <c r="H33"/>
  <c r="I33"/>
  <c r="J33"/>
  <c r="K33"/>
  <c r="L33"/>
  <c r="M33"/>
  <c r="N33"/>
  <c r="O33"/>
  <c r="Q33"/>
  <c r="R33"/>
  <c r="S33"/>
  <c r="T33"/>
  <c r="U33"/>
  <c r="V33"/>
  <c r="W33"/>
  <c r="X33"/>
  <c r="Y33"/>
  <c r="Z33"/>
  <c r="AA33"/>
  <c r="AB33"/>
  <c r="I34"/>
  <c r="K34"/>
  <c r="M34"/>
  <c r="R34"/>
  <c r="T34"/>
  <c r="V34"/>
  <c r="X34"/>
  <c r="Z34"/>
  <c r="I35"/>
  <c r="K35"/>
  <c r="M35"/>
  <c r="R35"/>
  <c r="T35"/>
  <c r="V35"/>
  <c r="X35"/>
  <c r="Z35"/>
  <c r="F36"/>
  <c r="G36"/>
  <c r="H36"/>
  <c r="H35"/>
  <c r="H34"/>
  <c r="I36"/>
  <c r="J36"/>
  <c r="J35"/>
  <c r="J34"/>
  <c r="K36"/>
  <c r="L36"/>
  <c r="L35"/>
  <c r="L34"/>
  <c r="M36"/>
  <c r="N36"/>
  <c r="O36"/>
  <c r="Q36"/>
  <c r="Q35"/>
  <c r="R36"/>
  <c r="S36"/>
  <c r="S35"/>
  <c r="S34"/>
  <c r="T36"/>
  <c r="U36"/>
  <c r="U35"/>
  <c r="U34"/>
  <c r="V36"/>
  <c r="W36"/>
  <c r="W35"/>
  <c r="W34"/>
  <c r="X36"/>
  <c r="Y36"/>
  <c r="Z36"/>
  <c r="AA36"/>
  <c r="AB36"/>
  <c r="F37"/>
  <c r="G37"/>
  <c r="H37"/>
  <c r="I37"/>
  <c r="J37"/>
  <c r="K37"/>
  <c r="L37"/>
  <c r="M37"/>
  <c r="N37"/>
  <c r="O37"/>
  <c r="Q37"/>
  <c r="R37"/>
  <c r="S37"/>
  <c r="T37"/>
  <c r="U37"/>
  <c r="V37"/>
  <c r="W37"/>
  <c r="X37"/>
  <c r="Y37"/>
  <c r="Z37"/>
  <c r="AA37"/>
  <c r="AB37"/>
  <c r="F38"/>
  <c r="G38"/>
  <c r="H38"/>
  <c r="I38"/>
  <c r="J38"/>
  <c r="K38"/>
  <c r="L38"/>
  <c r="M38"/>
  <c r="N38"/>
  <c r="O38"/>
  <c r="Q38"/>
  <c r="R38"/>
  <c r="S38"/>
  <c r="T38"/>
  <c r="U38"/>
  <c r="V38"/>
  <c r="W38"/>
  <c r="X38"/>
  <c r="Y38"/>
  <c r="Z38"/>
  <c r="AA38"/>
  <c r="AB38"/>
  <c r="F39"/>
  <c r="G39"/>
  <c r="H39"/>
  <c r="I39"/>
  <c r="J39"/>
  <c r="K39"/>
  <c r="L39"/>
  <c r="M39"/>
  <c r="N39"/>
  <c r="O39"/>
  <c r="Q39"/>
  <c r="R39"/>
  <c r="S39"/>
  <c r="T39"/>
  <c r="U39"/>
  <c r="V39"/>
  <c r="W39"/>
  <c r="X39"/>
  <c r="Y39"/>
  <c r="Z39"/>
  <c r="AA39"/>
  <c r="AB39"/>
  <c r="F40"/>
  <c r="G40"/>
  <c r="H40"/>
  <c r="I40"/>
  <c r="J40"/>
  <c r="K40"/>
  <c r="L40"/>
  <c r="M40"/>
  <c r="N40"/>
  <c r="O40"/>
  <c r="Q40"/>
  <c r="R40"/>
  <c r="S40"/>
  <c r="T40"/>
  <c r="U40"/>
  <c r="V40"/>
  <c r="W40"/>
  <c r="X40"/>
  <c r="Y40"/>
  <c r="Z40"/>
  <c r="AA40"/>
  <c r="AB40"/>
  <c r="F41"/>
  <c r="G41"/>
  <c r="H41"/>
  <c r="I41"/>
  <c r="J41"/>
  <c r="K41"/>
  <c r="L41"/>
  <c r="M41"/>
  <c r="N41"/>
  <c r="O41"/>
  <c r="Q41"/>
  <c r="R41"/>
  <c r="S41"/>
  <c r="T41"/>
  <c r="U41"/>
  <c r="V41"/>
  <c r="W41"/>
  <c r="X41"/>
  <c r="Y41"/>
  <c r="Z41"/>
  <c r="AA41"/>
  <c r="AB41"/>
  <c r="F42"/>
  <c r="G42"/>
  <c r="H42"/>
  <c r="I42"/>
  <c r="J42"/>
  <c r="K42"/>
  <c r="L42"/>
  <c r="M42"/>
  <c r="N42"/>
  <c r="O42"/>
  <c r="Q42"/>
  <c r="R42"/>
  <c r="S42"/>
  <c r="T42"/>
  <c r="U42"/>
  <c r="V42"/>
  <c r="W42"/>
  <c r="X42"/>
  <c r="Y42"/>
  <c r="Z42"/>
  <c r="AA42"/>
  <c r="AB42"/>
  <c r="F43"/>
  <c r="G43"/>
  <c r="H43"/>
  <c r="I43"/>
  <c r="J43"/>
  <c r="K43"/>
  <c r="L43"/>
  <c r="M43"/>
  <c r="N43"/>
  <c r="O43"/>
  <c r="Q43"/>
  <c r="R43"/>
  <c r="S43"/>
  <c r="T43"/>
  <c r="U43"/>
  <c r="V43"/>
  <c r="W43"/>
  <c r="X43"/>
  <c r="Y43"/>
  <c r="Z43"/>
  <c r="AA43"/>
  <c r="AB43"/>
  <c r="I44"/>
  <c r="K44"/>
  <c r="M44"/>
  <c r="R44"/>
  <c r="T44"/>
  <c r="V44"/>
  <c r="X44"/>
  <c r="Z44"/>
  <c r="I45"/>
  <c r="K45"/>
  <c r="M45"/>
  <c r="R45"/>
  <c r="T45"/>
  <c r="V45"/>
  <c r="X45"/>
  <c r="Z45"/>
  <c r="I46"/>
  <c r="K46"/>
  <c r="M46"/>
  <c r="R46"/>
  <c r="T46"/>
  <c r="V46"/>
  <c r="X46"/>
  <c r="Z46"/>
  <c r="I47"/>
  <c r="K47"/>
  <c r="M47"/>
  <c r="R47"/>
  <c r="T47"/>
  <c r="V47"/>
  <c r="X47"/>
  <c r="Z47"/>
  <c r="F48"/>
  <c r="G48"/>
  <c r="H48"/>
  <c r="H47"/>
  <c r="H46"/>
  <c r="I48"/>
  <c r="J48"/>
  <c r="J47"/>
  <c r="J46"/>
  <c r="K48"/>
  <c r="L48"/>
  <c r="L47"/>
  <c r="L46"/>
  <c r="M48"/>
  <c r="N48"/>
  <c r="O48"/>
  <c r="R48"/>
  <c r="T48"/>
  <c r="V48"/>
  <c r="X48"/>
  <c r="Y48"/>
  <c r="AB48"/>
  <c r="G49"/>
  <c r="I49"/>
  <c r="K49"/>
  <c r="M49"/>
  <c r="O49"/>
  <c r="Q49"/>
  <c r="Q47"/>
  <c r="R49"/>
  <c r="S49"/>
  <c r="S47"/>
  <c r="S46"/>
  <c r="T49"/>
  <c r="U49"/>
  <c r="U47"/>
  <c r="U46"/>
  <c r="V49"/>
  <c r="W49"/>
  <c r="W47"/>
  <c r="W46"/>
  <c r="X49"/>
  <c r="AB49"/>
  <c r="F50"/>
  <c r="G50"/>
  <c r="H50"/>
  <c r="I50"/>
  <c r="J50"/>
  <c r="K50"/>
  <c r="L50"/>
  <c r="M50"/>
  <c r="N50"/>
  <c r="Q50"/>
  <c r="R50"/>
  <c r="S50"/>
  <c r="T50"/>
  <c r="U50"/>
  <c r="V50"/>
  <c r="W50"/>
  <c r="X50"/>
  <c r="Y50"/>
  <c r="F51"/>
  <c r="G51"/>
  <c r="H51"/>
  <c r="I51"/>
  <c r="J51"/>
  <c r="K51"/>
  <c r="L51"/>
  <c r="M51"/>
  <c r="N51"/>
  <c r="O51"/>
  <c r="Q51"/>
  <c r="R51"/>
  <c r="S51"/>
  <c r="T51"/>
  <c r="U51"/>
  <c r="V51"/>
  <c r="W51"/>
  <c r="X51"/>
  <c r="Y51"/>
  <c r="Z51"/>
  <c r="AA51"/>
  <c r="AB51"/>
  <c r="G52"/>
  <c r="I52"/>
  <c r="K52"/>
  <c r="M52"/>
  <c r="O52"/>
  <c r="R52"/>
  <c r="T52"/>
  <c r="V52"/>
  <c r="X52"/>
  <c r="AB52"/>
  <c r="G53"/>
  <c r="I53"/>
  <c r="K53"/>
  <c r="M53"/>
  <c r="O53"/>
  <c r="R53"/>
  <c r="T53"/>
  <c r="V53"/>
  <c r="X53"/>
  <c r="AB53"/>
  <c r="B54"/>
  <c r="I54"/>
  <c r="K54"/>
  <c r="M54"/>
  <c r="R54"/>
  <c r="T54"/>
  <c r="V54"/>
  <c r="X54"/>
  <c r="Z54"/>
  <c r="G55"/>
  <c r="I55"/>
  <c r="K55"/>
  <c r="L55"/>
  <c r="L54"/>
  <c r="M55"/>
  <c r="N55"/>
  <c r="O55"/>
  <c r="R55"/>
  <c r="T55"/>
  <c r="V55"/>
  <c r="W55"/>
  <c r="W54"/>
  <c r="X55"/>
  <c r="Y55"/>
  <c r="Z55"/>
  <c r="H56"/>
  <c r="H54"/>
  <c r="I56"/>
  <c r="J56"/>
  <c r="J54"/>
  <c r="K56"/>
  <c r="M56"/>
  <c r="R56"/>
  <c r="S56"/>
  <c r="S54"/>
  <c r="T56"/>
  <c r="U56"/>
  <c r="U54"/>
  <c r="V56"/>
  <c r="X56"/>
  <c r="Z56"/>
  <c r="F61"/>
  <c r="L61"/>
  <c r="Q61"/>
  <c r="W61"/>
  <c r="F62"/>
  <c r="F56"/>
  <c r="L62"/>
  <c r="L56"/>
  <c r="Q62"/>
  <c r="Q56"/>
  <c r="W62"/>
  <c r="W56"/>
  <c r="I63"/>
  <c r="K63"/>
  <c r="M63"/>
  <c r="R63"/>
  <c r="T63"/>
  <c r="V63"/>
  <c r="X63"/>
  <c r="Z63"/>
  <c r="F65"/>
  <c r="H65"/>
  <c r="N65"/>
  <c r="AA65"/>
  <c r="J65"/>
  <c r="L65"/>
  <c r="Q65"/>
  <c r="S65"/>
  <c r="U65"/>
  <c r="W65"/>
  <c r="Y65"/>
  <c r="B66"/>
  <c r="F66" s="1"/>
  <c r="I66"/>
  <c r="K66"/>
  <c r="M66"/>
  <c r="R66"/>
  <c r="T66"/>
  <c r="V66"/>
  <c r="X66"/>
  <c r="Z66"/>
  <c r="I67"/>
  <c r="K67"/>
  <c r="M67"/>
  <c r="R67"/>
  <c r="T67"/>
  <c r="V67"/>
  <c r="X67"/>
  <c r="Z67"/>
  <c r="I68"/>
  <c r="K68"/>
  <c r="M68"/>
  <c r="R68"/>
  <c r="T68"/>
  <c r="V68"/>
  <c r="X68"/>
  <c r="Z68"/>
  <c r="I69"/>
  <c r="K69"/>
  <c r="M69"/>
  <c r="R69"/>
  <c r="T69"/>
  <c r="V69"/>
  <c r="X69"/>
  <c r="Z69"/>
  <c r="N6" i="7"/>
  <c r="Y6"/>
  <c r="AA6"/>
  <c r="F8"/>
  <c r="L8"/>
  <c r="Q8"/>
  <c r="W8"/>
  <c r="F10"/>
  <c r="H10"/>
  <c r="H36"/>
  <c r="J10"/>
  <c r="Q10"/>
  <c r="S10"/>
  <c r="U10"/>
  <c r="W10"/>
  <c r="F11"/>
  <c r="H11"/>
  <c r="J11"/>
  <c r="L11"/>
  <c r="Q11"/>
  <c r="S11"/>
  <c r="U11"/>
  <c r="W11"/>
  <c r="F19"/>
  <c r="H19"/>
  <c r="J19"/>
  <c r="L19"/>
  <c r="Q19"/>
  <c r="S19"/>
  <c r="U19"/>
  <c r="W19"/>
  <c r="F21"/>
  <c r="F20"/>
  <c r="J21"/>
  <c r="J20"/>
  <c r="L21"/>
  <c r="L20"/>
  <c r="N21"/>
  <c r="Q21"/>
  <c r="Q20"/>
  <c r="U21"/>
  <c r="U20"/>
  <c r="W21"/>
  <c r="W20"/>
  <c r="Y21"/>
  <c r="AA21"/>
  <c r="F22"/>
  <c r="H22"/>
  <c r="H20"/>
  <c r="J22"/>
  <c r="L22"/>
  <c r="N22"/>
  <c r="Q22"/>
  <c r="S22"/>
  <c r="S20"/>
  <c r="U22"/>
  <c r="W22"/>
  <c r="N23"/>
  <c r="Y23"/>
  <c r="AA23"/>
  <c r="N24"/>
  <c r="Y24"/>
  <c r="AA24"/>
  <c r="N25"/>
  <c r="Y25"/>
  <c r="AA25"/>
  <c r="N26"/>
  <c r="Y26"/>
  <c r="AA26"/>
  <c r="H27"/>
  <c r="N27"/>
  <c r="AA27"/>
  <c r="S27"/>
  <c r="Y27"/>
  <c r="H28"/>
  <c r="N28"/>
  <c r="AA28"/>
  <c r="S28"/>
  <c r="Y28"/>
  <c r="I30"/>
  <c r="K30"/>
  <c r="R30"/>
  <c r="T30"/>
  <c r="V30"/>
  <c r="X30"/>
  <c r="Z30"/>
  <c r="F31"/>
  <c r="F30"/>
  <c r="G31"/>
  <c r="H31"/>
  <c r="H30"/>
  <c r="I31"/>
  <c r="J31"/>
  <c r="J30"/>
  <c r="K31"/>
  <c r="L31"/>
  <c r="L30"/>
  <c r="M31"/>
  <c r="N31"/>
  <c r="O31"/>
  <c r="Q31"/>
  <c r="Q30"/>
  <c r="R31"/>
  <c r="S31"/>
  <c r="S30"/>
  <c r="T31"/>
  <c r="U31"/>
  <c r="U30"/>
  <c r="V31"/>
  <c r="W31"/>
  <c r="W30"/>
  <c r="X31"/>
  <c r="Y31"/>
  <c r="Z31"/>
  <c r="AA31"/>
  <c r="AB31"/>
  <c r="F32"/>
  <c r="G32"/>
  <c r="H32"/>
  <c r="I32"/>
  <c r="J32"/>
  <c r="K32"/>
  <c r="L32"/>
  <c r="M32"/>
  <c r="N32"/>
  <c r="O32"/>
  <c r="Q32"/>
  <c r="R32"/>
  <c r="S32"/>
  <c r="T32"/>
  <c r="U32"/>
  <c r="V32"/>
  <c r="W32"/>
  <c r="X32"/>
  <c r="Y32"/>
  <c r="Z32"/>
  <c r="AA32"/>
  <c r="AB32"/>
  <c r="F33"/>
  <c r="G33"/>
  <c r="H33"/>
  <c r="I33"/>
  <c r="J33"/>
  <c r="K33"/>
  <c r="L33"/>
  <c r="M33"/>
  <c r="N33"/>
  <c r="O33"/>
  <c r="Q33"/>
  <c r="R33"/>
  <c r="S33"/>
  <c r="T33"/>
  <c r="U33"/>
  <c r="V33"/>
  <c r="W33"/>
  <c r="X33"/>
  <c r="Y33"/>
  <c r="Z33"/>
  <c r="AA33"/>
  <c r="AB33"/>
  <c r="I34"/>
  <c r="K34"/>
  <c r="R34"/>
  <c r="T34"/>
  <c r="V34"/>
  <c r="X34"/>
  <c r="Z34"/>
  <c r="I35"/>
  <c r="K35"/>
  <c r="R35"/>
  <c r="T35"/>
  <c r="V35"/>
  <c r="X35"/>
  <c r="Z35"/>
  <c r="F36"/>
  <c r="F35"/>
  <c r="G36"/>
  <c r="I36"/>
  <c r="J36"/>
  <c r="J35"/>
  <c r="J34"/>
  <c r="K36"/>
  <c r="Q36"/>
  <c r="Q35"/>
  <c r="R36"/>
  <c r="S36"/>
  <c r="S35"/>
  <c r="S34"/>
  <c r="T36"/>
  <c r="U36"/>
  <c r="U35"/>
  <c r="U34"/>
  <c r="V36"/>
  <c r="W36"/>
  <c r="W35"/>
  <c r="W34"/>
  <c r="X36"/>
  <c r="Y36"/>
  <c r="Z36"/>
  <c r="F37"/>
  <c r="G37"/>
  <c r="H37"/>
  <c r="I37"/>
  <c r="J37"/>
  <c r="K37"/>
  <c r="L37"/>
  <c r="M37"/>
  <c r="N37"/>
  <c r="O37"/>
  <c r="Q37"/>
  <c r="R37"/>
  <c r="S37"/>
  <c r="T37"/>
  <c r="U37"/>
  <c r="V37"/>
  <c r="W37"/>
  <c r="X37"/>
  <c r="Y37"/>
  <c r="Z37"/>
  <c r="AA37"/>
  <c r="AB37"/>
  <c r="F38"/>
  <c r="G38"/>
  <c r="H38"/>
  <c r="I38"/>
  <c r="J38"/>
  <c r="K38"/>
  <c r="L38"/>
  <c r="M38"/>
  <c r="N38"/>
  <c r="O38"/>
  <c r="Q38"/>
  <c r="R38"/>
  <c r="S38"/>
  <c r="T38"/>
  <c r="U38"/>
  <c r="V38"/>
  <c r="W38"/>
  <c r="X38"/>
  <c r="Y38"/>
  <c r="Z38"/>
  <c r="AA38"/>
  <c r="AB38"/>
  <c r="F39"/>
  <c r="G39"/>
  <c r="H39"/>
  <c r="I39"/>
  <c r="J39"/>
  <c r="K39"/>
  <c r="L39"/>
  <c r="M39"/>
  <c r="N39"/>
  <c r="O39"/>
  <c r="Q39"/>
  <c r="R39"/>
  <c r="S39"/>
  <c r="T39"/>
  <c r="U39"/>
  <c r="V39"/>
  <c r="W39"/>
  <c r="X39"/>
  <c r="Y39"/>
  <c r="Z39"/>
  <c r="AA39"/>
  <c r="AB39"/>
  <c r="F40"/>
  <c r="G40"/>
  <c r="H40"/>
  <c r="I40"/>
  <c r="J40"/>
  <c r="K40"/>
  <c r="L40"/>
  <c r="M40"/>
  <c r="N40"/>
  <c r="O40"/>
  <c r="Q40"/>
  <c r="R40"/>
  <c r="S40"/>
  <c r="T40"/>
  <c r="U40"/>
  <c r="V40"/>
  <c r="W40"/>
  <c r="X40"/>
  <c r="Y40"/>
  <c r="Z40"/>
  <c r="AA40"/>
  <c r="AB40"/>
  <c r="F41"/>
  <c r="G41"/>
  <c r="H41"/>
  <c r="I41"/>
  <c r="J41"/>
  <c r="K41"/>
  <c r="L41"/>
  <c r="M41"/>
  <c r="N41"/>
  <c r="O41"/>
  <c r="Q41"/>
  <c r="R41"/>
  <c r="S41"/>
  <c r="T41"/>
  <c r="U41"/>
  <c r="V41"/>
  <c r="W41"/>
  <c r="X41"/>
  <c r="Y41"/>
  <c r="Z41"/>
  <c r="AA41"/>
  <c r="AB41"/>
  <c r="F42"/>
  <c r="G42"/>
  <c r="H42"/>
  <c r="I42"/>
  <c r="J42"/>
  <c r="K42"/>
  <c r="L42"/>
  <c r="M42"/>
  <c r="N42"/>
  <c r="O42"/>
  <c r="Q42"/>
  <c r="R42"/>
  <c r="S42"/>
  <c r="T42"/>
  <c r="U42"/>
  <c r="V42"/>
  <c r="W42"/>
  <c r="X42"/>
  <c r="Y42"/>
  <c r="Z42"/>
  <c r="AA42"/>
  <c r="AB42"/>
  <c r="F43"/>
  <c r="G43"/>
  <c r="H43"/>
  <c r="I43"/>
  <c r="J43"/>
  <c r="K43"/>
  <c r="L43"/>
  <c r="M43"/>
  <c r="N43"/>
  <c r="O43"/>
  <c r="Q43"/>
  <c r="R43"/>
  <c r="S43"/>
  <c r="T43"/>
  <c r="U43"/>
  <c r="V43"/>
  <c r="W43"/>
  <c r="X43"/>
  <c r="Y43"/>
  <c r="Z43"/>
  <c r="AA43"/>
  <c r="AB43"/>
  <c r="I44"/>
  <c r="K44"/>
  <c r="R44"/>
  <c r="T44"/>
  <c r="V44"/>
  <c r="X44"/>
  <c r="Z44"/>
  <c r="I45"/>
  <c r="K45"/>
  <c r="R45"/>
  <c r="T45"/>
  <c r="V45"/>
  <c r="X45"/>
  <c r="Z45"/>
  <c r="I46"/>
  <c r="K46"/>
  <c r="R46"/>
  <c r="T46"/>
  <c r="V46"/>
  <c r="X46"/>
  <c r="Z46"/>
  <c r="I47"/>
  <c r="K47"/>
  <c r="R47"/>
  <c r="T47"/>
  <c r="V47"/>
  <c r="X47"/>
  <c r="Z47"/>
  <c r="F48"/>
  <c r="F47"/>
  <c r="G48"/>
  <c r="H48"/>
  <c r="H47"/>
  <c r="H46"/>
  <c r="H45"/>
  <c r="I48"/>
  <c r="J48"/>
  <c r="J47"/>
  <c r="J46"/>
  <c r="J45"/>
  <c r="K48"/>
  <c r="L48"/>
  <c r="L47"/>
  <c r="M48"/>
  <c r="N48"/>
  <c r="O48"/>
  <c r="R48"/>
  <c r="T48"/>
  <c r="V48"/>
  <c r="X48"/>
  <c r="Y48"/>
  <c r="AB48"/>
  <c r="G49"/>
  <c r="I49"/>
  <c r="K49"/>
  <c r="M49"/>
  <c r="O49"/>
  <c r="Q49"/>
  <c r="Q47"/>
  <c r="R49"/>
  <c r="S49"/>
  <c r="S47"/>
  <c r="S46"/>
  <c r="T49"/>
  <c r="U49"/>
  <c r="U47"/>
  <c r="U46"/>
  <c r="V49"/>
  <c r="W49"/>
  <c r="W47"/>
  <c r="W46"/>
  <c r="X49"/>
  <c r="AB49"/>
  <c r="F50"/>
  <c r="G50"/>
  <c r="H50"/>
  <c r="I50"/>
  <c r="J50"/>
  <c r="K50"/>
  <c r="L50"/>
  <c r="M50"/>
  <c r="N50"/>
  <c r="Q50"/>
  <c r="R50"/>
  <c r="S50"/>
  <c r="T50"/>
  <c r="U50"/>
  <c r="V50"/>
  <c r="W50"/>
  <c r="X50"/>
  <c r="Y50"/>
  <c r="F51"/>
  <c r="G51"/>
  <c r="H51"/>
  <c r="I51"/>
  <c r="J51"/>
  <c r="K51"/>
  <c r="L51"/>
  <c r="M51"/>
  <c r="N51"/>
  <c r="O51"/>
  <c r="Q51"/>
  <c r="R51"/>
  <c r="S51"/>
  <c r="T51"/>
  <c r="U51"/>
  <c r="V51"/>
  <c r="W51"/>
  <c r="X51"/>
  <c r="Y51"/>
  <c r="Z51"/>
  <c r="AA51"/>
  <c r="AB51"/>
  <c r="G52"/>
  <c r="I52"/>
  <c r="K52"/>
  <c r="M52"/>
  <c r="O52"/>
  <c r="R52"/>
  <c r="T52"/>
  <c r="V52"/>
  <c r="X52"/>
  <c r="AB52"/>
  <c r="G53"/>
  <c r="I53"/>
  <c r="K53"/>
  <c r="M53"/>
  <c r="O53"/>
  <c r="R53"/>
  <c r="T53"/>
  <c r="V53"/>
  <c r="X53"/>
  <c r="AB53"/>
  <c r="B54"/>
  <c r="I54"/>
  <c r="K54"/>
  <c r="R54"/>
  <c r="T54"/>
  <c r="V54"/>
  <c r="X54"/>
  <c r="Z54"/>
  <c r="G55"/>
  <c r="I55"/>
  <c r="K55"/>
  <c r="L55"/>
  <c r="L54"/>
  <c r="M54"/>
  <c r="M55"/>
  <c r="N55"/>
  <c r="O55"/>
  <c r="R55"/>
  <c r="T55"/>
  <c r="V55"/>
  <c r="W55"/>
  <c r="W54"/>
  <c r="X55"/>
  <c r="Y55"/>
  <c r="Z55"/>
  <c r="AA55"/>
  <c r="AB55"/>
  <c r="H56"/>
  <c r="H54"/>
  <c r="I56"/>
  <c r="J56"/>
  <c r="J54"/>
  <c r="K56"/>
  <c r="L56"/>
  <c r="M56"/>
  <c r="R56"/>
  <c r="S56"/>
  <c r="S54"/>
  <c r="T56"/>
  <c r="U56"/>
  <c r="U54"/>
  <c r="V56"/>
  <c r="W56"/>
  <c r="X56"/>
  <c r="Z56"/>
  <c r="L61"/>
  <c r="W61"/>
  <c r="F62"/>
  <c r="F56"/>
  <c r="L62"/>
  <c r="Q62"/>
  <c r="Q56"/>
  <c r="W62"/>
  <c r="I63"/>
  <c r="K63"/>
  <c r="R63"/>
  <c r="T63"/>
  <c r="V63"/>
  <c r="X63"/>
  <c r="Z63"/>
  <c r="F65"/>
  <c r="H65"/>
  <c r="J65"/>
  <c r="L65"/>
  <c r="N65"/>
  <c r="Q65"/>
  <c r="S65"/>
  <c r="Y65"/>
  <c r="AA65"/>
  <c r="U65"/>
  <c r="W65"/>
  <c r="I66"/>
  <c r="K66"/>
  <c r="R66"/>
  <c r="T66"/>
  <c r="V66"/>
  <c r="X66"/>
  <c r="Z66"/>
  <c r="I67"/>
  <c r="K67"/>
  <c r="R67"/>
  <c r="T67"/>
  <c r="V67"/>
  <c r="X67"/>
  <c r="Z67"/>
  <c r="I68"/>
  <c r="K68"/>
  <c r="R68"/>
  <c r="T68"/>
  <c r="V68"/>
  <c r="X68"/>
  <c r="Z68"/>
  <c r="I69"/>
  <c r="K69"/>
  <c r="R69"/>
  <c r="T69"/>
  <c r="V69"/>
  <c r="X69"/>
  <c r="Z69"/>
  <c r="N6" i="8"/>
  <c r="Y6"/>
  <c r="AA6"/>
  <c r="F8"/>
  <c r="L8"/>
  <c r="Q8"/>
  <c r="W8"/>
  <c r="F10"/>
  <c r="H10"/>
  <c r="H36"/>
  <c r="J10"/>
  <c r="Q10"/>
  <c r="S10"/>
  <c r="U10"/>
  <c r="W10"/>
  <c r="F11"/>
  <c r="H11"/>
  <c r="J11"/>
  <c r="L11"/>
  <c r="Q11"/>
  <c r="S11"/>
  <c r="U11"/>
  <c r="W11"/>
  <c r="F19"/>
  <c r="H19"/>
  <c r="J19"/>
  <c r="L19"/>
  <c r="Q19"/>
  <c r="S19"/>
  <c r="U19"/>
  <c r="W19"/>
  <c r="F21"/>
  <c r="F20"/>
  <c r="J21"/>
  <c r="J20"/>
  <c r="L21"/>
  <c r="L20"/>
  <c r="N21"/>
  <c r="AA21"/>
  <c r="Q21"/>
  <c r="Q20"/>
  <c r="U21"/>
  <c r="U20"/>
  <c r="W21"/>
  <c r="W20"/>
  <c r="Y21"/>
  <c r="F22"/>
  <c r="H22"/>
  <c r="H20"/>
  <c r="J22"/>
  <c r="L22"/>
  <c r="N22"/>
  <c r="Q22"/>
  <c r="S22"/>
  <c r="S20"/>
  <c r="U22"/>
  <c r="W22"/>
  <c r="N23"/>
  <c r="Y23"/>
  <c r="AA23"/>
  <c r="N24"/>
  <c r="Y24"/>
  <c r="AA24"/>
  <c r="N25"/>
  <c r="Y25"/>
  <c r="AA25"/>
  <c r="N26"/>
  <c r="Y26"/>
  <c r="AA26"/>
  <c r="H27"/>
  <c r="N27"/>
  <c r="AA27"/>
  <c r="S27"/>
  <c r="Y27"/>
  <c r="H28"/>
  <c r="N28"/>
  <c r="AA28"/>
  <c r="S28"/>
  <c r="Y28"/>
  <c r="I30"/>
  <c r="K30"/>
  <c r="M30"/>
  <c r="R30"/>
  <c r="T30"/>
  <c r="V30"/>
  <c r="X30"/>
  <c r="Z30"/>
  <c r="F31"/>
  <c r="F30"/>
  <c r="G31"/>
  <c r="H31"/>
  <c r="H30"/>
  <c r="I31"/>
  <c r="J31"/>
  <c r="J30"/>
  <c r="J44"/>
  <c r="K31"/>
  <c r="L31"/>
  <c r="L30"/>
  <c r="M31"/>
  <c r="N31"/>
  <c r="O31"/>
  <c r="Q31"/>
  <c r="Q30"/>
  <c r="R31"/>
  <c r="S31"/>
  <c r="S30"/>
  <c r="T31"/>
  <c r="U31"/>
  <c r="U30"/>
  <c r="V31"/>
  <c r="W31"/>
  <c r="W30"/>
  <c r="X31"/>
  <c r="Y31"/>
  <c r="Z31"/>
  <c r="AA31"/>
  <c r="AB31"/>
  <c r="F32"/>
  <c r="G32"/>
  <c r="H32"/>
  <c r="I32"/>
  <c r="J32"/>
  <c r="K32"/>
  <c r="L32"/>
  <c r="M32"/>
  <c r="N32"/>
  <c r="O32"/>
  <c r="Q32"/>
  <c r="R32"/>
  <c r="S32"/>
  <c r="T32"/>
  <c r="U32"/>
  <c r="V32"/>
  <c r="W32"/>
  <c r="X32"/>
  <c r="Y32"/>
  <c r="Z32"/>
  <c r="AA32"/>
  <c r="AB32"/>
  <c r="F33"/>
  <c r="G33"/>
  <c r="H33"/>
  <c r="I33"/>
  <c r="J33"/>
  <c r="K33"/>
  <c r="L33"/>
  <c r="M33"/>
  <c r="N33"/>
  <c r="O33"/>
  <c r="Q33"/>
  <c r="R33"/>
  <c r="S33"/>
  <c r="T33"/>
  <c r="U33"/>
  <c r="V33"/>
  <c r="W33"/>
  <c r="X33"/>
  <c r="Y33"/>
  <c r="Z33"/>
  <c r="AA33"/>
  <c r="AB33"/>
  <c r="I34"/>
  <c r="K34"/>
  <c r="M34"/>
  <c r="R34"/>
  <c r="T34"/>
  <c r="V34"/>
  <c r="X34"/>
  <c r="Z34"/>
  <c r="I35"/>
  <c r="K35"/>
  <c r="M35"/>
  <c r="R35"/>
  <c r="T35"/>
  <c r="V35"/>
  <c r="X35"/>
  <c r="Z35"/>
  <c r="F36"/>
  <c r="F35"/>
  <c r="G36"/>
  <c r="I36"/>
  <c r="J36"/>
  <c r="J35"/>
  <c r="J34"/>
  <c r="K36"/>
  <c r="M36"/>
  <c r="Q36"/>
  <c r="Q35"/>
  <c r="R36"/>
  <c r="S36"/>
  <c r="S35"/>
  <c r="S34"/>
  <c r="T36"/>
  <c r="U36"/>
  <c r="U35"/>
  <c r="U34"/>
  <c r="V36"/>
  <c r="W36"/>
  <c r="W35"/>
  <c r="W34"/>
  <c r="X36"/>
  <c r="Y36"/>
  <c r="Z36"/>
  <c r="F37"/>
  <c r="G37"/>
  <c r="H37"/>
  <c r="I37"/>
  <c r="J37"/>
  <c r="K37"/>
  <c r="L37"/>
  <c r="M37"/>
  <c r="N37"/>
  <c r="O37"/>
  <c r="Q37"/>
  <c r="R37"/>
  <c r="S37"/>
  <c r="T37"/>
  <c r="U37"/>
  <c r="V37"/>
  <c r="W37"/>
  <c r="X37"/>
  <c r="Y37"/>
  <c r="Z37"/>
  <c r="AA37"/>
  <c r="AB37"/>
  <c r="F38"/>
  <c r="G38"/>
  <c r="H38"/>
  <c r="I38"/>
  <c r="J38"/>
  <c r="K38"/>
  <c r="L38"/>
  <c r="M38"/>
  <c r="N38"/>
  <c r="O38"/>
  <c r="Q38"/>
  <c r="R38"/>
  <c r="S38"/>
  <c r="T38"/>
  <c r="U38"/>
  <c r="V38"/>
  <c r="W38"/>
  <c r="X38"/>
  <c r="Y38"/>
  <c r="Z38"/>
  <c r="AA38"/>
  <c r="AB38"/>
  <c r="F39"/>
  <c r="G39"/>
  <c r="H39"/>
  <c r="I39"/>
  <c r="J39"/>
  <c r="K39"/>
  <c r="L39"/>
  <c r="M39"/>
  <c r="N39"/>
  <c r="O39"/>
  <c r="Q39"/>
  <c r="R39"/>
  <c r="S39"/>
  <c r="T39"/>
  <c r="U39"/>
  <c r="V39"/>
  <c r="W39"/>
  <c r="X39"/>
  <c r="Y39"/>
  <c r="Z39"/>
  <c r="AA39"/>
  <c r="AB39"/>
  <c r="F40"/>
  <c r="G40"/>
  <c r="H40"/>
  <c r="I40"/>
  <c r="J40"/>
  <c r="K40"/>
  <c r="L40"/>
  <c r="M40"/>
  <c r="N40"/>
  <c r="O40"/>
  <c r="Q40"/>
  <c r="R40"/>
  <c r="S40"/>
  <c r="T40"/>
  <c r="U40"/>
  <c r="V40"/>
  <c r="W40"/>
  <c r="X40"/>
  <c r="Y40"/>
  <c r="Z40"/>
  <c r="AA40"/>
  <c r="AB40"/>
  <c r="F41"/>
  <c r="G41"/>
  <c r="H41"/>
  <c r="I41"/>
  <c r="J41"/>
  <c r="K41"/>
  <c r="L41"/>
  <c r="M41"/>
  <c r="N41"/>
  <c r="O41"/>
  <c r="Q41"/>
  <c r="R41"/>
  <c r="S41"/>
  <c r="T41"/>
  <c r="U41"/>
  <c r="V41"/>
  <c r="W41"/>
  <c r="X41"/>
  <c r="Y41"/>
  <c r="Z41"/>
  <c r="AA41"/>
  <c r="AB41"/>
  <c r="F42"/>
  <c r="G42"/>
  <c r="H42"/>
  <c r="I42"/>
  <c r="J42"/>
  <c r="K42"/>
  <c r="L42"/>
  <c r="M42"/>
  <c r="N42"/>
  <c r="O42"/>
  <c r="Q42"/>
  <c r="R42"/>
  <c r="S42"/>
  <c r="T42"/>
  <c r="U42"/>
  <c r="V42"/>
  <c r="W42"/>
  <c r="X42"/>
  <c r="Y42"/>
  <c r="Z42"/>
  <c r="AA42"/>
  <c r="AB42"/>
  <c r="F43"/>
  <c r="G43"/>
  <c r="H43"/>
  <c r="I43"/>
  <c r="J43"/>
  <c r="K43"/>
  <c r="L43"/>
  <c r="M43"/>
  <c r="N43"/>
  <c r="O43"/>
  <c r="Q43"/>
  <c r="R43"/>
  <c r="S43"/>
  <c r="T43"/>
  <c r="U43"/>
  <c r="V43"/>
  <c r="W43"/>
  <c r="X43"/>
  <c r="Y43"/>
  <c r="Z43"/>
  <c r="AA43"/>
  <c r="AB43"/>
  <c r="I44"/>
  <c r="K44"/>
  <c r="M44"/>
  <c r="R44"/>
  <c r="T44"/>
  <c r="V44"/>
  <c r="X44"/>
  <c r="Z44"/>
  <c r="I45"/>
  <c r="K45"/>
  <c r="M45"/>
  <c r="R45"/>
  <c r="T45"/>
  <c r="V45"/>
  <c r="X45"/>
  <c r="Z45"/>
  <c r="I46"/>
  <c r="K46"/>
  <c r="M46"/>
  <c r="R46"/>
  <c r="T46"/>
  <c r="V46"/>
  <c r="X46"/>
  <c r="Z46"/>
  <c r="I47"/>
  <c r="K47"/>
  <c r="M47"/>
  <c r="R47"/>
  <c r="T47"/>
  <c r="V47"/>
  <c r="X47"/>
  <c r="Z47"/>
  <c r="F48"/>
  <c r="F47"/>
  <c r="G48"/>
  <c r="H48"/>
  <c r="H47"/>
  <c r="H46"/>
  <c r="I48"/>
  <c r="J48"/>
  <c r="J47"/>
  <c r="J46"/>
  <c r="K48"/>
  <c r="L48"/>
  <c r="L47"/>
  <c r="L46"/>
  <c r="M48"/>
  <c r="N48"/>
  <c r="O48"/>
  <c r="R48"/>
  <c r="T48"/>
  <c r="V48"/>
  <c r="X48"/>
  <c r="Y48"/>
  <c r="AB48"/>
  <c r="G49"/>
  <c r="I49"/>
  <c r="K49"/>
  <c r="M49"/>
  <c r="O49"/>
  <c r="Q49"/>
  <c r="Q47"/>
  <c r="R49"/>
  <c r="S49"/>
  <c r="S47"/>
  <c r="S46"/>
  <c r="T49"/>
  <c r="U49"/>
  <c r="U47"/>
  <c r="U46"/>
  <c r="V49"/>
  <c r="W49"/>
  <c r="W47"/>
  <c r="W46"/>
  <c r="X49"/>
  <c r="AB49"/>
  <c r="F50"/>
  <c r="G50"/>
  <c r="H50"/>
  <c r="I50"/>
  <c r="J50"/>
  <c r="K50"/>
  <c r="L50"/>
  <c r="M50"/>
  <c r="N50"/>
  <c r="Q50"/>
  <c r="R50"/>
  <c r="S50"/>
  <c r="T50"/>
  <c r="U50"/>
  <c r="V50"/>
  <c r="W50"/>
  <c r="X50"/>
  <c r="Y50"/>
  <c r="F51"/>
  <c r="G51"/>
  <c r="H51"/>
  <c r="I51"/>
  <c r="J51"/>
  <c r="K51"/>
  <c r="L51"/>
  <c r="M51"/>
  <c r="N51"/>
  <c r="O51"/>
  <c r="Q51"/>
  <c r="R51"/>
  <c r="S51"/>
  <c r="T51"/>
  <c r="U51"/>
  <c r="V51"/>
  <c r="W51"/>
  <c r="X51"/>
  <c r="Y51"/>
  <c r="Z51"/>
  <c r="AA51"/>
  <c r="AB51"/>
  <c r="G52"/>
  <c r="I52"/>
  <c r="K52"/>
  <c r="M52"/>
  <c r="O52"/>
  <c r="R52"/>
  <c r="T52"/>
  <c r="V52"/>
  <c r="X52"/>
  <c r="AB52"/>
  <c r="G53"/>
  <c r="I53"/>
  <c r="K53"/>
  <c r="M53"/>
  <c r="O53"/>
  <c r="R53"/>
  <c r="T53"/>
  <c r="V53"/>
  <c r="X53"/>
  <c r="AB53"/>
  <c r="B54"/>
  <c r="I54"/>
  <c r="K54"/>
  <c r="M54"/>
  <c r="R54"/>
  <c r="T54"/>
  <c r="V54"/>
  <c r="X54"/>
  <c r="Z54"/>
  <c r="G55"/>
  <c r="I55"/>
  <c r="K55"/>
  <c r="L55"/>
  <c r="M55"/>
  <c r="N55"/>
  <c r="O55"/>
  <c r="R55"/>
  <c r="T55"/>
  <c r="V55"/>
  <c r="W55"/>
  <c r="W54"/>
  <c r="X55"/>
  <c r="Y55"/>
  <c r="Z55"/>
  <c r="AA55"/>
  <c r="AB55"/>
  <c r="H56"/>
  <c r="H54"/>
  <c r="I56"/>
  <c r="J56"/>
  <c r="J54"/>
  <c r="K56"/>
  <c r="M56"/>
  <c r="R56"/>
  <c r="S56"/>
  <c r="S54"/>
  <c r="T56"/>
  <c r="U56"/>
  <c r="U54"/>
  <c r="V56"/>
  <c r="W56"/>
  <c r="X56"/>
  <c r="Z56"/>
  <c r="L61"/>
  <c r="W61"/>
  <c r="F62"/>
  <c r="F56"/>
  <c r="L62"/>
  <c r="L56"/>
  <c r="Q62"/>
  <c r="Q56"/>
  <c r="W62"/>
  <c r="I63"/>
  <c r="K63"/>
  <c r="M63"/>
  <c r="R63"/>
  <c r="T63"/>
  <c r="V63"/>
  <c r="X63"/>
  <c r="Z63"/>
  <c r="F65"/>
  <c r="H65"/>
  <c r="J65"/>
  <c r="L65"/>
  <c r="N65"/>
  <c r="Q65"/>
  <c r="S65"/>
  <c r="U65"/>
  <c r="W65"/>
  <c r="Y65"/>
  <c r="AA65"/>
  <c r="I66"/>
  <c r="K66"/>
  <c r="M66"/>
  <c r="R66"/>
  <c r="T66"/>
  <c r="V66"/>
  <c r="X66"/>
  <c r="Z66"/>
  <c r="I67"/>
  <c r="K67"/>
  <c r="M67"/>
  <c r="R67"/>
  <c r="T67"/>
  <c r="V67"/>
  <c r="X67"/>
  <c r="Z67"/>
  <c r="I68"/>
  <c r="K68"/>
  <c r="M68"/>
  <c r="R68"/>
  <c r="T68"/>
  <c r="V68"/>
  <c r="X68"/>
  <c r="Z68"/>
  <c r="I69"/>
  <c r="K69"/>
  <c r="M69"/>
  <c r="R69"/>
  <c r="T69"/>
  <c r="V69"/>
  <c r="X69"/>
  <c r="Z69"/>
  <c r="N6" i="10"/>
  <c r="Y6"/>
  <c r="AA6"/>
  <c r="F8"/>
  <c r="L8"/>
  <c r="Q8"/>
  <c r="W8"/>
  <c r="F10"/>
  <c r="G10"/>
  <c r="H10"/>
  <c r="I10"/>
  <c r="J10"/>
  <c r="K10"/>
  <c r="L10"/>
  <c r="Q10"/>
  <c r="R10"/>
  <c r="S10"/>
  <c r="T10"/>
  <c r="U10"/>
  <c r="V10"/>
  <c r="W10"/>
  <c r="F11"/>
  <c r="G11"/>
  <c r="H11"/>
  <c r="I11"/>
  <c r="J11"/>
  <c r="K11"/>
  <c r="L11"/>
  <c r="Q11"/>
  <c r="R11"/>
  <c r="S11"/>
  <c r="T11"/>
  <c r="U11"/>
  <c r="V11"/>
  <c r="W11"/>
  <c r="F19"/>
  <c r="H19"/>
  <c r="J19"/>
  <c r="L19"/>
  <c r="Q19"/>
  <c r="S19"/>
  <c r="U19"/>
  <c r="W19"/>
  <c r="F21"/>
  <c r="F20"/>
  <c r="J21"/>
  <c r="J20"/>
  <c r="L21"/>
  <c r="L20"/>
  <c r="N21"/>
  <c r="AA21"/>
  <c r="Q21"/>
  <c r="Q20"/>
  <c r="U21"/>
  <c r="U20"/>
  <c r="W21"/>
  <c r="W20"/>
  <c r="Y21"/>
  <c r="F22"/>
  <c r="H22"/>
  <c r="H20"/>
  <c r="J22"/>
  <c r="L22"/>
  <c r="N22"/>
  <c r="Q22"/>
  <c r="S22"/>
  <c r="S20"/>
  <c r="U22"/>
  <c r="W22"/>
  <c r="N23"/>
  <c r="Y23"/>
  <c r="AA23"/>
  <c r="N24"/>
  <c r="Y24"/>
  <c r="AA24"/>
  <c r="N25"/>
  <c r="Y25"/>
  <c r="AA25"/>
  <c r="N26"/>
  <c r="Y26"/>
  <c r="AA26"/>
  <c r="H27"/>
  <c r="N27"/>
  <c r="AA27"/>
  <c r="S27"/>
  <c r="Y27"/>
  <c r="H28"/>
  <c r="N28"/>
  <c r="S28"/>
  <c r="Y28"/>
  <c r="I30"/>
  <c r="K30"/>
  <c r="M30"/>
  <c r="R30"/>
  <c r="T30"/>
  <c r="V30"/>
  <c r="X30"/>
  <c r="Z30"/>
  <c r="F31"/>
  <c r="F30"/>
  <c r="G31"/>
  <c r="H31"/>
  <c r="H30"/>
  <c r="I31"/>
  <c r="J31"/>
  <c r="J30"/>
  <c r="K31"/>
  <c r="L31"/>
  <c r="L30"/>
  <c r="M31"/>
  <c r="N31"/>
  <c r="O31"/>
  <c r="Q31"/>
  <c r="Q30"/>
  <c r="R31"/>
  <c r="S31"/>
  <c r="S30"/>
  <c r="S44"/>
  <c r="T31"/>
  <c r="U31"/>
  <c r="U30"/>
  <c r="U44"/>
  <c r="V31"/>
  <c r="W31"/>
  <c r="W30"/>
  <c r="W44"/>
  <c r="X31"/>
  <c r="Y31"/>
  <c r="Z31"/>
  <c r="AA31"/>
  <c r="AB31"/>
  <c r="F32"/>
  <c r="G32"/>
  <c r="H32"/>
  <c r="I32"/>
  <c r="J32"/>
  <c r="K32"/>
  <c r="L32"/>
  <c r="M32"/>
  <c r="N32"/>
  <c r="O32"/>
  <c r="Q32"/>
  <c r="R32"/>
  <c r="S32"/>
  <c r="T32"/>
  <c r="U32"/>
  <c r="V32"/>
  <c r="W32"/>
  <c r="X32"/>
  <c r="Y32"/>
  <c r="Z32"/>
  <c r="AA32"/>
  <c r="AB32"/>
  <c r="F33"/>
  <c r="G33"/>
  <c r="H33"/>
  <c r="I33"/>
  <c r="J33"/>
  <c r="K33"/>
  <c r="L33"/>
  <c r="M33"/>
  <c r="N33"/>
  <c r="O33"/>
  <c r="Q33"/>
  <c r="R33"/>
  <c r="S33"/>
  <c r="T33"/>
  <c r="U33"/>
  <c r="V33"/>
  <c r="W33"/>
  <c r="X33"/>
  <c r="Y33"/>
  <c r="Z33"/>
  <c r="AA33"/>
  <c r="AB33"/>
  <c r="I34"/>
  <c r="K34"/>
  <c r="M34"/>
  <c r="R34"/>
  <c r="T34"/>
  <c r="V34"/>
  <c r="X34"/>
  <c r="Z34"/>
  <c r="I35"/>
  <c r="K35"/>
  <c r="M35"/>
  <c r="R35"/>
  <c r="T35"/>
  <c r="V35"/>
  <c r="X35"/>
  <c r="Z35"/>
  <c r="F36"/>
  <c r="G36"/>
  <c r="H36"/>
  <c r="H35"/>
  <c r="H34"/>
  <c r="I36"/>
  <c r="J36"/>
  <c r="J35"/>
  <c r="J34"/>
  <c r="K36"/>
  <c r="L36"/>
  <c r="L35"/>
  <c r="L34"/>
  <c r="M36"/>
  <c r="N36"/>
  <c r="O36"/>
  <c r="Q36"/>
  <c r="Q35"/>
  <c r="R36"/>
  <c r="S36"/>
  <c r="S35"/>
  <c r="S34"/>
  <c r="T36"/>
  <c r="U36"/>
  <c r="U35"/>
  <c r="U34"/>
  <c r="V36"/>
  <c r="W36"/>
  <c r="W35"/>
  <c r="W34"/>
  <c r="X36"/>
  <c r="Y36"/>
  <c r="Z36"/>
  <c r="AA36"/>
  <c r="AB36"/>
  <c r="F37"/>
  <c r="G37"/>
  <c r="H37"/>
  <c r="I37"/>
  <c r="J37"/>
  <c r="K37"/>
  <c r="L37"/>
  <c r="M37"/>
  <c r="N37"/>
  <c r="O37"/>
  <c r="Q37"/>
  <c r="R37"/>
  <c r="S37"/>
  <c r="T37"/>
  <c r="U37"/>
  <c r="V37"/>
  <c r="W37"/>
  <c r="X37"/>
  <c r="Y37"/>
  <c r="Z37"/>
  <c r="AA37"/>
  <c r="AB37"/>
  <c r="F38"/>
  <c r="G38"/>
  <c r="H38"/>
  <c r="I38"/>
  <c r="J38"/>
  <c r="K38"/>
  <c r="L38"/>
  <c r="M38"/>
  <c r="N38"/>
  <c r="O38"/>
  <c r="Q38"/>
  <c r="R38"/>
  <c r="S38"/>
  <c r="T38"/>
  <c r="U38"/>
  <c r="V38"/>
  <c r="W38"/>
  <c r="X38"/>
  <c r="Y38"/>
  <c r="Z38"/>
  <c r="AA38"/>
  <c r="AB38"/>
  <c r="F39"/>
  <c r="G39"/>
  <c r="H39"/>
  <c r="I39"/>
  <c r="J39"/>
  <c r="K39"/>
  <c r="L39"/>
  <c r="M39"/>
  <c r="N39"/>
  <c r="O39"/>
  <c r="Q39"/>
  <c r="R39"/>
  <c r="S39"/>
  <c r="T39"/>
  <c r="U39"/>
  <c r="V39"/>
  <c r="W39"/>
  <c r="X39"/>
  <c r="Y39"/>
  <c r="Z39"/>
  <c r="AA39"/>
  <c r="AB39"/>
  <c r="F40"/>
  <c r="G40"/>
  <c r="H40"/>
  <c r="I40"/>
  <c r="J40"/>
  <c r="K40"/>
  <c r="L40"/>
  <c r="M40"/>
  <c r="N40"/>
  <c r="O40"/>
  <c r="Q40"/>
  <c r="R40"/>
  <c r="S40"/>
  <c r="T40"/>
  <c r="U40"/>
  <c r="V40"/>
  <c r="W40"/>
  <c r="X40"/>
  <c r="Y40"/>
  <c r="Z40"/>
  <c r="AA40"/>
  <c r="AB40"/>
  <c r="F41"/>
  <c r="G41"/>
  <c r="H41"/>
  <c r="I41"/>
  <c r="J41"/>
  <c r="K41"/>
  <c r="L41"/>
  <c r="M41"/>
  <c r="N41"/>
  <c r="O41"/>
  <c r="Q41"/>
  <c r="R41"/>
  <c r="S41"/>
  <c r="T41"/>
  <c r="U41"/>
  <c r="V41"/>
  <c r="W41"/>
  <c r="X41"/>
  <c r="Y41"/>
  <c r="Z41"/>
  <c r="AA41"/>
  <c r="AB41"/>
  <c r="F42"/>
  <c r="G42"/>
  <c r="H42"/>
  <c r="I42"/>
  <c r="J42"/>
  <c r="K42"/>
  <c r="L42"/>
  <c r="M42"/>
  <c r="N42"/>
  <c r="O42"/>
  <c r="Q42"/>
  <c r="R42"/>
  <c r="S42"/>
  <c r="T42"/>
  <c r="U42"/>
  <c r="V42"/>
  <c r="W42"/>
  <c r="X42"/>
  <c r="Y42"/>
  <c r="Z42"/>
  <c r="AA42"/>
  <c r="AB42"/>
  <c r="F43"/>
  <c r="G43"/>
  <c r="H43"/>
  <c r="I43"/>
  <c r="J43"/>
  <c r="K43"/>
  <c r="L43"/>
  <c r="M43"/>
  <c r="N43"/>
  <c r="O43"/>
  <c r="Q43"/>
  <c r="R43"/>
  <c r="S43"/>
  <c r="T43"/>
  <c r="U43"/>
  <c r="V43"/>
  <c r="W43"/>
  <c r="X43"/>
  <c r="Y43"/>
  <c r="Z43"/>
  <c r="AA43"/>
  <c r="AB43"/>
  <c r="I44"/>
  <c r="K44"/>
  <c r="M44"/>
  <c r="R44"/>
  <c r="T44"/>
  <c r="V44"/>
  <c r="X44"/>
  <c r="Z44"/>
  <c r="I45"/>
  <c r="K45"/>
  <c r="M45"/>
  <c r="R45"/>
  <c r="T45"/>
  <c r="V45"/>
  <c r="X45"/>
  <c r="Z45"/>
  <c r="I46"/>
  <c r="K46"/>
  <c r="M46"/>
  <c r="R46"/>
  <c r="T46"/>
  <c r="V46"/>
  <c r="X46"/>
  <c r="Z46"/>
  <c r="I47"/>
  <c r="K47"/>
  <c r="M47"/>
  <c r="R47"/>
  <c r="T47"/>
  <c r="V47"/>
  <c r="X47"/>
  <c r="Z47"/>
  <c r="F48"/>
  <c r="F47"/>
  <c r="G48"/>
  <c r="H48"/>
  <c r="H47"/>
  <c r="H46"/>
  <c r="I48"/>
  <c r="J48"/>
  <c r="J47"/>
  <c r="J46"/>
  <c r="K48"/>
  <c r="L48"/>
  <c r="L47"/>
  <c r="L46"/>
  <c r="M48"/>
  <c r="N48"/>
  <c r="O48"/>
  <c r="R48"/>
  <c r="T48"/>
  <c r="V48"/>
  <c r="X48"/>
  <c r="Y48"/>
  <c r="AB48"/>
  <c r="G49"/>
  <c r="I49"/>
  <c r="K49"/>
  <c r="M49"/>
  <c r="O49"/>
  <c r="Q49"/>
  <c r="Q47"/>
  <c r="R49"/>
  <c r="S49"/>
  <c r="S47"/>
  <c r="S46"/>
  <c r="T49"/>
  <c r="U49"/>
  <c r="U47"/>
  <c r="U46"/>
  <c r="V49"/>
  <c r="W49"/>
  <c r="W47"/>
  <c r="W46"/>
  <c r="X49"/>
  <c r="AB49"/>
  <c r="F50"/>
  <c r="G50"/>
  <c r="H50"/>
  <c r="I50"/>
  <c r="J50"/>
  <c r="K50"/>
  <c r="L50"/>
  <c r="M50"/>
  <c r="N50"/>
  <c r="Q50"/>
  <c r="R50"/>
  <c r="S50"/>
  <c r="T50"/>
  <c r="U50"/>
  <c r="V50"/>
  <c r="W50"/>
  <c r="X50"/>
  <c r="Y50"/>
  <c r="F51"/>
  <c r="G51"/>
  <c r="H51"/>
  <c r="I51"/>
  <c r="J51"/>
  <c r="K51"/>
  <c r="L51"/>
  <c r="M51"/>
  <c r="N51"/>
  <c r="O51"/>
  <c r="Q51"/>
  <c r="R51"/>
  <c r="S51"/>
  <c r="T51"/>
  <c r="U51"/>
  <c r="V51"/>
  <c r="W51"/>
  <c r="X51"/>
  <c r="Y51"/>
  <c r="Z51"/>
  <c r="AA51"/>
  <c r="AB51"/>
  <c r="G52"/>
  <c r="I52"/>
  <c r="K52"/>
  <c r="M52"/>
  <c r="O52"/>
  <c r="R52"/>
  <c r="T52"/>
  <c r="V52"/>
  <c r="X52"/>
  <c r="AB52"/>
  <c r="G53"/>
  <c r="I53"/>
  <c r="K53"/>
  <c r="M53"/>
  <c r="O53"/>
  <c r="R53"/>
  <c r="T53"/>
  <c r="V53"/>
  <c r="X53"/>
  <c r="AB53"/>
  <c r="B54"/>
  <c r="I54"/>
  <c r="K54"/>
  <c r="M54"/>
  <c r="R54"/>
  <c r="T54"/>
  <c r="V54"/>
  <c r="X54"/>
  <c r="Z54"/>
  <c r="G55"/>
  <c r="I55"/>
  <c r="K55"/>
  <c r="L55"/>
  <c r="M55"/>
  <c r="N55"/>
  <c r="O55"/>
  <c r="R55"/>
  <c r="T55"/>
  <c r="V55"/>
  <c r="W55"/>
  <c r="X55"/>
  <c r="Y55"/>
  <c r="Z55"/>
  <c r="AA55"/>
  <c r="AB55"/>
  <c r="H56"/>
  <c r="H54"/>
  <c r="I56"/>
  <c r="J56"/>
  <c r="J54"/>
  <c r="K56"/>
  <c r="M56"/>
  <c r="R56"/>
  <c r="S56"/>
  <c r="S54"/>
  <c r="T56"/>
  <c r="U56"/>
  <c r="U54"/>
  <c r="V56"/>
  <c r="X56"/>
  <c r="Z56"/>
  <c r="L61"/>
  <c r="W61"/>
  <c r="F62"/>
  <c r="F56"/>
  <c r="L62"/>
  <c r="L56"/>
  <c r="Q62"/>
  <c r="Q56"/>
  <c r="W62"/>
  <c r="W56"/>
  <c r="I63"/>
  <c r="K63"/>
  <c r="M63"/>
  <c r="R63"/>
  <c r="T63"/>
  <c r="V63"/>
  <c r="X63"/>
  <c r="Z63"/>
  <c r="F65"/>
  <c r="H65"/>
  <c r="J65"/>
  <c r="L65"/>
  <c r="N65"/>
  <c r="Y65"/>
  <c r="AA65"/>
  <c r="I66"/>
  <c r="K66"/>
  <c r="M66"/>
  <c r="R66"/>
  <c r="T66"/>
  <c r="V66"/>
  <c r="X66"/>
  <c r="Z66"/>
  <c r="I67"/>
  <c r="K67"/>
  <c r="M67"/>
  <c r="R67"/>
  <c r="T67"/>
  <c r="V67"/>
  <c r="X67"/>
  <c r="Z67"/>
  <c r="I68"/>
  <c r="K68"/>
  <c r="M68"/>
  <c r="R68"/>
  <c r="T68"/>
  <c r="V68"/>
  <c r="X68"/>
  <c r="Z68"/>
  <c r="I69"/>
  <c r="K69"/>
  <c r="M69"/>
  <c r="R69"/>
  <c r="T69"/>
  <c r="V69"/>
  <c r="X69"/>
  <c r="Z69"/>
  <c r="H70"/>
  <c r="J70"/>
  <c r="L70"/>
  <c r="Q70"/>
  <c r="S70"/>
  <c r="U70"/>
  <c r="W70"/>
  <c r="Y70"/>
  <c r="N6" i="9"/>
  <c r="Y6"/>
  <c r="AA6"/>
  <c r="F8"/>
  <c r="L8"/>
  <c r="Q8"/>
  <c r="W8"/>
  <c r="F10"/>
  <c r="H10"/>
  <c r="H36"/>
  <c r="J10"/>
  <c r="Q10"/>
  <c r="U10"/>
  <c r="F11"/>
  <c r="J11"/>
  <c r="Q11"/>
  <c r="S11"/>
  <c r="U11"/>
  <c r="W11"/>
  <c r="F19"/>
  <c r="H19"/>
  <c r="J19"/>
  <c r="L19"/>
  <c r="Q19"/>
  <c r="S19"/>
  <c r="U19"/>
  <c r="W19"/>
  <c r="F21"/>
  <c r="F20"/>
  <c r="J21"/>
  <c r="J20"/>
  <c r="L21"/>
  <c r="L20"/>
  <c r="N21"/>
  <c r="Q21"/>
  <c r="Q20"/>
  <c r="U21"/>
  <c r="U20"/>
  <c r="W21"/>
  <c r="W20"/>
  <c r="Y21"/>
  <c r="AA21"/>
  <c r="F22"/>
  <c r="H22"/>
  <c r="H20"/>
  <c r="J22"/>
  <c r="L22"/>
  <c r="N22"/>
  <c r="Q22"/>
  <c r="S22"/>
  <c r="Y22"/>
  <c r="AA22"/>
  <c r="U22"/>
  <c r="W22"/>
  <c r="N23"/>
  <c r="Y23"/>
  <c r="AA23"/>
  <c r="N24"/>
  <c r="Y24"/>
  <c r="AA24"/>
  <c r="N25"/>
  <c r="Y25"/>
  <c r="AA25"/>
  <c r="N26"/>
  <c r="Y26"/>
  <c r="AA26"/>
  <c r="H27"/>
  <c r="N27"/>
  <c r="AA27"/>
  <c r="S27"/>
  <c r="Y27"/>
  <c r="H28"/>
  <c r="N28"/>
  <c r="AA28"/>
  <c r="S28"/>
  <c r="Y28"/>
  <c r="G30"/>
  <c r="I30"/>
  <c r="K30"/>
  <c r="M30"/>
  <c r="O30"/>
  <c r="R30"/>
  <c r="T30"/>
  <c r="V30"/>
  <c r="X30"/>
  <c r="Z30"/>
  <c r="AB30"/>
  <c r="F31"/>
  <c r="F30"/>
  <c r="G31"/>
  <c r="H31"/>
  <c r="H30"/>
  <c r="I31"/>
  <c r="J31"/>
  <c r="J30"/>
  <c r="K31"/>
  <c r="L31"/>
  <c r="L30"/>
  <c r="M31"/>
  <c r="N31"/>
  <c r="O31"/>
  <c r="Q31"/>
  <c r="Q30"/>
  <c r="R31"/>
  <c r="S31"/>
  <c r="S30"/>
  <c r="T31"/>
  <c r="U31"/>
  <c r="U30"/>
  <c r="V31"/>
  <c r="W31"/>
  <c r="W30"/>
  <c r="X31"/>
  <c r="Y31"/>
  <c r="Z31"/>
  <c r="AA31"/>
  <c r="AB31"/>
  <c r="F32"/>
  <c r="G32"/>
  <c r="H32"/>
  <c r="I32"/>
  <c r="J32"/>
  <c r="K32"/>
  <c r="L32"/>
  <c r="M32"/>
  <c r="N32"/>
  <c r="O32"/>
  <c r="Q32"/>
  <c r="R32"/>
  <c r="S32"/>
  <c r="T32"/>
  <c r="U32"/>
  <c r="V32"/>
  <c r="W32"/>
  <c r="X32"/>
  <c r="Y32"/>
  <c r="Z32"/>
  <c r="AA32"/>
  <c r="AB32"/>
  <c r="F33"/>
  <c r="G33"/>
  <c r="H33"/>
  <c r="I33"/>
  <c r="J33"/>
  <c r="K33"/>
  <c r="L33"/>
  <c r="M33"/>
  <c r="N33"/>
  <c r="O33"/>
  <c r="Q33"/>
  <c r="R33"/>
  <c r="S33"/>
  <c r="T33"/>
  <c r="U33"/>
  <c r="V33"/>
  <c r="W33"/>
  <c r="X33"/>
  <c r="Y33"/>
  <c r="Z33"/>
  <c r="AA33"/>
  <c r="AB33"/>
  <c r="G34"/>
  <c r="I34"/>
  <c r="K34"/>
  <c r="M34"/>
  <c r="O34"/>
  <c r="R34"/>
  <c r="T34"/>
  <c r="V34"/>
  <c r="X34"/>
  <c r="Z34"/>
  <c r="AB34"/>
  <c r="G35"/>
  <c r="I35"/>
  <c r="K35"/>
  <c r="M35"/>
  <c r="O35"/>
  <c r="R35"/>
  <c r="T35"/>
  <c r="V35"/>
  <c r="X35"/>
  <c r="Z35"/>
  <c r="AB35"/>
  <c r="F36"/>
  <c r="F35"/>
  <c r="G36"/>
  <c r="I36"/>
  <c r="J36"/>
  <c r="J35"/>
  <c r="J34"/>
  <c r="K36"/>
  <c r="M36"/>
  <c r="O36"/>
  <c r="Q36"/>
  <c r="Q35"/>
  <c r="R36"/>
  <c r="T36"/>
  <c r="U36"/>
  <c r="U35"/>
  <c r="U34"/>
  <c r="V36"/>
  <c r="X36"/>
  <c r="Z36"/>
  <c r="AB36"/>
  <c r="F37"/>
  <c r="G37"/>
  <c r="I37"/>
  <c r="J37"/>
  <c r="K37"/>
  <c r="M37"/>
  <c r="O37"/>
  <c r="Q37"/>
  <c r="R37"/>
  <c r="S37"/>
  <c r="T37"/>
  <c r="U37"/>
  <c r="V37"/>
  <c r="W37"/>
  <c r="X37"/>
  <c r="Y37"/>
  <c r="Z37"/>
  <c r="AB37"/>
  <c r="F38"/>
  <c r="G38"/>
  <c r="H38"/>
  <c r="I38"/>
  <c r="J38"/>
  <c r="K38"/>
  <c r="L38"/>
  <c r="M38"/>
  <c r="N38"/>
  <c r="O38"/>
  <c r="Q38"/>
  <c r="R38"/>
  <c r="S38"/>
  <c r="T38"/>
  <c r="U38"/>
  <c r="V38"/>
  <c r="W38"/>
  <c r="X38"/>
  <c r="Y38"/>
  <c r="Z38"/>
  <c r="AA38"/>
  <c r="AB38"/>
  <c r="F39"/>
  <c r="G39"/>
  <c r="H39"/>
  <c r="I39"/>
  <c r="J39"/>
  <c r="K39"/>
  <c r="L39"/>
  <c r="M39"/>
  <c r="N39"/>
  <c r="O39"/>
  <c r="Q39"/>
  <c r="R39"/>
  <c r="S39"/>
  <c r="T39"/>
  <c r="U39"/>
  <c r="V39"/>
  <c r="W39"/>
  <c r="X39"/>
  <c r="Y39"/>
  <c r="Z39"/>
  <c r="AA39"/>
  <c r="AB39"/>
  <c r="F40"/>
  <c r="G40"/>
  <c r="H40"/>
  <c r="I40"/>
  <c r="J40"/>
  <c r="K40"/>
  <c r="L40"/>
  <c r="M40"/>
  <c r="N40"/>
  <c r="O40"/>
  <c r="Q40"/>
  <c r="R40"/>
  <c r="S40"/>
  <c r="T40"/>
  <c r="U40"/>
  <c r="V40"/>
  <c r="W40"/>
  <c r="X40"/>
  <c r="Y40"/>
  <c r="Z40"/>
  <c r="AA40"/>
  <c r="AB40"/>
  <c r="F41"/>
  <c r="G41"/>
  <c r="H41"/>
  <c r="I41"/>
  <c r="J41"/>
  <c r="K41"/>
  <c r="L41"/>
  <c r="M41"/>
  <c r="N41"/>
  <c r="O41"/>
  <c r="Q41"/>
  <c r="R41"/>
  <c r="S41"/>
  <c r="T41"/>
  <c r="U41"/>
  <c r="V41"/>
  <c r="W41"/>
  <c r="X41"/>
  <c r="Y41"/>
  <c r="Z41"/>
  <c r="AA41"/>
  <c r="AB41"/>
  <c r="F42"/>
  <c r="G42"/>
  <c r="H42"/>
  <c r="I42"/>
  <c r="J42"/>
  <c r="K42"/>
  <c r="L42"/>
  <c r="M42"/>
  <c r="N42"/>
  <c r="O42"/>
  <c r="Q42"/>
  <c r="R42"/>
  <c r="S42"/>
  <c r="T42"/>
  <c r="U42"/>
  <c r="V42"/>
  <c r="W42"/>
  <c r="X42"/>
  <c r="Y42"/>
  <c r="Z42"/>
  <c r="AA42"/>
  <c r="AB42"/>
  <c r="F43"/>
  <c r="G43"/>
  <c r="H43"/>
  <c r="I43"/>
  <c r="J43"/>
  <c r="K43"/>
  <c r="L43"/>
  <c r="M43"/>
  <c r="N43"/>
  <c r="O43"/>
  <c r="Q43"/>
  <c r="R43"/>
  <c r="S43"/>
  <c r="T43"/>
  <c r="U43"/>
  <c r="V43"/>
  <c r="W43"/>
  <c r="X43"/>
  <c r="Y43"/>
  <c r="Z43"/>
  <c r="AA43"/>
  <c r="AB43"/>
  <c r="G44"/>
  <c r="I44"/>
  <c r="K44"/>
  <c r="M44"/>
  <c r="O44"/>
  <c r="R44"/>
  <c r="T44"/>
  <c r="V44"/>
  <c r="X44"/>
  <c r="Z44"/>
  <c r="AB44"/>
  <c r="G45"/>
  <c r="I45"/>
  <c r="K45"/>
  <c r="M45"/>
  <c r="O45"/>
  <c r="R45"/>
  <c r="T45"/>
  <c r="V45"/>
  <c r="X45"/>
  <c r="Z45"/>
  <c r="AB45"/>
  <c r="G46"/>
  <c r="I46"/>
  <c r="K46"/>
  <c r="M46"/>
  <c r="O46"/>
  <c r="R46"/>
  <c r="T46"/>
  <c r="V46"/>
  <c r="X46"/>
  <c r="Z46"/>
  <c r="AB46"/>
  <c r="G47"/>
  <c r="I47"/>
  <c r="K47"/>
  <c r="M47"/>
  <c r="O47"/>
  <c r="R47"/>
  <c r="T47"/>
  <c r="V47"/>
  <c r="X47"/>
  <c r="Z47"/>
  <c r="AB47"/>
  <c r="F48"/>
  <c r="F47"/>
  <c r="G48"/>
  <c r="H48"/>
  <c r="H47"/>
  <c r="H46"/>
  <c r="I48"/>
  <c r="J48"/>
  <c r="J47"/>
  <c r="J46"/>
  <c r="K48"/>
  <c r="L48"/>
  <c r="L47"/>
  <c r="L46"/>
  <c r="M48"/>
  <c r="N48"/>
  <c r="O48"/>
  <c r="R48"/>
  <c r="T48"/>
  <c r="V48"/>
  <c r="X48"/>
  <c r="Y48"/>
  <c r="AB48"/>
  <c r="G49"/>
  <c r="I49"/>
  <c r="K49"/>
  <c r="M49"/>
  <c r="O49"/>
  <c r="Q49"/>
  <c r="Q47"/>
  <c r="R49"/>
  <c r="S49"/>
  <c r="S47"/>
  <c r="S46"/>
  <c r="T49"/>
  <c r="U49"/>
  <c r="U47"/>
  <c r="U46"/>
  <c r="V49"/>
  <c r="W49"/>
  <c r="W47"/>
  <c r="W46"/>
  <c r="X49"/>
  <c r="AB49"/>
  <c r="F50"/>
  <c r="G50"/>
  <c r="H50"/>
  <c r="I50"/>
  <c r="J50"/>
  <c r="K50"/>
  <c r="L50"/>
  <c r="M50"/>
  <c r="N50"/>
  <c r="Q50"/>
  <c r="R50"/>
  <c r="S50"/>
  <c r="T50"/>
  <c r="U50"/>
  <c r="V50"/>
  <c r="W50"/>
  <c r="X50"/>
  <c r="Y50"/>
  <c r="F51"/>
  <c r="G51"/>
  <c r="H51"/>
  <c r="I51"/>
  <c r="J51"/>
  <c r="K51"/>
  <c r="L51"/>
  <c r="M51"/>
  <c r="N51"/>
  <c r="O51"/>
  <c r="Q51"/>
  <c r="R51"/>
  <c r="S51"/>
  <c r="T51"/>
  <c r="U51"/>
  <c r="V51"/>
  <c r="W51"/>
  <c r="X51"/>
  <c r="Y51"/>
  <c r="Z51"/>
  <c r="AA51"/>
  <c r="AB51"/>
  <c r="G52"/>
  <c r="I52"/>
  <c r="K52"/>
  <c r="M52"/>
  <c r="O52"/>
  <c r="R52"/>
  <c r="T52"/>
  <c r="V52"/>
  <c r="X52"/>
  <c r="AB52"/>
  <c r="G53"/>
  <c r="I53"/>
  <c r="K53"/>
  <c r="M53"/>
  <c r="O53"/>
  <c r="R53"/>
  <c r="T53"/>
  <c r="V53"/>
  <c r="X53"/>
  <c r="AB53"/>
  <c r="B54"/>
  <c r="G54"/>
  <c r="I54"/>
  <c r="K54"/>
  <c r="M54"/>
  <c r="O54"/>
  <c r="R54"/>
  <c r="T54"/>
  <c r="V54"/>
  <c r="X54"/>
  <c r="Z54"/>
  <c r="AB54"/>
  <c r="G55"/>
  <c r="I55"/>
  <c r="K55"/>
  <c r="L55"/>
  <c r="M55"/>
  <c r="N55"/>
  <c r="AA55"/>
  <c r="O55"/>
  <c r="R55"/>
  <c r="T55"/>
  <c r="V55"/>
  <c r="W55"/>
  <c r="X55"/>
  <c r="Y55"/>
  <c r="Z55"/>
  <c r="AB55"/>
  <c r="G56"/>
  <c r="H56"/>
  <c r="H54"/>
  <c r="I56"/>
  <c r="J56"/>
  <c r="J54"/>
  <c r="K56"/>
  <c r="M56"/>
  <c r="O56"/>
  <c r="R56"/>
  <c r="S56"/>
  <c r="S54"/>
  <c r="T56"/>
  <c r="U56"/>
  <c r="U54"/>
  <c r="V56"/>
  <c r="X56"/>
  <c r="Z56"/>
  <c r="AB56"/>
  <c r="L61"/>
  <c r="W61"/>
  <c r="F62"/>
  <c r="F56"/>
  <c r="L62"/>
  <c r="L56"/>
  <c r="Q62"/>
  <c r="Q56"/>
  <c r="W62"/>
  <c r="W56"/>
  <c r="G63"/>
  <c r="I63"/>
  <c r="K63"/>
  <c r="M63"/>
  <c r="O63"/>
  <c r="R63"/>
  <c r="T63"/>
  <c r="V63"/>
  <c r="X63"/>
  <c r="Z63"/>
  <c r="AB63"/>
  <c r="F65"/>
  <c r="H65"/>
  <c r="N65"/>
  <c r="AA65"/>
  <c r="J65"/>
  <c r="L65"/>
  <c r="Q65"/>
  <c r="S65"/>
  <c r="U65"/>
  <c r="W65"/>
  <c r="Y65"/>
  <c r="G66"/>
  <c r="I66"/>
  <c r="K66"/>
  <c r="M66"/>
  <c r="O66"/>
  <c r="R66"/>
  <c r="T66"/>
  <c r="V66"/>
  <c r="X66"/>
  <c r="Z66"/>
  <c r="AB66"/>
  <c r="G67"/>
  <c r="I67"/>
  <c r="K67"/>
  <c r="M67"/>
  <c r="O67"/>
  <c r="R67"/>
  <c r="T67"/>
  <c r="V67"/>
  <c r="X67"/>
  <c r="Z67"/>
  <c r="AB67"/>
  <c r="G68"/>
  <c r="I68"/>
  <c r="K68"/>
  <c r="M68"/>
  <c r="O68"/>
  <c r="R68"/>
  <c r="T68"/>
  <c r="V68"/>
  <c r="X68"/>
  <c r="Z68"/>
  <c r="AB68"/>
  <c r="G69"/>
  <c r="I69"/>
  <c r="K69"/>
  <c r="M69"/>
  <c r="O69"/>
  <c r="R69"/>
  <c r="T69"/>
  <c r="V69"/>
  <c r="X69"/>
  <c r="Z69"/>
  <c r="AB69"/>
  <c r="D4" i="18"/>
  <c r="E4"/>
  <c r="F4"/>
  <c r="F5"/>
  <c r="F6"/>
  <c r="F7"/>
  <c r="F8"/>
  <c r="F9"/>
  <c r="F10"/>
  <c r="F11"/>
  <c r="C12"/>
  <c r="C4"/>
  <c r="D12"/>
  <c r="F12"/>
  <c r="F13"/>
  <c r="F14"/>
  <c r="F15"/>
  <c r="F16"/>
  <c r="F17"/>
  <c r="C18"/>
  <c r="D18"/>
  <c r="F18"/>
  <c r="F19"/>
  <c r="F20"/>
  <c r="F21"/>
  <c r="E22"/>
  <c r="F23"/>
  <c r="F24"/>
  <c r="F25"/>
  <c r="F26"/>
  <c r="F27"/>
  <c r="F28"/>
  <c r="F29"/>
  <c r="F30"/>
  <c r="F31"/>
  <c r="F32"/>
  <c r="C33"/>
  <c r="C22"/>
  <c r="D33"/>
  <c r="D22"/>
  <c r="F22"/>
  <c r="F33"/>
  <c r="F34"/>
  <c r="C35"/>
  <c r="D35"/>
  <c r="F35"/>
  <c r="F36"/>
  <c r="F37"/>
  <c r="E38"/>
  <c r="F39"/>
  <c r="F40"/>
  <c r="F41"/>
  <c r="F42"/>
  <c r="F43"/>
  <c r="F44"/>
  <c r="F45"/>
  <c r="F46"/>
  <c r="F47"/>
  <c r="F48"/>
  <c r="F49"/>
  <c r="F50"/>
  <c r="F51"/>
  <c r="F52"/>
  <c r="F53"/>
  <c r="F54"/>
  <c r="C55"/>
  <c r="C38"/>
  <c r="D55"/>
  <c r="D38"/>
  <c r="F38"/>
  <c r="F56"/>
  <c r="C57"/>
  <c r="D57"/>
  <c r="F57"/>
  <c r="F58"/>
  <c r="F59"/>
  <c r="F60"/>
  <c r="F61"/>
  <c r="F62"/>
  <c r="F63"/>
  <c r="F64"/>
  <c r="F65"/>
  <c r="C66"/>
  <c r="D66"/>
  <c r="F66"/>
  <c r="F67"/>
  <c r="C68"/>
  <c r="E68"/>
  <c r="F69"/>
  <c r="F70"/>
  <c r="F71"/>
  <c r="F72"/>
  <c r="F73"/>
  <c r="F74"/>
  <c r="F75"/>
  <c r="C76"/>
  <c r="D76"/>
  <c r="D68"/>
  <c r="F68"/>
  <c r="F77"/>
  <c r="F78"/>
  <c r="F79"/>
  <c r="F80"/>
  <c r="F81"/>
  <c r="F82"/>
  <c r="F83"/>
  <c r="F84"/>
  <c r="F85"/>
  <c r="F86"/>
  <c r="F87"/>
  <c r="F88"/>
  <c r="F89"/>
  <c r="F90"/>
  <c r="F91"/>
  <c r="F92"/>
  <c r="F93"/>
  <c r="C94"/>
  <c r="D94"/>
  <c r="F94"/>
  <c r="F95"/>
  <c r="F97"/>
  <c r="G97"/>
  <c r="F98"/>
  <c r="G98"/>
  <c r="F99"/>
  <c r="G99"/>
  <c r="F100"/>
  <c r="G100"/>
  <c r="F101"/>
  <c r="G101"/>
  <c r="F102"/>
  <c r="G102"/>
  <c r="F103"/>
  <c r="G103"/>
  <c r="F104"/>
  <c r="G104"/>
  <c r="F105"/>
  <c r="G105"/>
  <c r="F106"/>
  <c r="G106"/>
  <c r="F107"/>
  <c r="G107"/>
  <c r="F108"/>
  <c r="G108"/>
  <c r="F109"/>
  <c r="G109"/>
  <c r="F110"/>
  <c r="G110"/>
  <c r="F111"/>
  <c r="G111"/>
  <c r="D112"/>
  <c r="D96"/>
  <c r="F96"/>
  <c r="G96"/>
  <c r="E112"/>
  <c r="E96"/>
  <c r="F112"/>
  <c r="G112"/>
  <c r="F113"/>
  <c r="G113"/>
  <c r="F114"/>
  <c r="G114"/>
  <c r="F115"/>
  <c r="G115"/>
  <c r="F116"/>
  <c r="G116"/>
  <c r="F117"/>
  <c r="G117"/>
  <c r="F118"/>
  <c r="G118"/>
  <c r="F119"/>
  <c r="G119"/>
  <c r="F120"/>
  <c r="G120"/>
  <c r="F121"/>
  <c r="G121"/>
  <c r="F122"/>
  <c r="G122"/>
  <c r="F123"/>
  <c r="G123"/>
  <c r="F124"/>
  <c r="G124"/>
  <c r="F125"/>
  <c r="G125"/>
  <c r="F126"/>
  <c r="G126"/>
  <c r="C127"/>
  <c r="C96"/>
  <c r="D127"/>
  <c r="E127"/>
  <c r="F127"/>
  <c r="G127"/>
  <c r="F128"/>
  <c r="G128"/>
  <c r="F129"/>
  <c r="G129"/>
  <c r="F130"/>
  <c r="G130"/>
  <c r="F131"/>
  <c r="G131"/>
  <c r="F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D155"/>
  <c r="D132"/>
  <c r="E155"/>
  <c r="E132"/>
  <c r="F155"/>
  <c r="G155"/>
  <c r="F156"/>
  <c r="G156"/>
  <c r="F157"/>
  <c r="G157"/>
  <c r="F158"/>
  <c r="G158"/>
  <c r="C159"/>
  <c r="C132"/>
  <c r="D159"/>
  <c r="E159"/>
  <c r="F159"/>
  <c r="G159"/>
  <c r="F160"/>
  <c r="G160"/>
  <c r="F161"/>
  <c r="G161"/>
  <c r="F163"/>
  <c r="F164"/>
  <c r="G164"/>
  <c r="F165"/>
  <c r="G165"/>
  <c r="F166"/>
  <c r="G166"/>
  <c r="E167"/>
  <c r="E162"/>
  <c r="F168"/>
  <c r="G168"/>
  <c r="F169"/>
  <c r="G169"/>
  <c r="F170"/>
  <c r="G170"/>
  <c r="F171"/>
  <c r="G171"/>
  <c r="F172"/>
  <c r="G172"/>
  <c r="F173"/>
  <c r="G173"/>
  <c r="F174"/>
  <c r="G174"/>
  <c r="F175"/>
  <c r="G175"/>
  <c r="C176"/>
  <c r="C162"/>
  <c r="D176"/>
  <c r="D162"/>
  <c r="E176"/>
  <c r="F176"/>
  <c r="G176"/>
  <c r="F177"/>
  <c r="G177"/>
  <c r="F178"/>
  <c r="G178"/>
  <c r="F179"/>
  <c r="G179"/>
  <c r="F180"/>
  <c r="G180"/>
  <c r="F181"/>
  <c r="G181"/>
  <c r="F182"/>
  <c r="G182"/>
  <c r="F183"/>
  <c r="G183"/>
  <c r="F184"/>
  <c r="G184"/>
  <c r="F185"/>
  <c r="G185"/>
  <c r="F186"/>
  <c r="G186"/>
  <c r="F187"/>
  <c r="G187"/>
  <c r="F188"/>
  <c r="G188"/>
  <c r="C189"/>
  <c r="D189"/>
  <c r="E189"/>
  <c r="F189"/>
  <c r="G189"/>
  <c r="F190"/>
  <c r="G190"/>
  <c r="F191"/>
  <c r="G191"/>
  <c r="F192"/>
  <c r="G192"/>
  <c r="F193"/>
  <c r="G193"/>
  <c r="F194"/>
  <c r="G194"/>
  <c r="F195"/>
  <c r="G195"/>
  <c r="F196"/>
  <c r="G196"/>
  <c r="F197"/>
  <c r="G197"/>
  <c r="F198"/>
  <c r="G198"/>
  <c r="F199"/>
  <c r="G199"/>
  <c r="F200"/>
  <c r="G200"/>
  <c r="F201"/>
  <c r="G201"/>
  <c r="C202"/>
  <c r="D202"/>
  <c r="E202"/>
  <c r="F202"/>
  <c r="G202"/>
  <c r="F203"/>
  <c r="G203"/>
  <c r="F204"/>
  <c r="G204"/>
  <c r="F206"/>
  <c r="G206"/>
  <c r="F207"/>
  <c r="G207"/>
  <c r="F208"/>
  <c r="G208"/>
  <c r="F209"/>
  <c r="G209"/>
  <c r="F210"/>
  <c r="G210"/>
  <c r="F211"/>
  <c r="G211"/>
  <c r="F212"/>
  <c r="G212"/>
  <c r="F213"/>
  <c r="G213"/>
  <c r="C214"/>
  <c r="D214"/>
  <c r="D205"/>
  <c r="E214"/>
  <c r="F214"/>
  <c r="G214"/>
  <c r="F215"/>
  <c r="G215"/>
  <c r="F216"/>
  <c r="G216"/>
  <c r="F217"/>
  <c r="G217"/>
  <c r="F218"/>
  <c r="G218"/>
  <c r="F219"/>
  <c r="G219"/>
  <c r="F220"/>
  <c r="G220"/>
  <c r="F221"/>
  <c r="G221"/>
  <c r="F222"/>
  <c r="G222"/>
  <c r="D223"/>
  <c r="E223"/>
  <c r="F223"/>
  <c r="G223"/>
  <c r="F224"/>
  <c r="G224"/>
  <c r="E225"/>
  <c r="E205"/>
  <c r="F226"/>
  <c r="G226"/>
  <c r="F227"/>
  <c r="G227"/>
  <c r="F228"/>
  <c r="G228"/>
  <c r="F229"/>
  <c r="G229"/>
  <c r="F230"/>
  <c r="G230"/>
  <c r="F231"/>
  <c r="G231"/>
  <c r="F232"/>
  <c r="G232"/>
  <c r="F233"/>
  <c r="G233"/>
  <c r="F234"/>
  <c r="G234"/>
  <c r="C235"/>
  <c r="D235"/>
  <c r="E235"/>
  <c r="F235"/>
  <c r="G235"/>
  <c r="C236"/>
  <c r="C205"/>
  <c r="D236"/>
  <c r="E236"/>
  <c r="F236"/>
  <c r="G236"/>
  <c r="F237"/>
  <c r="G237"/>
  <c r="F238"/>
  <c r="G238"/>
  <c r="F239"/>
  <c r="G239"/>
  <c r="F240"/>
  <c r="G240"/>
  <c r="F242"/>
  <c r="F243"/>
  <c r="G243"/>
  <c r="F244"/>
  <c r="G244"/>
  <c r="F245"/>
  <c r="G245"/>
  <c r="F246"/>
  <c r="G246"/>
  <c r="C247"/>
  <c r="C241"/>
  <c r="D247"/>
  <c r="E247"/>
  <c r="E241"/>
  <c r="F248"/>
  <c r="G248"/>
  <c r="F249"/>
  <c r="G249"/>
  <c r="D250"/>
  <c r="E250"/>
  <c r="F250"/>
  <c r="G250"/>
  <c r="F251"/>
  <c r="G251"/>
  <c r="F252"/>
  <c r="G252"/>
  <c r="F253"/>
  <c r="G253"/>
  <c r="F254"/>
  <c r="G254"/>
  <c r="F255"/>
  <c r="G255"/>
  <c r="F256"/>
  <c r="G256"/>
  <c r="E257"/>
  <c r="F257"/>
  <c r="G257"/>
  <c r="F258"/>
  <c r="G258"/>
  <c r="F259"/>
  <c r="G259"/>
  <c r="F260"/>
  <c r="G260"/>
  <c r="F261"/>
  <c r="G261"/>
  <c r="F262"/>
  <c r="G262"/>
  <c r="F263"/>
  <c r="G263"/>
  <c r="F264"/>
  <c r="G264"/>
  <c r="F265"/>
  <c r="G265"/>
  <c r="F266"/>
  <c r="G266"/>
  <c r="F267"/>
  <c r="G267"/>
  <c r="F268"/>
  <c r="G268"/>
  <c r="F269"/>
  <c r="G269"/>
  <c r="F270"/>
  <c r="G270"/>
  <c r="F271"/>
  <c r="G271"/>
  <c r="D272"/>
  <c r="D241"/>
  <c r="E272"/>
  <c r="F272"/>
  <c r="G272"/>
  <c r="F273"/>
  <c r="G273"/>
  <c r="F274"/>
  <c r="G274"/>
  <c r="C275"/>
  <c r="D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E299"/>
  <c r="F299"/>
  <c r="G299"/>
  <c r="F300"/>
  <c r="G300"/>
  <c r="F301"/>
  <c r="G301"/>
  <c r="F302"/>
  <c r="G302"/>
  <c r="F303"/>
  <c r="G303"/>
  <c r="F304"/>
  <c r="G304"/>
  <c r="F305"/>
  <c r="G305"/>
  <c r="E306"/>
  <c r="E275"/>
  <c r="F307"/>
  <c r="G307"/>
  <c r="F308"/>
  <c r="G308"/>
  <c r="F309"/>
  <c r="G309"/>
  <c r="E310"/>
  <c r="F310"/>
  <c r="G310"/>
  <c r="E311"/>
  <c r="F311"/>
  <c r="G311"/>
  <c r="F312"/>
  <c r="G312"/>
  <c r="F313"/>
  <c r="G313"/>
  <c r="E314"/>
  <c r="F314"/>
  <c r="G314"/>
  <c r="E315"/>
  <c r="F315"/>
  <c r="G315"/>
  <c r="F316"/>
  <c r="G316"/>
  <c r="F317"/>
  <c r="G317"/>
  <c r="F318"/>
  <c r="G318"/>
  <c r="F319"/>
  <c r="G319"/>
  <c r="D320"/>
  <c r="F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C348"/>
  <c r="C320"/>
  <c r="D348"/>
  <c r="E348"/>
  <c r="E320"/>
  <c r="F349"/>
  <c r="G349"/>
  <c r="F350"/>
  <c r="G350"/>
  <c r="F351"/>
  <c r="G351"/>
  <c r="F352"/>
  <c r="G352"/>
  <c r="F353"/>
  <c r="G353"/>
  <c r="F354"/>
  <c r="G354"/>
  <c r="F355"/>
  <c r="G355"/>
  <c r="F356"/>
  <c r="G356"/>
  <c r="F357"/>
  <c r="G357"/>
  <c r="F358"/>
  <c r="G358"/>
  <c r="F359"/>
  <c r="G359"/>
  <c r="F360"/>
  <c r="G360"/>
  <c r="F361"/>
  <c r="G361"/>
  <c r="F362"/>
  <c r="G362"/>
  <c r="D363"/>
  <c r="F364"/>
  <c r="F365"/>
  <c r="G365"/>
  <c r="F366"/>
  <c r="G366"/>
  <c r="F367"/>
  <c r="G367"/>
  <c r="F368"/>
  <c r="G368"/>
  <c r="F369"/>
  <c r="G369"/>
  <c r="F370"/>
  <c r="G370"/>
  <c r="F371"/>
  <c r="G371"/>
  <c r="F372"/>
  <c r="G372"/>
  <c r="F373"/>
  <c r="G373"/>
  <c r="F374"/>
  <c r="G374"/>
  <c r="F375"/>
  <c r="G375"/>
  <c r="F376"/>
  <c r="G376"/>
  <c r="C377"/>
  <c r="C363"/>
  <c r="D377"/>
  <c r="E377"/>
  <c r="E363"/>
  <c r="F378"/>
  <c r="G378"/>
  <c r="F379"/>
  <c r="G379"/>
  <c r="F380"/>
  <c r="G380"/>
  <c r="F381"/>
  <c r="G381"/>
  <c r="F382"/>
  <c r="G382"/>
  <c r="F383"/>
  <c r="G383"/>
  <c r="F384"/>
  <c r="G384"/>
  <c r="F385"/>
  <c r="G385"/>
  <c r="F386"/>
  <c r="G386"/>
  <c r="F387"/>
  <c r="G387"/>
  <c r="F388"/>
  <c r="G388"/>
  <c r="F389"/>
  <c r="G389"/>
  <c r="F390"/>
  <c r="G390"/>
  <c r="F391"/>
  <c r="G391"/>
  <c r="F392"/>
  <c r="G392"/>
  <c r="F393"/>
  <c r="G393"/>
  <c r="F394"/>
  <c r="G394"/>
  <c r="F395"/>
  <c r="G395"/>
  <c r="F396"/>
  <c r="G396"/>
  <c r="C397"/>
  <c r="D397"/>
  <c r="F398"/>
  <c r="F399"/>
  <c r="G399"/>
  <c r="F400"/>
  <c r="G400"/>
  <c r="F401"/>
  <c r="G401"/>
  <c r="F402"/>
  <c r="G402"/>
  <c r="F403"/>
  <c r="G403"/>
  <c r="F404"/>
  <c r="G404"/>
  <c r="F405"/>
  <c r="G405"/>
  <c r="F406"/>
  <c r="G406"/>
  <c r="F407"/>
  <c r="G407"/>
  <c r="E408"/>
  <c r="E397"/>
  <c r="F409"/>
  <c r="G409"/>
  <c r="F410"/>
  <c r="G410"/>
  <c r="F411"/>
  <c r="G411"/>
  <c r="F412"/>
  <c r="G412"/>
  <c r="F413"/>
  <c r="G413"/>
  <c r="F414"/>
  <c r="G414"/>
  <c r="F415"/>
  <c r="G415"/>
  <c r="F416"/>
  <c r="G416"/>
  <c r="F417"/>
  <c r="G417"/>
  <c r="D418"/>
  <c r="F419"/>
  <c r="F420"/>
  <c r="G420"/>
  <c r="F421"/>
  <c r="G421"/>
  <c r="F422"/>
  <c r="G422"/>
  <c r="F423"/>
  <c r="G423"/>
  <c r="F424"/>
  <c r="G424"/>
  <c r="F425"/>
  <c r="G425"/>
  <c r="F426"/>
  <c r="G426"/>
  <c r="F427"/>
  <c r="G427"/>
  <c r="F428"/>
  <c r="G428"/>
  <c r="F429"/>
  <c r="G429"/>
  <c r="E430"/>
  <c r="E418"/>
  <c r="E431"/>
  <c r="F431"/>
  <c r="G431"/>
  <c r="C432"/>
  <c r="C418"/>
  <c r="D432"/>
  <c r="E432"/>
  <c r="F432"/>
  <c r="G432"/>
  <c r="F433"/>
  <c r="G433"/>
  <c r="E434"/>
  <c r="F434"/>
  <c r="G434"/>
  <c r="F435"/>
  <c r="G435"/>
  <c r="C436"/>
  <c r="E436"/>
  <c r="F436"/>
  <c r="G436"/>
  <c r="F437"/>
  <c r="G437"/>
  <c r="F438"/>
  <c r="G438"/>
  <c r="F439"/>
  <c r="G439"/>
  <c r="E440"/>
  <c r="F440"/>
  <c r="G440"/>
  <c r="F441"/>
  <c r="G441"/>
  <c r="F442"/>
  <c r="G442"/>
  <c r="D443"/>
  <c r="E443"/>
  <c r="F443"/>
  <c r="G443"/>
  <c r="E444"/>
  <c r="F444"/>
  <c r="G444"/>
  <c r="E445"/>
  <c r="F445"/>
  <c r="G445"/>
  <c r="E446"/>
  <c r="F446"/>
  <c r="G446"/>
  <c r="E447"/>
  <c r="F447"/>
  <c r="G447"/>
  <c r="F448"/>
  <c r="G448"/>
  <c r="F449"/>
  <c r="G449"/>
  <c r="D450"/>
  <c r="F451"/>
  <c r="F452"/>
  <c r="G452"/>
  <c r="F453"/>
  <c r="G453"/>
  <c r="C454"/>
  <c r="C450"/>
  <c r="D454"/>
  <c r="E454"/>
  <c r="E450"/>
  <c r="F455"/>
  <c r="G455"/>
  <c r="F456"/>
  <c r="G456"/>
  <c r="F457"/>
  <c r="G457"/>
  <c r="F458"/>
  <c r="G458"/>
  <c r="F459"/>
  <c r="G459"/>
  <c r="F460"/>
  <c r="G460"/>
  <c r="F461"/>
  <c r="G461"/>
  <c r="F462"/>
  <c r="G462"/>
  <c r="F463"/>
  <c r="G463"/>
  <c r="F464"/>
  <c r="G464"/>
  <c r="F465"/>
  <c r="G465"/>
  <c r="F466"/>
  <c r="G466"/>
  <c r="F467"/>
  <c r="G467"/>
  <c r="F468"/>
  <c r="G468"/>
  <c r="F469"/>
  <c r="G469"/>
  <c r="F470"/>
  <c r="G470"/>
  <c r="F471"/>
  <c r="G471"/>
  <c r="F472"/>
  <c r="G472"/>
  <c r="F473"/>
  <c r="G473"/>
  <c r="F474"/>
  <c r="G474"/>
  <c r="F475"/>
  <c r="G475"/>
  <c r="F476"/>
  <c r="G476"/>
  <c r="F477"/>
  <c r="G477"/>
  <c r="F478"/>
  <c r="G478"/>
  <c r="F479"/>
  <c r="G479"/>
  <c r="F480"/>
  <c r="G480"/>
  <c r="F481"/>
  <c r="G481"/>
  <c r="F482"/>
  <c r="G482"/>
  <c r="F483"/>
  <c r="G483"/>
  <c r="F484"/>
  <c r="G484"/>
  <c r="F485"/>
  <c r="G485"/>
  <c r="F486"/>
  <c r="G486"/>
  <c r="F487"/>
  <c r="G487"/>
  <c r="F488"/>
  <c r="G488"/>
  <c r="C489"/>
  <c r="D489"/>
  <c r="E489"/>
  <c r="F490"/>
  <c r="F489"/>
  <c r="G489"/>
  <c r="F491"/>
  <c r="G491"/>
  <c r="F492"/>
  <c r="G492"/>
  <c r="F493"/>
  <c r="G493"/>
  <c r="F494"/>
  <c r="G494"/>
  <c r="F495"/>
  <c r="G495"/>
  <c r="F496"/>
  <c r="G496"/>
  <c r="F497"/>
  <c r="G497"/>
  <c r="F498"/>
  <c r="G498"/>
  <c r="F499"/>
  <c r="G499"/>
  <c r="F500"/>
  <c r="G500"/>
  <c r="F501"/>
  <c r="G501"/>
  <c r="F502"/>
  <c r="G502"/>
  <c r="F503"/>
  <c r="G503"/>
  <c r="F504"/>
  <c r="G504"/>
  <c r="F505"/>
  <c r="G505"/>
  <c r="F506"/>
  <c r="G506"/>
  <c r="F507"/>
  <c r="G507"/>
  <c r="F508"/>
  <c r="G508"/>
  <c r="F509"/>
  <c r="G509"/>
  <c r="F510"/>
  <c r="G510"/>
  <c r="F511"/>
  <c r="G511"/>
  <c r="F512"/>
  <c r="G512"/>
  <c r="F513"/>
  <c r="G513"/>
  <c r="F514"/>
  <c r="G514"/>
  <c r="F515"/>
  <c r="G515"/>
  <c r="F516"/>
  <c r="G516"/>
  <c r="F517"/>
  <c r="G517"/>
  <c r="F518"/>
  <c r="G518"/>
  <c r="F519"/>
  <c r="G519"/>
  <c r="F520"/>
  <c r="G520"/>
  <c r="F521"/>
  <c r="G521"/>
  <c r="F522"/>
  <c r="G522"/>
  <c r="F523"/>
  <c r="G523"/>
  <c r="F524"/>
  <c r="G524"/>
  <c r="F525"/>
  <c r="G525"/>
  <c r="F526"/>
  <c r="G526"/>
  <c r="F527"/>
  <c r="G527"/>
  <c r="F528"/>
  <c r="G528"/>
  <c r="C529"/>
  <c r="D529"/>
  <c r="E529"/>
  <c r="F530"/>
  <c r="F529"/>
  <c r="G529"/>
  <c r="G530"/>
  <c r="F531"/>
  <c r="G531"/>
  <c r="F532"/>
  <c r="G532"/>
  <c r="F533"/>
  <c r="G533"/>
  <c r="F534"/>
  <c r="G534"/>
  <c r="F535"/>
  <c r="G535"/>
  <c r="F536"/>
  <c r="G536"/>
  <c r="F537"/>
  <c r="G537"/>
  <c r="F538"/>
  <c r="G538"/>
  <c r="F539"/>
  <c r="G539"/>
  <c r="F540"/>
  <c r="G540"/>
  <c r="F541"/>
  <c r="G541"/>
  <c r="F542"/>
  <c r="G542"/>
  <c r="F543"/>
  <c r="G543"/>
  <c r="F544"/>
  <c r="G544"/>
  <c r="F545"/>
  <c r="G545"/>
  <c r="F546"/>
  <c r="G546"/>
  <c r="F547"/>
  <c r="G547"/>
  <c r="F548"/>
  <c r="G548"/>
  <c r="F549"/>
  <c r="G549"/>
  <c r="F550"/>
  <c r="G550"/>
  <c r="F551"/>
  <c r="G551"/>
  <c r="F552"/>
  <c r="G552"/>
  <c r="F553"/>
  <c r="G553"/>
  <c r="F554"/>
  <c r="G554"/>
  <c r="F555"/>
  <c r="G555"/>
  <c r="F556"/>
  <c r="G556"/>
  <c r="F557"/>
  <c r="G557"/>
  <c r="F558"/>
  <c r="G558"/>
  <c r="F559"/>
  <c r="G559"/>
  <c r="F560"/>
  <c r="G560"/>
  <c r="F561"/>
  <c r="G561"/>
  <c r="F562"/>
  <c r="G562"/>
  <c r="F563"/>
  <c r="G563"/>
  <c r="F564"/>
  <c r="G564"/>
  <c r="F565"/>
  <c r="G565"/>
  <c r="F566"/>
  <c r="G566"/>
  <c r="F568"/>
  <c r="G568"/>
  <c r="F569"/>
  <c r="G569"/>
  <c r="F570"/>
  <c r="G570"/>
  <c r="F571"/>
  <c r="G571"/>
  <c r="F572"/>
  <c r="G572"/>
  <c r="F573"/>
  <c r="G573"/>
  <c r="F574"/>
  <c r="G574"/>
  <c r="F575"/>
  <c r="G575"/>
  <c r="F576"/>
  <c r="G576"/>
  <c r="F577"/>
  <c r="G577"/>
  <c r="F578"/>
  <c r="G578"/>
  <c r="F579"/>
  <c r="G579"/>
  <c r="F580"/>
  <c r="G580"/>
  <c r="F581"/>
  <c r="G581"/>
  <c r="F582"/>
  <c r="G582"/>
  <c r="F583"/>
  <c r="G583"/>
  <c r="F584"/>
  <c r="G584"/>
  <c r="F585"/>
  <c r="G585"/>
  <c r="F586"/>
  <c r="G586"/>
  <c r="F587"/>
  <c r="G587"/>
  <c r="F588"/>
  <c r="G588"/>
  <c r="F589"/>
  <c r="G589"/>
  <c r="F590"/>
  <c r="G590"/>
  <c r="F591"/>
  <c r="G591"/>
  <c r="F592"/>
  <c r="G592"/>
  <c r="F593"/>
  <c r="G593"/>
  <c r="F594"/>
  <c r="G594"/>
  <c r="F595"/>
  <c r="G595"/>
  <c r="C596"/>
  <c r="C567"/>
  <c r="D596"/>
  <c r="D567"/>
  <c r="F597"/>
  <c r="G597"/>
  <c r="E598"/>
  <c r="E596"/>
  <c r="E567"/>
  <c r="E599"/>
  <c r="F599"/>
  <c r="G599"/>
  <c r="F600"/>
  <c r="G600"/>
  <c r="F601"/>
  <c r="G601"/>
  <c r="F602"/>
  <c r="G602"/>
  <c r="F603"/>
  <c r="G603"/>
  <c r="F604"/>
  <c r="G604"/>
  <c r="E605"/>
  <c r="F605"/>
  <c r="G605"/>
  <c r="E606"/>
  <c r="F606"/>
  <c r="G606"/>
  <c r="F607"/>
  <c r="G607"/>
  <c r="F608"/>
  <c r="G608"/>
  <c r="F609"/>
  <c r="G609"/>
  <c r="E610"/>
  <c r="F610"/>
  <c r="G610"/>
  <c r="E611"/>
  <c r="F611"/>
  <c r="G611"/>
  <c r="E612"/>
  <c r="F612"/>
  <c r="G612"/>
  <c r="F613"/>
  <c r="G613"/>
  <c r="F614"/>
  <c r="G614"/>
  <c r="E615"/>
  <c r="F615"/>
  <c r="G615"/>
  <c r="E616"/>
  <c r="F616"/>
  <c r="G616"/>
  <c r="F617"/>
  <c r="G617"/>
  <c r="E618"/>
  <c r="F618"/>
  <c r="G618"/>
  <c r="F619"/>
  <c r="G619"/>
  <c r="E620"/>
  <c r="F620"/>
  <c r="G620"/>
  <c r="E621"/>
  <c r="F621"/>
  <c r="G621"/>
  <c r="E622"/>
  <c r="F622"/>
  <c r="G622"/>
  <c r="E623"/>
  <c r="F623"/>
  <c r="G623"/>
  <c r="E624"/>
  <c r="F624"/>
  <c r="G624"/>
  <c r="E625"/>
  <c r="F625"/>
  <c r="G625"/>
  <c r="E626"/>
  <c r="F626"/>
  <c r="G626"/>
  <c r="E627"/>
  <c r="F627"/>
  <c r="G627"/>
  <c r="F628"/>
  <c r="G628"/>
  <c r="E629"/>
  <c r="F629"/>
  <c r="G629"/>
  <c r="E630"/>
  <c r="F630"/>
  <c r="G630"/>
  <c r="F631"/>
  <c r="G631"/>
  <c r="E632"/>
  <c r="F632"/>
  <c r="G632"/>
  <c r="C633"/>
  <c r="D633"/>
  <c r="F634"/>
  <c r="G634"/>
  <c r="F635"/>
  <c r="G635"/>
  <c r="F636"/>
  <c r="G636"/>
  <c r="F637"/>
  <c r="G637"/>
  <c r="F638"/>
  <c r="G638"/>
  <c r="F639"/>
  <c r="G639"/>
  <c r="E640"/>
  <c r="E633"/>
  <c r="F641"/>
  <c r="G641"/>
  <c r="F642"/>
  <c r="G642"/>
  <c r="F643"/>
  <c r="G643"/>
  <c r="F644"/>
  <c r="G644"/>
  <c r="F645"/>
  <c r="G645"/>
  <c r="F646"/>
  <c r="G646"/>
  <c r="E647"/>
  <c r="F647"/>
  <c r="G647"/>
  <c r="F648"/>
  <c r="G648"/>
  <c r="F649"/>
  <c r="G649"/>
  <c r="F650"/>
  <c r="G650"/>
  <c r="F651"/>
  <c r="G651"/>
  <c r="F652"/>
  <c r="G652"/>
  <c r="F653"/>
  <c r="G653"/>
  <c r="F654"/>
  <c r="G654"/>
  <c r="F655"/>
  <c r="G655"/>
  <c r="F656"/>
  <c r="G656"/>
  <c r="F657"/>
  <c r="G657"/>
  <c r="F658"/>
  <c r="G658"/>
  <c r="F659"/>
  <c r="G659"/>
  <c r="F660"/>
  <c r="G660"/>
  <c r="F661"/>
  <c r="G661"/>
  <c r="F662"/>
  <c r="G662"/>
  <c r="C663"/>
  <c r="F664"/>
  <c r="F663"/>
  <c r="G664"/>
  <c r="F665"/>
  <c r="G665"/>
  <c r="F666"/>
  <c r="G666"/>
  <c r="F667"/>
  <c r="G667"/>
  <c r="F668"/>
  <c r="G668"/>
  <c r="F669"/>
  <c r="G669"/>
  <c r="F670"/>
  <c r="G670"/>
  <c r="F671"/>
  <c r="G671"/>
  <c r="F672"/>
  <c r="G672"/>
  <c r="F673"/>
  <c r="G673"/>
  <c r="F674"/>
  <c r="G674"/>
  <c r="F675"/>
  <c r="G675"/>
  <c r="F676"/>
  <c r="G676"/>
  <c r="F677"/>
  <c r="G677"/>
  <c r="F678"/>
  <c r="G678"/>
  <c r="F679"/>
  <c r="G679"/>
  <c r="F680"/>
  <c r="G680"/>
  <c r="F681"/>
  <c r="G681"/>
  <c r="F682"/>
  <c r="G682"/>
  <c r="D683"/>
  <c r="D663"/>
  <c r="E683"/>
  <c r="F683"/>
  <c r="G683"/>
  <c r="F684"/>
  <c r="G684"/>
  <c r="F685"/>
  <c r="G685"/>
  <c r="F686"/>
  <c r="G686"/>
  <c r="F687"/>
  <c r="G687"/>
  <c r="F688"/>
  <c r="G688"/>
  <c r="F689"/>
  <c r="G689"/>
  <c r="C690"/>
  <c r="D691"/>
  <c r="D690"/>
  <c r="E691"/>
  <c r="E690"/>
  <c r="F691"/>
  <c r="G691"/>
  <c r="F692"/>
  <c r="G692"/>
  <c r="F693"/>
  <c r="G693"/>
  <c r="F694"/>
  <c r="G694"/>
  <c r="F695"/>
  <c r="G695"/>
  <c r="F696"/>
  <c r="G696"/>
  <c r="F697"/>
  <c r="G697"/>
  <c r="F698"/>
  <c r="G698"/>
  <c r="F699"/>
  <c r="G699"/>
  <c r="F700"/>
  <c r="G700"/>
  <c r="F701"/>
  <c r="G701"/>
  <c r="F702"/>
  <c r="G702"/>
  <c r="F703"/>
  <c r="G703"/>
  <c r="F704"/>
  <c r="G704"/>
  <c r="F705"/>
  <c r="G705"/>
  <c r="F706"/>
  <c r="G706"/>
  <c r="F707"/>
  <c r="G707"/>
  <c r="F708"/>
  <c r="G708"/>
  <c r="F709"/>
  <c r="G709"/>
  <c r="F710"/>
  <c r="G710"/>
  <c r="F711"/>
  <c r="G711"/>
  <c r="F712"/>
  <c r="G712"/>
  <c r="F713"/>
  <c r="G713"/>
  <c r="F714"/>
  <c r="G714"/>
  <c r="F715"/>
  <c r="G715"/>
  <c r="F716"/>
  <c r="G716"/>
  <c r="F717"/>
  <c r="G717"/>
  <c r="F718"/>
  <c r="G718"/>
  <c r="F719"/>
  <c r="G719"/>
  <c r="F720"/>
  <c r="G720"/>
  <c r="F721"/>
  <c r="G721"/>
  <c r="F722"/>
  <c r="G722"/>
  <c r="F723"/>
  <c r="G723"/>
  <c r="F724"/>
  <c r="G724"/>
  <c r="F725"/>
  <c r="G725"/>
  <c r="F726"/>
  <c r="G726"/>
  <c r="F727"/>
  <c r="G727"/>
  <c r="F728"/>
  <c r="G728"/>
  <c r="F729"/>
  <c r="G729"/>
  <c r="C730"/>
  <c r="D730"/>
  <c r="E731"/>
  <c r="E730"/>
  <c r="E732"/>
  <c r="F732"/>
  <c r="G732"/>
  <c r="E733"/>
  <c r="F733"/>
  <c r="G733"/>
  <c r="E734"/>
  <c r="F734"/>
  <c r="G734"/>
  <c r="F735"/>
  <c r="G735"/>
  <c r="E736"/>
  <c r="F736"/>
  <c r="G736"/>
  <c r="F737"/>
  <c r="G737"/>
  <c r="F738"/>
  <c r="G738"/>
  <c r="E739"/>
  <c r="F739"/>
  <c r="G739"/>
  <c r="E740"/>
  <c r="F740"/>
  <c r="G740"/>
  <c r="E741"/>
  <c r="F741"/>
  <c r="G741"/>
  <c r="E742"/>
  <c r="F742"/>
  <c r="G742"/>
  <c r="F743"/>
  <c r="G743"/>
  <c r="F744"/>
  <c r="G744"/>
  <c r="F745"/>
  <c r="G745"/>
  <c r="F746"/>
  <c r="G746"/>
  <c r="F747"/>
  <c r="G747"/>
  <c r="F748"/>
  <c r="G748"/>
  <c r="E749"/>
  <c r="F749"/>
  <c r="G749"/>
  <c r="E750"/>
  <c r="F750"/>
  <c r="G750"/>
  <c r="F751"/>
  <c r="G751"/>
  <c r="E752"/>
  <c r="F752"/>
  <c r="G752"/>
  <c r="E753"/>
  <c r="F753"/>
  <c r="G753"/>
  <c r="E754"/>
  <c r="F754"/>
  <c r="G754"/>
  <c r="E755"/>
  <c r="F755"/>
  <c r="G755"/>
  <c r="F756"/>
  <c r="G756"/>
  <c r="E757"/>
  <c r="F757"/>
  <c r="G757"/>
  <c r="E758"/>
  <c r="F758"/>
  <c r="G758"/>
  <c r="E759"/>
  <c r="F759"/>
  <c r="G759"/>
  <c r="F760"/>
  <c r="G760"/>
  <c r="F761"/>
  <c r="G761"/>
  <c r="F762"/>
  <c r="G762"/>
  <c r="C763"/>
  <c r="D763"/>
  <c r="F764"/>
  <c r="G764"/>
  <c r="E765"/>
  <c r="F765"/>
  <c r="G765"/>
  <c r="F766"/>
  <c r="G766"/>
  <c r="F767"/>
  <c r="G767"/>
  <c r="F768"/>
  <c r="G768"/>
  <c r="E769"/>
  <c r="E763"/>
  <c r="F770"/>
  <c r="G770"/>
  <c r="F771"/>
  <c r="G771"/>
  <c r="F772"/>
  <c r="G772"/>
  <c r="F773"/>
  <c r="G773"/>
  <c r="F774"/>
  <c r="G774"/>
  <c r="F775"/>
  <c r="G775"/>
  <c r="F776"/>
  <c r="G776"/>
  <c r="F777"/>
  <c r="G777"/>
  <c r="F778"/>
  <c r="G778"/>
  <c r="F779"/>
  <c r="G779"/>
  <c r="F780"/>
  <c r="G780"/>
  <c r="F781"/>
  <c r="G781"/>
  <c r="D782"/>
  <c r="F783"/>
  <c r="F784"/>
  <c r="G784"/>
  <c r="F785"/>
  <c r="G785"/>
  <c r="F786"/>
  <c r="G786"/>
  <c r="F787"/>
  <c r="G787"/>
  <c r="F788"/>
  <c r="G788"/>
  <c r="F789"/>
  <c r="G789"/>
  <c r="F790"/>
  <c r="G790"/>
  <c r="C791"/>
  <c r="C782"/>
  <c r="D791"/>
  <c r="E791"/>
  <c r="E782"/>
  <c r="F792"/>
  <c r="G792"/>
  <c r="F793"/>
  <c r="G793"/>
  <c r="E794"/>
  <c r="F794"/>
  <c r="G794"/>
  <c r="E795"/>
  <c r="F795"/>
  <c r="G795"/>
  <c r="E796"/>
  <c r="F796"/>
  <c r="G796"/>
  <c r="E797"/>
  <c r="F797"/>
  <c r="G797"/>
  <c r="E798"/>
  <c r="F798"/>
  <c r="G798"/>
  <c r="E799"/>
  <c r="F799"/>
  <c r="G799"/>
  <c r="E800"/>
  <c r="F800"/>
  <c r="G800"/>
  <c r="C801"/>
  <c r="E801"/>
  <c r="F802"/>
  <c r="F801"/>
  <c r="G801"/>
  <c r="G802"/>
  <c r="C803"/>
  <c r="D803"/>
  <c r="D801"/>
  <c r="E803"/>
  <c r="F803"/>
  <c r="G803"/>
  <c r="F804"/>
  <c r="G804"/>
  <c r="F805"/>
  <c r="G805"/>
  <c r="F806"/>
  <c r="G806"/>
  <c r="F807"/>
  <c r="G807"/>
  <c r="F808"/>
  <c r="G808"/>
  <c r="F809"/>
  <c r="G809"/>
  <c r="F810"/>
  <c r="G810"/>
  <c r="F811"/>
  <c r="G811"/>
  <c r="F812"/>
  <c r="G812"/>
  <c r="F813"/>
  <c r="G813"/>
  <c r="F814"/>
  <c r="G814"/>
  <c r="F815"/>
  <c r="G815"/>
  <c r="F816"/>
  <c r="G816"/>
  <c r="F817"/>
  <c r="G817"/>
  <c r="F818"/>
  <c r="G818"/>
  <c r="F819"/>
  <c r="G819"/>
  <c r="F820"/>
  <c r="G820"/>
  <c r="F821"/>
  <c r="G821"/>
  <c r="F822"/>
  <c r="G822"/>
  <c r="F823"/>
  <c r="G823"/>
  <c r="F824"/>
  <c r="G824"/>
  <c r="F825"/>
  <c r="G825"/>
  <c r="F826"/>
  <c r="G826"/>
  <c r="F827"/>
  <c r="G827"/>
  <c r="F828"/>
  <c r="G828"/>
  <c r="F829"/>
  <c r="G829"/>
  <c r="F830"/>
  <c r="G830"/>
  <c r="F831"/>
  <c r="G831"/>
  <c r="F832"/>
  <c r="G832"/>
  <c r="C833"/>
  <c r="D833"/>
  <c r="F834"/>
  <c r="G834"/>
  <c r="F835"/>
  <c r="G835"/>
  <c r="F836"/>
  <c r="G836"/>
  <c r="F837"/>
  <c r="G837"/>
  <c r="F838"/>
  <c r="G838"/>
  <c r="F839"/>
  <c r="G839"/>
  <c r="F840"/>
  <c r="G840"/>
  <c r="F841"/>
  <c r="G841"/>
  <c r="F842"/>
  <c r="G842"/>
  <c r="F843"/>
  <c r="G843"/>
  <c r="F844"/>
  <c r="G844"/>
  <c r="F845"/>
  <c r="G845"/>
  <c r="E846"/>
  <c r="F846"/>
  <c r="G846"/>
  <c r="E847"/>
  <c r="E833"/>
  <c r="E848"/>
  <c r="F848"/>
  <c r="G848"/>
  <c r="E849"/>
  <c r="F849"/>
  <c r="G849"/>
  <c r="C850"/>
  <c r="D850"/>
  <c r="E850"/>
  <c r="F851"/>
  <c r="F850"/>
  <c r="G850"/>
  <c r="F852"/>
  <c r="G852"/>
  <c r="F853"/>
  <c r="G853"/>
  <c r="F854"/>
  <c r="G854"/>
  <c r="F855"/>
  <c r="G855"/>
  <c r="F856"/>
  <c r="G856"/>
  <c r="F857"/>
  <c r="G857"/>
  <c r="F858"/>
  <c r="G858"/>
  <c r="F859"/>
  <c r="G859"/>
  <c r="F860"/>
  <c r="G860"/>
  <c r="F861"/>
  <c r="G861"/>
  <c r="F862"/>
  <c r="G862"/>
  <c r="C863"/>
  <c r="D863"/>
  <c r="E863"/>
  <c r="F864"/>
  <c r="F863"/>
  <c r="G863"/>
  <c r="G864"/>
  <c r="F865"/>
  <c r="G865"/>
  <c r="F866"/>
  <c r="G866"/>
  <c r="F867"/>
  <c r="G867"/>
  <c r="F868"/>
  <c r="G868"/>
  <c r="F869"/>
  <c r="G869"/>
  <c r="F870"/>
  <c r="G870"/>
  <c r="F871"/>
  <c r="G871"/>
  <c r="F872"/>
  <c r="G872"/>
  <c r="F873"/>
  <c r="G873"/>
  <c r="F874"/>
  <c r="G874"/>
  <c r="F875"/>
  <c r="G875"/>
  <c r="F876"/>
  <c r="G876"/>
  <c r="F877"/>
  <c r="G877"/>
  <c r="F878"/>
  <c r="G878"/>
  <c r="F879"/>
  <c r="G879"/>
  <c r="F880"/>
  <c r="G880"/>
  <c r="F881"/>
  <c r="G881"/>
  <c r="F882"/>
  <c r="G882"/>
  <c r="F883"/>
  <c r="G883"/>
  <c r="F884"/>
  <c r="G884"/>
  <c r="F885"/>
  <c r="G885"/>
  <c r="F886"/>
  <c r="G886"/>
  <c r="F887"/>
  <c r="G887"/>
  <c r="F888"/>
  <c r="G888"/>
  <c r="F889"/>
  <c r="G889"/>
  <c r="F890"/>
  <c r="G890"/>
  <c r="F891"/>
  <c r="G891"/>
  <c r="F892"/>
  <c r="G892"/>
  <c r="F893"/>
  <c r="G893"/>
  <c r="F894"/>
  <c r="G894"/>
  <c r="C895"/>
  <c r="D895"/>
  <c r="E895"/>
  <c r="F896"/>
  <c r="F895"/>
  <c r="G895"/>
  <c r="F897"/>
  <c r="G897"/>
  <c r="F898"/>
  <c r="G898"/>
  <c r="F899"/>
  <c r="G899"/>
  <c r="F900"/>
  <c r="G900"/>
  <c r="F901"/>
  <c r="G901"/>
  <c r="F902"/>
  <c r="G902"/>
  <c r="F903"/>
  <c r="G903"/>
  <c r="F904"/>
  <c r="G904"/>
  <c r="F905"/>
  <c r="G905"/>
  <c r="F906"/>
  <c r="G906"/>
  <c r="F907"/>
  <c r="G907"/>
  <c r="F908"/>
  <c r="G908"/>
  <c r="F909"/>
  <c r="G909"/>
  <c r="F910"/>
  <c r="G910"/>
  <c r="F911"/>
  <c r="G911"/>
  <c r="F912"/>
  <c r="G912"/>
  <c r="F913"/>
  <c r="G913"/>
  <c r="F914"/>
  <c r="G914"/>
  <c r="F915"/>
  <c r="G915"/>
  <c r="F916"/>
  <c r="G916"/>
  <c r="F917"/>
  <c r="G917"/>
  <c r="F918"/>
  <c r="G918"/>
  <c r="F919"/>
  <c r="G919"/>
  <c r="F920"/>
  <c r="G920"/>
  <c r="F921"/>
  <c r="G921"/>
  <c r="F922"/>
  <c r="G922"/>
  <c r="F923"/>
  <c r="G923"/>
  <c r="F924"/>
  <c r="G924"/>
  <c r="F925"/>
  <c r="G925"/>
  <c r="F926"/>
  <c r="G926"/>
  <c r="F927"/>
  <c r="G927"/>
  <c r="C928"/>
  <c r="D928"/>
  <c r="E928"/>
  <c r="F929"/>
  <c r="F928"/>
  <c r="G928"/>
  <c r="G929"/>
  <c r="F930"/>
  <c r="G930"/>
  <c r="F931"/>
  <c r="G931"/>
  <c r="F932"/>
  <c r="G932"/>
  <c r="F933"/>
  <c r="G933"/>
  <c r="F934"/>
  <c r="G934"/>
  <c r="F935"/>
  <c r="G935"/>
  <c r="F936"/>
  <c r="G936"/>
  <c r="F937"/>
  <c r="G937"/>
  <c r="F938"/>
  <c r="G938"/>
  <c r="F939"/>
  <c r="G939"/>
  <c r="F940"/>
  <c r="G940"/>
  <c r="F941"/>
  <c r="G941"/>
  <c r="F942"/>
  <c r="G942"/>
  <c r="F943"/>
  <c r="G943"/>
  <c r="F944"/>
  <c r="G944"/>
  <c r="F945"/>
  <c r="G945"/>
  <c r="F946"/>
  <c r="G946"/>
  <c r="F947"/>
  <c r="G947"/>
  <c r="F948"/>
  <c r="G948"/>
  <c r="F949"/>
  <c r="G949"/>
  <c r="F950"/>
  <c r="G950"/>
  <c r="F951"/>
  <c r="G951"/>
  <c r="F952"/>
  <c r="G952"/>
  <c r="F953"/>
  <c r="G953"/>
  <c r="F954"/>
  <c r="G954"/>
  <c r="F955"/>
  <c r="G955"/>
  <c r="F956"/>
  <c r="G956"/>
  <c r="F957"/>
  <c r="G957"/>
  <c r="F958"/>
  <c r="G958"/>
  <c r="C959"/>
  <c r="D959"/>
  <c r="F960"/>
  <c r="F961"/>
  <c r="G961"/>
  <c r="F962"/>
  <c r="G962"/>
  <c r="F963"/>
  <c r="G963"/>
  <c r="F964"/>
  <c r="G964"/>
  <c r="F965"/>
  <c r="G965"/>
  <c r="E966"/>
  <c r="E959"/>
  <c r="F967"/>
  <c r="G967"/>
  <c r="E968"/>
  <c r="F968"/>
  <c r="G968"/>
  <c r="E969"/>
  <c r="F969"/>
  <c r="G969"/>
  <c r="F970"/>
  <c r="G970"/>
  <c r="F971"/>
  <c r="G971"/>
  <c r="F972"/>
  <c r="G972"/>
  <c r="F973"/>
  <c r="G973"/>
  <c r="F974"/>
  <c r="G974"/>
  <c r="F975"/>
  <c r="G975"/>
  <c r="F976"/>
  <c r="G976"/>
  <c r="E977"/>
  <c r="F977"/>
  <c r="G977"/>
  <c r="E978"/>
  <c r="F978"/>
  <c r="G978"/>
  <c r="F979"/>
  <c r="G979"/>
  <c r="F980"/>
  <c r="G980"/>
  <c r="F981"/>
  <c r="G981"/>
  <c r="E982"/>
  <c r="F982"/>
  <c r="G982"/>
  <c r="E983"/>
  <c r="F983"/>
  <c r="G983"/>
  <c r="E984"/>
  <c r="F984"/>
  <c r="G984"/>
  <c r="E985"/>
  <c r="F985"/>
  <c r="G985"/>
  <c r="F986"/>
  <c r="G986"/>
  <c r="F987"/>
  <c r="G987"/>
  <c r="F988"/>
  <c r="G988"/>
  <c r="F989"/>
  <c r="G989"/>
  <c r="F990"/>
  <c r="G990"/>
  <c r="F991"/>
  <c r="G991"/>
  <c r="F992"/>
  <c r="G992"/>
  <c r="F993"/>
  <c r="G993"/>
  <c r="F994"/>
  <c r="G994"/>
  <c r="F995"/>
  <c r="G995"/>
  <c r="F996"/>
  <c r="G996"/>
  <c r="F997"/>
  <c r="G997"/>
  <c r="F998"/>
  <c r="G998"/>
  <c r="C999"/>
  <c r="D999"/>
  <c r="F1000"/>
  <c r="E1001"/>
  <c r="E999"/>
  <c r="F1002"/>
  <c r="G1002"/>
  <c r="F1003"/>
  <c r="G1003"/>
  <c r="F1004"/>
  <c r="G1004"/>
  <c r="F1005"/>
  <c r="G1005"/>
  <c r="F1006"/>
  <c r="G1006"/>
  <c r="F1007"/>
  <c r="G1007"/>
  <c r="F1008"/>
  <c r="G1008"/>
  <c r="F1009"/>
  <c r="G1009"/>
  <c r="F1010"/>
  <c r="G1010"/>
  <c r="F1011"/>
  <c r="G1011"/>
  <c r="F1012"/>
  <c r="G1012"/>
  <c r="F1013"/>
  <c r="G1013"/>
  <c r="F1014"/>
  <c r="G1014"/>
  <c r="F1015"/>
  <c r="G1015"/>
  <c r="F1016"/>
  <c r="G1016"/>
  <c r="F1017"/>
  <c r="G1017"/>
  <c r="F1018"/>
  <c r="G1018"/>
  <c r="F1019"/>
  <c r="G1019"/>
  <c r="F1020"/>
  <c r="G1020"/>
  <c r="F1021"/>
  <c r="G1021"/>
  <c r="F1022"/>
  <c r="G1022"/>
  <c r="F1023"/>
  <c r="G1023"/>
  <c r="F1024"/>
  <c r="G1024"/>
  <c r="F1025"/>
  <c r="G1025"/>
  <c r="F1026"/>
  <c r="G1026"/>
  <c r="F1027"/>
  <c r="G1027"/>
  <c r="F1028"/>
  <c r="G1028"/>
  <c r="F1029"/>
  <c r="G1029"/>
  <c r="F1030"/>
  <c r="G1030"/>
  <c r="F1031"/>
  <c r="G1031"/>
  <c r="F1032"/>
  <c r="G1032"/>
  <c r="F1033"/>
  <c r="G1033"/>
  <c r="F1034"/>
  <c r="G1034"/>
  <c r="F1035"/>
  <c r="G1035"/>
  <c r="F1036"/>
  <c r="G1036"/>
  <c r="F1037"/>
  <c r="G1037"/>
  <c r="F1038"/>
  <c r="G1038"/>
  <c r="F1039"/>
  <c r="G1039"/>
  <c r="F1040"/>
  <c r="G1040"/>
  <c r="F1041"/>
  <c r="G1041"/>
  <c r="F1042"/>
  <c r="G1042"/>
  <c r="F1043"/>
  <c r="G1043"/>
  <c r="F1044"/>
  <c r="G1044"/>
  <c r="F1045"/>
  <c r="G1045"/>
  <c r="F1046"/>
  <c r="G1046"/>
  <c r="F1047"/>
  <c r="G1047"/>
  <c r="F1048"/>
  <c r="G1048"/>
  <c r="F1049"/>
  <c r="G1049"/>
  <c r="F1050"/>
  <c r="G1050"/>
  <c r="F1051"/>
  <c r="G1051"/>
  <c r="F1052"/>
  <c r="G1052"/>
  <c r="F1053"/>
  <c r="G1053"/>
  <c r="F1054"/>
  <c r="G1054"/>
  <c r="F1055"/>
  <c r="G1055"/>
  <c r="F1056"/>
  <c r="G1056"/>
  <c r="F1057"/>
  <c r="G1057"/>
  <c r="F1058"/>
  <c r="G1058"/>
  <c r="F1059"/>
  <c r="G1059"/>
  <c r="F1060"/>
  <c r="G1060"/>
  <c r="F1061"/>
  <c r="G1061"/>
  <c r="F1062"/>
  <c r="G1062"/>
  <c r="F1063"/>
  <c r="G1063"/>
  <c r="F1064"/>
  <c r="G1064"/>
  <c r="F1065"/>
  <c r="G1065"/>
  <c r="F1066"/>
  <c r="G1066"/>
  <c r="F1067"/>
  <c r="G1067"/>
  <c r="F1068"/>
  <c r="G1068"/>
  <c r="F1069"/>
  <c r="G1069"/>
  <c r="F1070"/>
  <c r="G1070"/>
  <c r="F1071"/>
  <c r="G1071"/>
  <c r="F1072"/>
  <c r="G1072"/>
  <c r="F1073"/>
  <c r="G1073"/>
  <c r="F1074"/>
  <c r="G1074"/>
  <c r="F1075"/>
  <c r="G1075"/>
  <c r="F1076"/>
  <c r="G1076"/>
  <c r="F1077"/>
  <c r="G1077"/>
  <c r="F1078"/>
  <c r="G1078"/>
  <c r="F1079"/>
  <c r="G1079"/>
  <c r="F1080"/>
  <c r="G1080"/>
  <c r="F1081"/>
  <c r="G1081"/>
  <c r="F1082"/>
  <c r="G1082"/>
  <c r="F1083"/>
  <c r="G1083"/>
  <c r="F1084"/>
  <c r="G1084"/>
  <c r="F1085"/>
  <c r="G1085"/>
  <c r="F1086"/>
  <c r="G1086"/>
  <c r="F1087"/>
  <c r="G1087"/>
  <c r="F1088"/>
  <c r="G1088"/>
  <c r="F1089"/>
  <c r="G1089"/>
  <c r="F1090"/>
  <c r="G1090"/>
  <c r="F1091"/>
  <c r="G1091"/>
  <c r="F1092"/>
  <c r="G1092"/>
  <c r="F1093"/>
  <c r="G1093"/>
  <c r="F1094"/>
  <c r="G1094"/>
  <c r="F1095"/>
  <c r="G1095"/>
  <c r="F1096"/>
  <c r="G1096"/>
  <c r="F1097"/>
  <c r="G1097"/>
  <c r="F1098"/>
  <c r="G1098"/>
  <c r="F1099"/>
  <c r="G1099"/>
  <c r="F1100"/>
  <c r="G1100"/>
  <c r="F1101"/>
  <c r="G1101"/>
  <c r="F1102"/>
  <c r="G1102"/>
  <c r="F1103"/>
  <c r="G1103"/>
  <c r="F1104"/>
  <c r="G1104"/>
  <c r="F1105"/>
  <c r="G1105"/>
  <c r="F1106"/>
  <c r="G1106"/>
  <c r="F1107"/>
  <c r="G1107"/>
  <c r="F1108"/>
  <c r="G1108"/>
  <c r="F1109"/>
  <c r="G1109"/>
  <c r="F1110"/>
  <c r="G1110"/>
  <c r="F1111"/>
  <c r="G1111"/>
  <c r="F1112"/>
  <c r="G1112"/>
  <c r="F1113"/>
  <c r="G1113"/>
  <c r="F1114"/>
  <c r="G1114"/>
  <c r="F1115"/>
  <c r="G1115"/>
  <c r="F1116"/>
  <c r="G1116"/>
  <c r="F1117"/>
  <c r="G1117"/>
  <c r="F1118"/>
  <c r="G1118"/>
  <c r="F1119"/>
  <c r="G1119"/>
  <c r="F1120"/>
  <c r="G1120"/>
  <c r="F1121"/>
  <c r="G1121"/>
  <c r="F1122"/>
  <c r="G1122"/>
  <c r="F1123"/>
  <c r="G1123"/>
  <c r="F1124"/>
  <c r="G1124"/>
  <c r="F1125"/>
  <c r="G1125"/>
  <c r="F1126"/>
  <c r="G1126"/>
  <c r="F1127"/>
  <c r="G1127"/>
  <c r="F1128"/>
  <c r="G1128"/>
  <c r="F1129"/>
  <c r="G1129"/>
  <c r="F1130"/>
  <c r="G1130"/>
  <c r="F1131"/>
  <c r="G1131"/>
  <c r="F1132"/>
  <c r="G1132"/>
  <c r="F1133"/>
  <c r="G1133"/>
  <c r="F1134"/>
  <c r="G1134"/>
  <c r="F1135"/>
  <c r="G1135"/>
  <c r="F1136"/>
  <c r="G1136"/>
  <c r="F1137"/>
  <c r="G1137"/>
  <c r="F1138"/>
  <c r="G1138"/>
  <c r="F1139"/>
  <c r="G1139"/>
  <c r="F1140"/>
  <c r="G1140"/>
  <c r="F1141"/>
  <c r="G1141"/>
  <c r="F1142"/>
  <c r="G1142"/>
  <c r="F1143"/>
  <c r="G1143"/>
  <c r="F1144"/>
  <c r="G1144"/>
  <c r="F1145"/>
  <c r="G1145"/>
  <c r="F1146"/>
  <c r="G1146"/>
  <c r="F1147"/>
  <c r="G1147"/>
  <c r="F1148"/>
  <c r="G1148"/>
  <c r="F1149"/>
  <c r="G1149"/>
  <c r="F1150"/>
  <c r="G1150"/>
  <c r="F1151"/>
  <c r="G1151"/>
  <c r="F1152"/>
  <c r="G1152"/>
  <c r="F1153"/>
  <c r="G1153"/>
  <c r="F1154"/>
  <c r="G1154"/>
  <c r="F1155"/>
  <c r="G1155"/>
  <c r="F1156"/>
  <c r="G1156"/>
  <c r="F1157"/>
  <c r="G1157"/>
  <c r="F1158"/>
  <c r="G1158"/>
  <c r="F1159"/>
  <c r="G1159"/>
  <c r="F1160"/>
  <c r="G1160"/>
  <c r="F1161"/>
  <c r="G1161"/>
  <c r="F1162"/>
  <c r="G1162"/>
  <c r="F1163"/>
  <c r="G1163"/>
  <c r="F1164"/>
  <c r="G1164"/>
  <c r="F1165"/>
  <c r="G1165"/>
  <c r="F1166"/>
  <c r="G1166"/>
  <c r="F1167"/>
  <c r="G1167"/>
  <c r="F1168"/>
  <c r="G1168"/>
  <c r="F1169"/>
  <c r="G1169"/>
  <c r="F1170"/>
  <c r="G1170"/>
  <c r="F1171"/>
  <c r="G1171"/>
  <c r="F1172"/>
  <c r="G1172"/>
  <c r="F1173"/>
  <c r="G1173"/>
  <c r="F1174"/>
  <c r="G1174"/>
  <c r="F1175"/>
  <c r="G1175"/>
  <c r="F1176"/>
  <c r="G1176"/>
  <c r="F1177"/>
  <c r="G1177"/>
  <c r="F1178"/>
  <c r="G1178"/>
  <c r="F1179"/>
  <c r="G1179"/>
  <c r="F1180"/>
  <c r="G1180"/>
  <c r="F1181"/>
  <c r="G1181"/>
  <c r="F1182"/>
  <c r="G1182"/>
  <c r="F1183"/>
  <c r="G1183"/>
  <c r="F1184"/>
  <c r="G1184"/>
  <c r="F1185"/>
  <c r="G1185"/>
  <c r="F1186"/>
  <c r="G1186"/>
  <c r="F1187"/>
  <c r="G1187"/>
  <c r="F1188"/>
  <c r="G1188"/>
  <c r="F1189"/>
  <c r="G1189"/>
  <c r="F1190"/>
  <c r="G1190"/>
  <c r="F1191"/>
  <c r="G1191"/>
  <c r="F1192"/>
  <c r="G1192"/>
  <c r="F1193"/>
  <c r="G1193"/>
  <c r="F1194"/>
  <c r="G1194"/>
  <c r="F1195"/>
  <c r="G1195"/>
  <c r="F1196"/>
  <c r="G1196"/>
  <c r="F1197"/>
  <c r="G1197"/>
  <c r="F1198"/>
  <c r="G1198"/>
  <c r="F1199"/>
  <c r="G1199"/>
  <c r="F1200"/>
  <c r="G1200"/>
  <c r="F1201"/>
  <c r="G1201"/>
  <c r="F1202"/>
  <c r="G1202"/>
  <c r="F1203"/>
  <c r="G1203"/>
  <c r="F1204"/>
  <c r="G1204"/>
  <c r="F1205"/>
  <c r="G1205"/>
  <c r="F1206"/>
  <c r="G1206"/>
  <c r="F1207"/>
  <c r="G1207"/>
  <c r="F1208"/>
  <c r="G1208"/>
  <c r="F1209"/>
  <c r="G1209"/>
  <c r="F1210"/>
  <c r="G1210"/>
  <c r="F1211"/>
  <c r="G1211"/>
  <c r="F1212"/>
  <c r="G1212"/>
  <c r="F1213"/>
  <c r="G1213"/>
  <c r="F1214"/>
  <c r="G1214"/>
  <c r="F1215"/>
  <c r="G1215"/>
  <c r="F1216"/>
  <c r="G1216"/>
  <c r="F1217"/>
  <c r="G1217"/>
  <c r="F1218"/>
  <c r="G1218"/>
  <c r="F1219"/>
  <c r="G1219"/>
  <c r="F1220"/>
  <c r="G1220"/>
  <c r="F1221"/>
  <c r="G1221"/>
  <c r="F1222"/>
  <c r="G1222"/>
  <c r="F1223"/>
  <c r="G1223"/>
  <c r="F1224"/>
  <c r="G1224"/>
  <c r="F1225"/>
  <c r="G1225"/>
  <c r="F1226"/>
  <c r="G1226"/>
  <c r="F1227"/>
  <c r="G1227"/>
  <c r="F1228"/>
  <c r="G1228"/>
  <c r="F1229"/>
  <c r="G1229"/>
  <c r="F1230"/>
  <c r="G1230"/>
  <c r="F1231"/>
  <c r="G1231"/>
  <c r="F1232"/>
  <c r="G1232"/>
  <c r="F1233"/>
  <c r="G1233"/>
  <c r="F1234"/>
  <c r="G1234"/>
  <c r="F1235"/>
  <c r="G1235"/>
  <c r="F1236"/>
  <c r="G1236"/>
  <c r="F1237"/>
  <c r="G1237"/>
  <c r="F1238"/>
  <c r="G1238"/>
  <c r="F1239"/>
  <c r="G1239"/>
  <c r="F1240"/>
  <c r="G1240"/>
  <c r="F1241"/>
  <c r="G1241"/>
  <c r="F1242"/>
  <c r="G1242"/>
  <c r="F1243"/>
  <c r="G1243"/>
  <c r="F1244"/>
  <c r="G1244"/>
  <c r="F1245"/>
  <c r="G1245"/>
  <c r="F1246"/>
  <c r="G1246"/>
  <c r="F1247"/>
  <c r="G1247"/>
  <c r="F1248"/>
  <c r="G1248"/>
  <c r="F1249"/>
  <c r="G1249"/>
  <c r="F1250"/>
  <c r="G1250"/>
  <c r="F1251"/>
  <c r="G1251"/>
  <c r="F1252"/>
  <c r="G1252"/>
  <c r="F1253"/>
  <c r="G1253"/>
  <c r="F1254"/>
  <c r="G1254"/>
  <c r="F1255"/>
  <c r="G1255"/>
  <c r="F1256"/>
  <c r="G1256"/>
  <c r="F1257"/>
  <c r="G1257"/>
  <c r="F1258"/>
  <c r="G1258"/>
  <c r="F1259"/>
  <c r="G1259"/>
  <c r="F1260"/>
  <c r="G1260"/>
  <c r="F1261"/>
  <c r="G1261"/>
  <c r="F1262"/>
  <c r="G1262"/>
  <c r="F1263"/>
  <c r="G1263"/>
  <c r="F1264"/>
  <c r="G1264"/>
  <c r="F1265"/>
  <c r="G1265"/>
  <c r="F1266"/>
  <c r="G1266"/>
  <c r="F1267"/>
  <c r="G1267"/>
  <c r="F1268"/>
  <c r="G1268"/>
  <c r="F1269"/>
  <c r="G1269"/>
  <c r="F1270"/>
  <c r="G1270"/>
  <c r="F1271"/>
  <c r="G1271"/>
  <c r="F1272"/>
  <c r="G1272"/>
  <c r="F1273"/>
  <c r="G1273"/>
  <c r="C5" i="4"/>
  <c r="E1" s="1"/>
  <c r="D5"/>
  <c r="H5"/>
  <c r="I5"/>
  <c r="M5"/>
  <c r="N5"/>
  <c r="R5"/>
  <c r="S5"/>
  <c r="W5"/>
  <c r="X5"/>
  <c r="AB5"/>
  <c r="AC5"/>
  <c r="AG5"/>
  <c r="AH5"/>
  <c r="AL5"/>
  <c r="AM5"/>
  <c r="AO5"/>
  <c r="AQ5"/>
  <c r="AR162" s="1"/>
  <c r="AR5"/>
  <c r="AV5"/>
  <c r="AW5"/>
  <c r="AY5"/>
  <c r="BA5"/>
  <c r="BB5"/>
  <c r="BD5"/>
  <c r="BF5"/>
  <c r="BI5" s="1"/>
  <c r="BG5"/>
  <c r="BK5"/>
  <c r="BR5"/>
  <c r="BU5" s="1"/>
  <c r="E6"/>
  <c r="F6"/>
  <c r="J6"/>
  <c r="K6"/>
  <c r="O6"/>
  <c r="P6"/>
  <c r="Y6"/>
  <c r="Z6"/>
  <c r="AD6"/>
  <c r="AE6"/>
  <c r="AI6"/>
  <c r="AJ6"/>
  <c r="AN6"/>
  <c r="AO6"/>
  <c r="AS6"/>
  <c r="AT6"/>
  <c r="AX6"/>
  <c r="AY6"/>
  <c r="BC6"/>
  <c r="BD6"/>
  <c r="BH6"/>
  <c r="BI6"/>
  <c r="BK6"/>
  <c r="BL6"/>
  <c r="BR6"/>
  <c r="BS6"/>
  <c r="E7"/>
  <c r="F7"/>
  <c r="J7"/>
  <c r="K7"/>
  <c r="O7"/>
  <c r="P7"/>
  <c r="T7"/>
  <c r="U7"/>
  <c r="Y7"/>
  <c r="Z7"/>
  <c r="AD7"/>
  <c r="AE7"/>
  <c r="AI7"/>
  <c r="AJ7"/>
  <c r="AN7"/>
  <c r="AO7"/>
  <c r="AS7"/>
  <c r="AT7"/>
  <c r="AX7"/>
  <c r="AY7"/>
  <c r="BC7"/>
  <c r="BD7"/>
  <c r="BH7"/>
  <c r="BI7"/>
  <c r="BK7"/>
  <c r="BL7"/>
  <c r="BN7"/>
  <c r="BR7"/>
  <c r="BU7" s="1"/>
  <c r="BS7"/>
  <c r="E8"/>
  <c r="F8"/>
  <c r="J8"/>
  <c r="K8"/>
  <c r="O8"/>
  <c r="P8"/>
  <c r="T8"/>
  <c r="U8"/>
  <c r="Y8"/>
  <c r="Z8"/>
  <c r="AD8"/>
  <c r="AE8"/>
  <c r="AI8"/>
  <c r="AJ8"/>
  <c r="AN8"/>
  <c r="AO8"/>
  <c r="AS8"/>
  <c r="AT8"/>
  <c r="AX8"/>
  <c r="AY8"/>
  <c r="BC8"/>
  <c r="BD8"/>
  <c r="BH8"/>
  <c r="BI8"/>
  <c r="BK8"/>
  <c r="BL8"/>
  <c r="BR8"/>
  <c r="BS8"/>
  <c r="E9"/>
  <c r="F9"/>
  <c r="J9"/>
  <c r="K9"/>
  <c r="O9"/>
  <c r="P9"/>
  <c r="T9"/>
  <c r="U9"/>
  <c r="Y9"/>
  <c r="Z9"/>
  <c r="AD9"/>
  <c r="AE9"/>
  <c r="AI9"/>
  <c r="AJ9"/>
  <c r="AN9"/>
  <c r="AO9"/>
  <c r="AS9"/>
  <c r="AT9"/>
  <c r="AX9"/>
  <c r="AY9"/>
  <c r="BC9"/>
  <c r="BD9"/>
  <c r="BH9"/>
  <c r="BI9"/>
  <c r="BK9"/>
  <c r="BN9" s="1"/>
  <c r="BL9"/>
  <c r="BR9"/>
  <c r="BS9"/>
  <c r="BU9"/>
  <c r="E10"/>
  <c r="F10"/>
  <c r="J10"/>
  <c r="K10"/>
  <c r="O10"/>
  <c r="P10"/>
  <c r="T10"/>
  <c r="U10"/>
  <c r="Y10"/>
  <c r="Z10"/>
  <c r="AD10"/>
  <c r="AE10"/>
  <c r="AI10"/>
  <c r="AJ10"/>
  <c r="AN10"/>
  <c r="AO10"/>
  <c r="AS10"/>
  <c r="AT10"/>
  <c r="AX10"/>
  <c r="AY10"/>
  <c r="BC10"/>
  <c r="BD10"/>
  <c r="BH10"/>
  <c r="BI10"/>
  <c r="BK10"/>
  <c r="BL10"/>
  <c r="BR10"/>
  <c r="BU10" s="1"/>
  <c r="BS10"/>
  <c r="E11"/>
  <c r="F11"/>
  <c r="J11"/>
  <c r="K11"/>
  <c r="O11"/>
  <c r="P11"/>
  <c r="T11"/>
  <c r="U11"/>
  <c r="Y11"/>
  <c r="Z11"/>
  <c r="AD11"/>
  <c r="AE11"/>
  <c r="AI11"/>
  <c r="AJ11"/>
  <c r="AN11"/>
  <c r="AO11"/>
  <c r="AS11"/>
  <c r="AT11"/>
  <c r="AX11"/>
  <c r="AY11"/>
  <c r="BC11"/>
  <c r="BD11"/>
  <c r="BH11"/>
  <c r="BI11"/>
  <c r="BK11"/>
  <c r="BL11"/>
  <c r="BN11"/>
  <c r="BR11"/>
  <c r="BU11" s="1"/>
  <c r="BS11"/>
  <c r="E12"/>
  <c r="F12"/>
  <c r="J12"/>
  <c r="K12"/>
  <c r="O12"/>
  <c r="P12"/>
  <c r="T12"/>
  <c r="U12"/>
  <c r="Y12"/>
  <c r="Z12"/>
  <c r="AD12"/>
  <c r="AE12"/>
  <c r="AI12"/>
  <c r="AJ12"/>
  <c r="AN12"/>
  <c r="AO12"/>
  <c r="AS12"/>
  <c r="AT12"/>
  <c r="AX12"/>
  <c r="AY12"/>
  <c r="BC12"/>
  <c r="BD12"/>
  <c r="BH12"/>
  <c r="BI12"/>
  <c r="BK12"/>
  <c r="BN12" s="1"/>
  <c r="BL12"/>
  <c r="BR12"/>
  <c r="BS12"/>
  <c r="C14"/>
  <c r="D14"/>
  <c r="F5"/>
  <c r="F14"/>
  <c r="E5" s="1"/>
  <c r="H14"/>
  <c r="H22"/>
  <c r="I14"/>
  <c r="K14"/>
  <c r="J5" s="1"/>
  <c r="M14"/>
  <c r="M22" s="1"/>
  <c r="N14"/>
  <c r="P5" s="1"/>
  <c r="P14"/>
  <c r="O5"/>
  <c r="U14"/>
  <c r="T5" s="1"/>
  <c r="W14"/>
  <c r="X14"/>
  <c r="Z5" s="1"/>
  <c r="Z14"/>
  <c r="Y5" s="1"/>
  <c r="AB14"/>
  <c r="AB22" s="1"/>
  <c r="AC14"/>
  <c r="AE5" s="1"/>
  <c r="AE14"/>
  <c r="AD5"/>
  <c r="AG14"/>
  <c r="AH14"/>
  <c r="AJ14"/>
  <c r="AI5" s="1"/>
  <c r="AL14"/>
  <c r="AL22" s="1"/>
  <c r="AM14"/>
  <c r="AO14"/>
  <c r="AN5" s="1"/>
  <c r="AQ14"/>
  <c r="AR14"/>
  <c r="AT14"/>
  <c r="AS5" s="1"/>
  <c r="AV14"/>
  <c r="AV22"/>
  <c r="AW14"/>
  <c r="AY14"/>
  <c r="AX5" s="1"/>
  <c r="BA14"/>
  <c r="BA22" s="1"/>
  <c r="BB14"/>
  <c r="BD14"/>
  <c r="BC5" s="1"/>
  <c r="BF14"/>
  <c r="BF22" s="1"/>
  <c r="BG14"/>
  <c r="BI14"/>
  <c r="BH5"/>
  <c r="E15"/>
  <c r="J15"/>
  <c r="O15"/>
  <c r="R15"/>
  <c r="S15"/>
  <c r="U6" s="1"/>
  <c r="S14"/>
  <c r="U5" s="1"/>
  <c r="U15"/>
  <c r="T6"/>
  <c r="Y15"/>
  <c r="AD15"/>
  <c r="AI15"/>
  <c r="AN15"/>
  <c r="AS15"/>
  <c r="AX15"/>
  <c r="BC15"/>
  <c r="BH15"/>
  <c r="BL15"/>
  <c r="BN15"/>
  <c r="BM6"/>
  <c r="BS15"/>
  <c r="BU15"/>
  <c r="E16"/>
  <c r="J16"/>
  <c r="O16"/>
  <c r="T16"/>
  <c r="Y16"/>
  <c r="AD16"/>
  <c r="AI16"/>
  <c r="AN16"/>
  <c r="AS16"/>
  <c r="AX16"/>
  <c r="BC16"/>
  <c r="BH16"/>
  <c r="BK16"/>
  <c r="BM16" s="1"/>
  <c r="BL16"/>
  <c r="BN16"/>
  <c r="BM7" s="1"/>
  <c r="BR16"/>
  <c r="BS16"/>
  <c r="BT16"/>
  <c r="BU16"/>
  <c r="BT7" s="1"/>
  <c r="E17"/>
  <c r="J17"/>
  <c r="O17"/>
  <c r="T17"/>
  <c r="Y17"/>
  <c r="AD17"/>
  <c r="AI17"/>
  <c r="AN17"/>
  <c r="AS17"/>
  <c r="AX17"/>
  <c r="BC17"/>
  <c r="BH17"/>
  <c r="BK17"/>
  <c r="BL17"/>
  <c r="BM17" s="1"/>
  <c r="BN17"/>
  <c r="BM8" s="1"/>
  <c r="BR17"/>
  <c r="BS17"/>
  <c r="BU8" s="1"/>
  <c r="BU17"/>
  <c r="BT8"/>
  <c r="E18"/>
  <c r="J18"/>
  <c r="O18"/>
  <c r="T18"/>
  <c r="Y18"/>
  <c r="AD18"/>
  <c r="AI18"/>
  <c r="AN18"/>
  <c r="AS18"/>
  <c r="AX18"/>
  <c r="BC18"/>
  <c r="BH18"/>
  <c r="BK18"/>
  <c r="BM18" s="1"/>
  <c r="BL18"/>
  <c r="BN18"/>
  <c r="BM9" s="1"/>
  <c r="BR18"/>
  <c r="BS18"/>
  <c r="BT18"/>
  <c r="BU18"/>
  <c r="BT9" s="1"/>
  <c r="E19"/>
  <c r="J19"/>
  <c r="O19"/>
  <c r="T19"/>
  <c r="Y19"/>
  <c r="AD19"/>
  <c r="AI19"/>
  <c r="AN19"/>
  <c r="AS19"/>
  <c r="AX19"/>
  <c r="BC19"/>
  <c r="BH19"/>
  <c r="BK19"/>
  <c r="BL19"/>
  <c r="BM19" s="1"/>
  <c r="BN19"/>
  <c r="BM10" s="1"/>
  <c r="BR19"/>
  <c r="BT19" s="1"/>
  <c r="BS19"/>
  <c r="BU19"/>
  <c r="BT10" s="1"/>
  <c r="E20"/>
  <c r="J20"/>
  <c r="O20"/>
  <c r="T20"/>
  <c r="Y20"/>
  <c r="AD20"/>
  <c r="AI20"/>
  <c r="AN20"/>
  <c r="AS20"/>
  <c r="AX20"/>
  <c r="BC20"/>
  <c r="BH20"/>
  <c r="BK20"/>
  <c r="BL20"/>
  <c r="BM20"/>
  <c r="BN20"/>
  <c r="BM11" s="1"/>
  <c r="BR20"/>
  <c r="BS20"/>
  <c r="BT20" s="1"/>
  <c r="BU20"/>
  <c r="BT11" s="1"/>
  <c r="E21"/>
  <c r="J21"/>
  <c r="O21"/>
  <c r="T21"/>
  <c r="Y21"/>
  <c r="AD21"/>
  <c r="AI21"/>
  <c r="AN21"/>
  <c r="AS21"/>
  <c r="AX21"/>
  <c r="BC21"/>
  <c r="BH21"/>
  <c r="BK21"/>
  <c r="BM21" s="1"/>
  <c r="BL21"/>
  <c r="BN21"/>
  <c r="BM12"/>
  <c r="BR21"/>
  <c r="BT21" s="1"/>
  <c r="BS21"/>
  <c r="BU12" s="1"/>
  <c r="BU21"/>
  <c r="BT12" s="1"/>
  <c r="C22"/>
  <c r="W22"/>
  <c r="AQ22"/>
  <c r="D27"/>
  <c r="E27"/>
  <c r="H27"/>
  <c r="K27" s="1"/>
  <c r="I27"/>
  <c r="J27"/>
  <c r="R27"/>
  <c r="T27"/>
  <c r="Y27"/>
  <c r="AD27"/>
  <c r="AG27"/>
  <c r="AJ27" s="1"/>
  <c r="AH27"/>
  <c r="AI27"/>
  <c r="AN27"/>
  <c r="AQ27"/>
  <c r="AR27"/>
  <c r="AS27"/>
  <c r="AV27"/>
  <c r="AY27"/>
  <c r="AW27"/>
  <c r="AY154" s="1"/>
  <c r="AX27"/>
  <c r="BA27"/>
  <c r="BD27"/>
  <c r="BB27"/>
  <c r="BC27"/>
  <c r="BF27"/>
  <c r="BI27"/>
  <c r="BG27"/>
  <c r="BI153" s="1"/>
  <c r="BH27"/>
  <c r="C28"/>
  <c r="K28"/>
  <c r="P28"/>
  <c r="U28"/>
  <c r="Z28"/>
  <c r="AE28"/>
  <c r="AJ28"/>
  <c r="AO28"/>
  <c r="AT28"/>
  <c r="AY28"/>
  <c r="BD28"/>
  <c r="BI28"/>
  <c r="BL28"/>
  <c r="BM28"/>
  <c r="BR28"/>
  <c r="BS28"/>
  <c r="BT28"/>
  <c r="F29"/>
  <c r="K29"/>
  <c r="P29"/>
  <c r="U29"/>
  <c r="Z29"/>
  <c r="AE29"/>
  <c r="AJ29"/>
  <c r="AO29"/>
  <c r="AT29"/>
  <c r="AY29"/>
  <c r="BD29"/>
  <c r="BI29"/>
  <c r="BK29"/>
  <c r="BL29"/>
  <c r="BN29" s="1"/>
  <c r="BM29"/>
  <c r="BR29"/>
  <c r="BS29"/>
  <c r="BT29"/>
  <c r="F30"/>
  <c r="K30"/>
  <c r="P30"/>
  <c r="U30"/>
  <c r="Z30"/>
  <c r="AE30"/>
  <c r="AJ30"/>
  <c r="AO30"/>
  <c r="AT30"/>
  <c r="AY30"/>
  <c r="BD30"/>
  <c r="BI30"/>
  <c r="BK30"/>
  <c r="BL30"/>
  <c r="BN30" s="1"/>
  <c r="BM30"/>
  <c r="BR30"/>
  <c r="BS30"/>
  <c r="BT30"/>
  <c r="F31"/>
  <c r="K31"/>
  <c r="P31"/>
  <c r="U31"/>
  <c r="Z31"/>
  <c r="AE31"/>
  <c r="AJ31"/>
  <c r="AO31"/>
  <c r="AT31"/>
  <c r="AY31"/>
  <c r="BD31"/>
  <c r="BI31"/>
  <c r="BK31"/>
  <c r="BL31"/>
  <c r="BN31" s="1"/>
  <c r="BM31"/>
  <c r="BR31"/>
  <c r="BS31"/>
  <c r="BT31"/>
  <c r="F32"/>
  <c r="K32"/>
  <c r="P32"/>
  <c r="U32"/>
  <c r="Z32"/>
  <c r="AE32"/>
  <c r="AJ32"/>
  <c r="AO32"/>
  <c r="AT32"/>
  <c r="AY32"/>
  <c r="BD32"/>
  <c r="BI32"/>
  <c r="BK32"/>
  <c r="BN32" s="1"/>
  <c r="BL32"/>
  <c r="BM32"/>
  <c r="BR32"/>
  <c r="BS32"/>
  <c r="BT32"/>
  <c r="F33"/>
  <c r="K33"/>
  <c r="P33"/>
  <c r="U33"/>
  <c r="Z33"/>
  <c r="AE33"/>
  <c r="AJ33"/>
  <c r="AO33"/>
  <c r="AT33"/>
  <c r="AY33"/>
  <c r="BD33"/>
  <c r="BI33"/>
  <c r="BK33"/>
  <c r="BL33"/>
  <c r="BN33" s="1"/>
  <c r="BM33"/>
  <c r="BR33"/>
  <c r="BS33"/>
  <c r="BU33" s="1"/>
  <c r="BT33"/>
  <c r="F34"/>
  <c r="K34"/>
  <c r="P34"/>
  <c r="U34"/>
  <c r="Z34"/>
  <c r="AE34"/>
  <c r="AJ34"/>
  <c r="AO34"/>
  <c r="AT34"/>
  <c r="AY34"/>
  <c r="BD34"/>
  <c r="BI34"/>
  <c r="BK34"/>
  <c r="BL34"/>
  <c r="BM34"/>
  <c r="BR34"/>
  <c r="BS34"/>
  <c r="BT34"/>
  <c r="F35"/>
  <c r="K35"/>
  <c r="P35"/>
  <c r="U35"/>
  <c r="Z35"/>
  <c r="AE35"/>
  <c r="AJ35"/>
  <c r="AO35"/>
  <c r="AT35"/>
  <c r="AY35"/>
  <c r="BD35"/>
  <c r="BI35"/>
  <c r="BK35"/>
  <c r="BL35"/>
  <c r="BM35"/>
  <c r="BN35"/>
  <c r="BR35"/>
  <c r="BS35"/>
  <c r="BT35"/>
  <c r="BU35"/>
  <c r="F36"/>
  <c r="K36"/>
  <c r="M36"/>
  <c r="M27" s="1"/>
  <c r="N36"/>
  <c r="O36"/>
  <c r="O27" s="1"/>
  <c r="R36"/>
  <c r="S36"/>
  <c r="W36"/>
  <c r="Z36" s="1"/>
  <c r="AB36"/>
  <c r="AB27" s="1"/>
  <c r="AC36"/>
  <c r="AJ36"/>
  <c r="AL36"/>
  <c r="AL27" s="1"/>
  <c r="AM36"/>
  <c r="AT36"/>
  <c r="AY36"/>
  <c r="BD36"/>
  <c r="BI36"/>
  <c r="BK36"/>
  <c r="BM36"/>
  <c r="C44"/>
  <c r="H44"/>
  <c r="M44"/>
  <c r="R44"/>
  <c r="W44"/>
  <c r="AB44"/>
  <c r="AG44"/>
  <c r="AL44"/>
  <c r="AQ44"/>
  <c r="AQ46" s="1"/>
  <c r="AV44"/>
  <c r="BA44"/>
  <c r="BF44"/>
  <c r="C45"/>
  <c r="M45"/>
  <c r="R45"/>
  <c r="W45"/>
  <c r="AB45"/>
  <c r="AG45"/>
  <c r="AL45"/>
  <c r="AQ45"/>
  <c r="AV45"/>
  <c r="BA45"/>
  <c r="BF45"/>
  <c r="M46"/>
  <c r="R46"/>
  <c r="AB46"/>
  <c r="AL46"/>
  <c r="AV46"/>
  <c r="BA46"/>
  <c r="BF46"/>
  <c r="C50"/>
  <c r="H50"/>
  <c r="H52" s="1"/>
  <c r="M50"/>
  <c r="R50"/>
  <c r="R52" s="1"/>
  <c r="W50"/>
  <c r="AB50"/>
  <c r="AB52" s="1"/>
  <c r="AG50"/>
  <c r="AL50"/>
  <c r="AL52" s="1"/>
  <c r="AQ50"/>
  <c r="AV50"/>
  <c r="BA50"/>
  <c r="BF50"/>
  <c r="C51"/>
  <c r="H51"/>
  <c r="M51"/>
  <c r="R51"/>
  <c r="W51"/>
  <c r="AB51"/>
  <c r="AL51"/>
  <c r="AQ51"/>
  <c r="AV51"/>
  <c r="BA51"/>
  <c r="BF51"/>
  <c r="C52"/>
  <c r="M52"/>
  <c r="W52"/>
  <c r="AQ52"/>
  <c r="AV52"/>
  <c r="BA52"/>
  <c r="BF52"/>
  <c r="BS56"/>
  <c r="C60"/>
  <c r="D55" s="1"/>
  <c r="H60"/>
  <c r="I55" s="1"/>
  <c r="M60"/>
  <c r="N55" s="1"/>
  <c r="R60"/>
  <c r="S55" s="1"/>
  <c r="W60"/>
  <c r="X55" s="1"/>
  <c r="AB60"/>
  <c r="AG60"/>
  <c r="AL60"/>
  <c r="AQ60"/>
  <c r="AV60"/>
  <c r="BA60"/>
  <c r="BF60"/>
  <c r="D61"/>
  <c r="J61"/>
  <c r="N61"/>
  <c r="S61"/>
  <c r="S60"/>
  <c r="X61"/>
  <c r="AC61"/>
  <c r="AM61"/>
  <c r="AR61"/>
  <c r="AW61"/>
  <c r="AW60" s="1"/>
  <c r="AX61"/>
  <c r="AY61"/>
  <c r="AY60" s="1"/>
  <c r="BB61"/>
  <c r="BD61"/>
  <c r="BD60" s="1"/>
  <c r="BG61"/>
  <c r="BH61"/>
  <c r="BH60" s="1"/>
  <c r="BI61"/>
  <c r="BK61"/>
  <c r="BL61" s="1"/>
  <c r="BR61"/>
  <c r="BS61" s="1"/>
  <c r="D62"/>
  <c r="D60" s="1"/>
  <c r="J62"/>
  <c r="J60" s="1"/>
  <c r="N62"/>
  <c r="S62"/>
  <c r="X62"/>
  <c r="X60" s="1"/>
  <c r="AC62"/>
  <c r="AD62"/>
  <c r="AM62"/>
  <c r="AM60" s="1"/>
  <c r="AM59" s="1"/>
  <c r="AR62"/>
  <c r="AW62"/>
  <c r="AX62"/>
  <c r="AY62"/>
  <c r="BB62"/>
  <c r="BD62"/>
  <c r="BG62"/>
  <c r="BH62"/>
  <c r="BI62"/>
  <c r="BK62"/>
  <c r="BL62"/>
  <c r="BR62"/>
  <c r="BS62"/>
  <c r="D63"/>
  <c r="I63"/>
  <c r="J63"/>
  <c r="N63"/>
  <c r="N60" s="1"/>
  <c r="S63"/>
  <c r="T63"/>
  <c r="X63"/>
  <c r="AC63"/>
  <c r="AC60" s="1"/>
  <c r="AH63"/>
  <c r="AM63"/>
  <c r="AR63"/>
  <c r="AW63"/>
  <c r="AX63"/>
  <c r="AY63"/>
  <c r="BB63"/>
  <c r="BD63"/>
  <c r="BG63"/>
  <c r="BH63"/>
  <c r="BI63"/>
  <c r="BK63"/>
  <c r="BL63" s="1"/>
  <c r="BR63"/>
  <c r="BS63" s="1"/>
  <c r="C65"/>
  <c r="H65"/>
  <c r="M65"/>
  <c r="N65"/>
  <c r="P65"/>
  <c r="R65"/>
  <c r="W65"/>
  <c r="AB65"/>
  <c r="AG65"/>
  <c r="AL65"/>
  <c r="AQ65"/>
  <c r="AV65"/>
  <c r="BA65"/>
  <c r="BD65"/>
  <c r="BD64" s="1"/>
  <c r="BF65"/>
  <c r="D66"/>
  <c r="D65" s="1"/>
  <c r="F66"/>
  <c r="K66"/>
  <c r="N66"/>
  <c r="O66"/>
  <c r="P66"/>
  <c r="S66"/>
  <c r="U66"/>
  <c r="U65"/>
  <c r="X66"/>
  <c r="Z66"/>
  <c r="Z65" s="1"/>
  <c r="AC66"/>
  <c r="AE66"/>
  <c r="AI66"/>
  <c r="AI65" s="1"/>
  <c r="AI64"/>
  <c r="AJ66"/>
  <c r="AM66"/>
  <c r="AM65" s="1"/>
  <c r="AM64"/>
  <c r="AO66"/>
  <c r="AR66"/>
  <c r="AT66"/>
  <c r="AW66"/>
  <c r="AW65" s="1"/>
  <c r="AW64" s="1"/>
  <c r="AY66"/>
  <c r="BB66"/>
  <c r="BB65" s="1"/>
  <c r="BB64" s="1"/>
  <c r="BC66"/>
  <c r="BD66"/>
  <c r="BG66"/>
  <c r="BI66"/>
  <c r="BI65" s="1"/>
  <c r="BI64" s="1"/>
  <c r="BK66"/>
  <c r="BL66"/>
  <c r="BR66"/>
  <c r="BS66"/>
  <c r="D67"/>
  <c r="F67"/>
  <c r="K67"/>
  <c r="N67"/>
  <c r="O67"/>
  <c r="P67"/>
  <c r="S67"/>
  <c r="X67"/>
  <c r="AC67"/>
  <c r="AI67"/>
  <c r="AM67"/>
  <c r="AR67"/>
  <c r="AT67"/>
  <c r="AW67"/>
  <c r="AY67"/>
  <c r="BB67"/>
  <c r="BC67"/>
  <c r="BD67"/>
  <c r="BG67"/>
  <c r="BI67"/>
  <c r="BK67"/>
  <c r="BL67"/>
  <c r="BR67"/>
  <c r="BS67"/>
  <c r="D68"/>
  <c r="F68"/>
  <c r="K68"/>
  <c r="N68"/>
  <c r="O68"/>
  <c r="P68"/>
  <c r="S68"/>
  <c r="U68"/>
  <c r="X68"/>
  <c r="Z68"/>
  <c r="AC68"/>
  <c r="AC65" s="1"/>
  <c r="AC64" s="1"/>
  <c r="AE68"/>
  <c r="AH68"/>
  <c r="AI68"/>
  <c r="AJ68"/>
  <c r="AJ65" s="1"/>
  <c r="AM68"/>
  <c r="AO68"/>
  <c r="AR68"/>
  <c r="AT68"/>
  <c r="AW68"/>
  <c r="AY68"/>
  <c r="AY65" s="1"/>
  <c r="AY64" s="1"/>
  <c r="BB68"/>
  <c r="BC68"/>
  <c r="BC65" s="1"/>
  <c r="BC64" s="1"/>
  <c r="BD68"/>
  <c r="BG68"/>
  <c r="BG65" s="1"/>
  <c r="BG64" s="1"/>
  <c r="BI68"/>
  <c r="BK68"/>
  <c r="BL68" s="1"/>
  <c r="BR68"/>
  <c r="BS68" s="1"/>
  <c r="D69"/>
  <c r="D64" s="1"/>
  <c r="N69"/>
  <c r="S69"/>
  <c r="X69"/>
  <c r="AC69"/>
  <c r="AI69"/>
  <c r="AM69"/>
  <c r="AR69"/>
  <c r="AW69"/>
  <c r="AY69"/>
  <c r="BB69"/>
  <c r="BC69"/>
  <c r="BD69"/>
  <c r="BG69"/>
  <c r="BI69"/>
  <c r="BK69"/>
  <c r="BL69" s="1"/>
  <c r="BR69"/>
  <c r="BS69" s="1"/>
  <c r="C70"/>
  <c r="H70"/>
  <c r="M70"/>
  <c r="N70"/>
  <c r="R70"/>
  <c r="W70"/>
  <c r="BR70" s="1"/>
  <c r="AB70"/>
  <c r="AG70"/>
  <c r="AL70"/>
  <c r="AQ70"/>
  <c r="AV70"/>
  <c r="BA70"/>
  <c r="BF70"/>
  <c r="BK70"/>
  <c r="B11" i="20" s="1"/>
  <c r="BS70" i="4"/>
  <c r="D71"/>
  <c r="D70" s="1"/>
  <c r="I71"/>
  <c r="I70" s="1"/>
  <c r="N71"/>
  <c r="O71"/>
  <c r="O70" s="1"/>
  <c r="S71"/>
  <c r="S70"/>
  <c r="X71"/>
  <c r="X70" s="1"/>
  <c r="AC71"/>
  <c r="AC70" s="1"/>
  <c r="AH71"/>
  <c r="AH70" s="1"/>
  <c r="AI71"/>
  <c r="AI70"/>
  <c r="AM71"/>
  <c r="AM70"/>
  <c r="AR71"/>
  <c r="AR70"/>
  <c r="AW71"/>
  <c r="AW70"/>
  <c r="AY71"/>
  <c r="AY70"/>
  <c r="BB71"/>
  <c r="BB70" s="1"/>
  <c r="BC71"/>
  <c r="BC70" s="1"/>
  <c r="BD71"/>
  <c r="BD70" s="1"/>
  <c r="BG71"/>
  <c r="BG70"/>
  <c r="BI71"/>
  <c r="BI70"/>
  <c r="BK71"/>
  <c r="BL71"/>
  <c r="BR71"/>
  <c r="BS71"/>
  <c r="C72"/>
  <c r="H72"/>
  <c r="BK72" s="1"/>
  <c r="M72"/>
  <c r="R72"/>
  <c r="W72"/>
  <c r="X72"/>
  <c r="AB72"/>
  <c r="AG72"/>
  <c r="AL72"/>
  <c r="AQ72"/>
  <c r="AV72"/>
  <c r="BA72"/>
  <c r="BF72"/>
  <c r="D73"/>
  <c r="F73"/>
  <c r="K73"/>
  <c r="N73"/>
  <c r="S73"/>
  <c r="X73"/>
  <c r="AC73"/>
  <c r="AC72" s="1"/>
  <c r="AH73"/>
  <c r="AI73"/>
  <c r="AI72"/>
  <c r="AM73"/>
  <c r="AR73"/>
  <c r="AR72" s="1"/>
  <c r="AS73"/>
  <c r="AW73"/>
  <c r="AY73"/>
  <c r="BB73"/>
  <c r="BC73"/>
  <c r="BC72" s="1"/>
  <c r="BD73"/>
  <c r="BG73"/>
  <c r="BG72" s="1"/>
  <c r="BI73"/>
  <c r="BK73"/>
  <c r="BL73"/>
  <c r="BR73"/>
  <c r="BS73" s="1"/>
  <c r="D74"/>
  <c r="F74" s="1"/>
  <c r="I74"/>
  <c r="N74"/>
  <c r="O74"/>
  <c r="S74"/>
  <c r="S72" s="1"/>
  <c r="X74"/>
  <c r="AC74"/>
  <c r="AH74"/>
  <c r="AJ74" s="1"/>
  <c r="AI74"/>
  <c r="AM74"/>
  <c r="AR74"/>
  <c r="AS74"/>
  <c r="AW74"/>
  <c r="AY74"/>
  <c r="BB74"/>
  <c r="BC74"/>
  <c r="BD74"/>
  <c r="BG74"/>
  <c r="BI74"/>
  <c r="BK74"/>
  <c r="BL74"/>
  <c r="BR74"/>
  <c r="BS74" s="1"/>
  <c r="C76"/>
  <c r="H76"/>
  <c r="M76"/>
  <c r="R76"/>
  <c r="W76"/>
  <c r="AQ76"/>
  <c r="AV76"/>
  <c r="AY76" s="1"/>
  <c r="BA76"/>
  <c r="BD76"/>
  <c r="BF76"/>
  <c r="BI76" s="1"/>
  <c r="D77"/>
  <c r="I77"/>
  <c r="N77"/>
  <c r="O77"/>
  <c r="S77"/>
  <c r="X77"/>
  <c r="AB77"/>
  <c r="AD77"/>
  <c r="AI77"/>
  <c r="AN77"/>
  <c r="AR77"/>
  <c r="AW77"/>
  <c r="AX77"/>
  <c r="AY77"/>
  <c r="BB77"/>
  <c r="BD77"/>
  <c r="BG77"/>
  <c r="BH77"/>
  <c r="BI77"/>
  <c r="BK77"/>
  <c r="BL77"/>
  <c r="BR77"/>
  <c r="BS77"/>
  <c r="D78"/>
  <c r="D76"/>
  <c r="D75" s="1"/>
  <c r="I78"/>
  <c r="J78"/>
  <c r="N78"/>
  <c r="S78"/>
  <c r="S76" s="1"/>
  <c r="S75" s="1"/>
  <c r="T78"/>
  <c r="X78"/>
  <c r="X76"/>
  <c r="X75" s="1"/>
  <c r="AB78"/>
  <c r="AG78"/>
  <c r="AG76" s="1"/>
  <c r="AH78"/>
  <c r="AL78"/>
  <c r="AM78" s="1"/>
  <c r="AR78"/>
  <c r="AS78"/>
  <c r="AW78"/>
  <c r="AW76" s="1"/>
  <c r="AW75" s="1"/>
  <c r="AY78"/>
  <c r="BB78"/>
  <c r="BC78"/>
  <c r="BD78"/>
  <c r="BG78"/>
  <c r="BG76" s="1"/>
  <c r="BG75" s="1"/>
  <c r="BI78"/>
  <c r="C79"/>
  <c r="BK79" s="1"/>
  <c r="H79"/>
  <c r="M79"/>
  <c r="R79"/>
  <c r="W79"/>
  <c r="BR79" s="1"/>
  <c r="BS79" s="1"/>
  <c r="AB79"/>
  <c r="AG79"/>
  <c r="AL79"/>
  <c r="AQ79"/>
  <c r="AV79"/>
  <c r="BA79"/>
  <c r="BF79"/>
  <c r="D80"/>
  <c r="D79" s="1"/>
  <c r="F80"/>
  <c r="I80"/>
  <c r="K80"/>
  <c r="N80"/>
  <c r="N79" s="1"/>
  <c r="O80"/>
  <c r="P80"/>
  <c r="S80"/>
  <c r="S79" s="1"/>
  <c r="U80"/>
  <c r="X80"/>
  <c r="X79" s="1"/>
  <c r="Z80"/>
  <c r="AC80"/>
  <c r="AC79" s="1"/>
  <c r="AE80"/>
  <c r="AH80"/>
  <c r="AH79" s="1"/>
  <c r="AI80"/>
  <c r="AJ80"/>
  <c r="AM80"/>
  <c r="AM79" s="1"/>
  <c r="AO80"/>
  <c r="AR80"/>
  <c r="AT80"/>
  <c r="AW80"/>
  <c r="AY80"/>
  <c r="BB80"/>
  <c r="BB79" s="1"/>
  <c r="BC80"/>
  <c r="BD80"/>
  <c r="BG80"/>
  <c r="BG79" s="1"/>
  <c r="BI80"/>
  <c r="BK80"/>
  <c r="BL80"/>
  <c r="BR80"/>
  <c r="BS80" s="1"/>
  <c r="D81"/>
  <c r="F81"/>
  <c r="I81"/>
  <c r="K81"/>
  <c r="N81"/>
  <c r="O81"/>
  <c r="P81"/>
  <c r="S81"/>
  <c r="U81"/>
  <c r="X81"/>
  <c r="Z81"/>
  <c r="AC81"/>
  <c r="AE81"/>
  <c r="AH81"/>
  <c r="AI81"/>
  <c r="AJ81"/>
  <c r="AM81"/>
  <c r="AO81"/>
  <c r="AR81"/>
  <c r="AS81"/>
  <c r="AT81"/>
  <c r="AW81"/>
  <c r="AY81"/>
  <c r="BB81"/>
  <c r="BC81"/>
  <c r="BD81"/>
  <c r="BG81"/>
  <c r="BI81"/>
  <c r="BK81"/>
  <c r="BL81" s="1"/>
  <c r="BR81"/>
  <c r="BS81" s="1"/>
  <c r="D82"/>
  <c r="F82"/>
  <c r="I82"/>
  <c r="K82"/>
  <c r="N82"/>
  <c r="O82"/>
  <c r="P82"/>
  <c r="S82"/>
  <c r="U82"/>
  <c r="X82"/>
  <c r="Z82"/>
  <c r="AC82"/>
  <c r="AE82"/>
  <c r="AH82"/>
  <c r="AI82"/>
  <c r="AJ82"/>
  <c r="AM82"/>
  <c r="AO82"/>
  <c r="AR82"/>
  <c r="AS82"/>
  <c r="AT82"/>
  <c r="AW82"/>
  <c r="AY82"/>
  <c r="BB82"/>
  <c r="BC82"/>
  <c r="BD82"/>
  <c r="BG82"/>
  <c r="BI82"/>
  <c r="BK82"/>
  <c r="BL82"/>
  <c r="BR82"/>
  <c r="BS82" s="1"/>
  <c r="D83"/>
  <c r="F83"/>
  <c r="I83"/>
  <c r="K83"/>
  <c r="N83"/>
  <c r="O83"/>
  <c r="P83"/>
  <c r="S83"/>
  <c r="U83"/>
  <c r="X83"/>
  <c r="Z83"/>
  <c r="AC83"/>
  <c r="AE83"/>
  <c r="AH83"/>
  <c r="AI83"/>
  <c r="AJ83"/>
  <c r="AM83"/>
  <c r="AO83"/>
  <c r="AR83"/>
  <c r="AS83"/>
  <c r="AT83"/>
  <c r="AW83"/>
  <c r="AY83"/>
  <c r="BB83"/>
  <c r="BC83"/>
  <c r="BD83"/>
  <c r="BG83"/>
  <c r="BI83"/>
  <c r="BK83"/>
  <c r="BL83" s="1"/>
  <c r="BR83"/>
  <c r="BS83" s="1"/>
  <c r="C86"/>
  <c r="D86"/>
  <c r="H86"/>
  <c r="M86"/>
  <c r="N86" s="1"/>
  <c r="R86"/>
  <c r="S86" s="1"/>
  <c r="W86"/>
  <c r="X86"/>
  <c r="AB86"/>
  <c r="AC86" s="1"/>
  <c r="AG86"/>
  <c r="AL86"/>
  <c r="AM86"/>
  <c r="AQ86"/>
  <c r="AV86"/>
  <c r="AY86" s="1"/>
  <c r="AW86"/>
  <c r="BA86"/>
  <c r="BB86"/>
  <c r="BD86"/>
  <c r="BF86"/>
  <c r="BG86"/>
  <c r="BI86"/>
  <c r="D87"/>
  <c r="I87"/>
  <c r="N87"/>
  <c r="O87"/>
  <c r="S87"/>
  <c r="X87"/>
  <c r="AC87"/>
  <c r="AH87"/>
  <c r="AI87"/>
  <c r="AM87"/>
  <c r="AR87"/>
  <c r="AW87"/>
  <c r="AY87"/>
  <c r="BB87"/>
  <c r="BC87"/>
  <c r="BD87"/>
  <c r="BG87"/>
  <c r="BI87"/>
  <c r="BK87"/>
  <c r="BL87"/>
  <c r="BR87"/>
  <c r="BS87" s="1"/>
  <c r="D88"/>
  <c r="F88"/>
  <c r="I88"/>
  <c r="N88"/>
  <c r="P88"/>
  <c r="S88"/>
  <c r="X88"/>
  <c r="AC88"/>
  <c r="AH88"/>
  <c r="AI88"/>
  <c r="AM88"/>
  <c r="AR88"/>
  <c r="AW88"/>
  <c r="AY88"/>
  <c r="BB88"/>
  <c r="BC88"/>
  <c r="BD88"/>
  <c r="BG88"/>
  <c r="BI88"/>
  <c r="BK88"/>
  <c r="BL88"/>
  <c r="BR88"/>
  <c r="BS88"/>
  <c r="D89"/>
  <c r="I89"/>
  <c r="N89"/>
  <c r="O89"/>
  <c r="S89"/>
  <c r="X89"/>
  <c r="AC89"/>
  <c r="AH89"/>
  <c r="AI89"/>
  <c r="AM89"/>
  <c r="AR89"/>
  <c r="AW89"/>
  <c r="AY89"/>
  <c r="BB89"/>
  <c r="BC89"/>
  <c r="BD89"/>
  <c r="BG89"/>
  <c r="BI89"/>
  <c r="BK89"/>
  <c r="BL89"/>
  <c r="BR89"/>
  <c r="BS89"/>
  <c r="D90"/>
  <c r="I90"/>
  <c r="N90"/>
  <c r="O90"/>
  <c r="S90"/>
  <c r="X90"/>
  <c r="AC90"/>
  <c r="AH90"/>
  <c r="AI90"/>
  <c r="AM90"/>
  <c r="AR90"/>
  <c r="AW90"/>
  <c r="AY90"/>
  <c r="BB90"/>
  <c r="BC90"/>
  <c r="BD90"/>
  <c r="BG90"/>
  <c r="BI90"/>
  <c r="BK90"/>
  <c r="BL90"/>
  <c r="BR90"/>
  <c r="BS90"/>
  <c r="D91"/>
  <c r="F91"/>
  <c r="I91"/>
  <c r="N91"/>
  <c r="S91"/>
  <c r="X91"/>
  <c r="AC91"/>
  <c r="AI91"/>
  <c r="AM91"/>
  <c r="AR91"/>
  <c r="AS91"/>
  <c r="AW91"/>
  <c r="AY91"/>
  <c r="BB91"/>
  <c r="BC91"/>
  <c r="BD91"/>
  <c r="BG91"/>
  <c r="BI91"/>
  <c r="BK91"/>
  <c r="BL91"/>
  <c r="BR91"/>
  <c r="BS91"/>
  <c r="C92"/>
  <c r="H92"/>
  <c r="M92"/>
  <c r="R92"/>
  <c r="BR92" s="1"/>
  <c r="BS92" s="1"/>
  <c r="W92"/>
  <c r="AB92"/>
  <c r="AG92"/>
  <c r="AL92"/>
  <c r="AQ92"/>
  <c r="AV92"/>
  <c r="AY92"/>
  <c r="BA92"/>
  <c r="BD92"/>
  <c r="BF92"/>
  <c r="BI92"/>
  <c r="D93"/>
  <c r="I93"/>
  <c r="N93"/>
  <c r="S93"/>
  <c r="X93"/>
  <c r="AC93"/>
  <c r="AC92" s="1"/>
  <c r="AH93"/>
  <c r="AI93"/>
  <c r="AM93"/>
  <c r="AR93"/>
  <c r="AS93"/>
  <c r="AW93"/>
  <c r="AW92"/>
  <c r="AY93"/>
  <c r="BB93"/>
  <c r="BC93"/>
  <c r="BD93"/>
  <c r="BG93"/>
  <c r="BI93"/>
  <c r="BK93"/>
  <c r="BL93" s="1"/>
  <c r="BR93"/>
  <c r="BS93"/>
  <c r="D94"/>
  <c r="D92" s="1"/>
  <c r="D85" s="1"/>
  <c r="N94"/>
  <c r="O94"/>
  <c r="S94"/>
  <c r="S92" s="1"/>
  <c r="X94"/>
  <c r="AC94"/>
  <c r="AH94"/>
  <c r="AI94"/>
  <c r="AM94"/>
  <c r="AR94"/>
  <c r="AW94"/>
  <c r="AY94"/>
  <c r="BB94"/>
  <c r="BC94"/>
  <c r="BD94"/>
  <c r="BG94"/>
  <c r="BG92" s="1"/>
  <c r="BI94"/>
  <c r="BK94"/>
  <c r="BL94" s="1"/>
  <c r="BR94"/>
  <c r="BS94" s="1"/>
  <c r="D95"/>
  <c r="F95"/>
  <c r="I95"/>
  <c r="N95"/>
  <c r="O95"/>
  <c r="S95"/>
  <c r="X95"/>
  <c r="X92" s="1"/>
  <c r="X85" s="1"/>
  <c r="Z95"/>
  <c r="AC95"/>
  <c r="AI95"/>
  <c r="AM95"/>
  <c r="AM92" s="1"/>
  <c r="AR95"/>
  <c r="AT95"/>
  <c r="AW95"/>
  <c r="AY95"/>
  <c r="BB95"/>
  <c r="BC95"/>
  <c r="BD95"/>
  <c r="BG95"/>
  <c r="BI95"/>
  <c r="BK95"/>
  <c r="BL95"/>
  <c r="BR95"/>
  <c r="BS95" s="1"/>
  <c r="D96"/>
  <c r="I96"/>
  <c r="N96"/>
  <c r="O96"/>
  <c r="S96"/>
  <c r="X96"/>
  <c r="AC96"/>
  <c r="AH96"/>
  <c r="AI96"/>
  <c r="AM96"/>
  <c r="AR96"/>
  <c r="AW96"/>
  <c r="AY96"/>
  <c r="BB96"/>
  <c r="BC96"/>
  <c r="BC92" s="1"/>
  <c r="BC85" s="1"/>
  <c r="BD96"/>
  <c r="BG96"/>
  <c r="BI96"/>
  <c r="BK96"/>
  <c r="BL96" s="1"/>
  <c r="BR96"/>
  <c r="BS96"/>
  <c r="D97"/>
  <c r="I97"/>
  <c r="N97"/>
  <c r="O97"/>
  <c r="S97"/>
  <c r="X97"/>
  <c r="AC97"/>
  <c r="AH97"/>
  <c r="AI97"/>
  <c r="AM97"/>
  <c r="AR97"/>
  <c r="AW97"/>
  <c r="AY97"/>
  <c r="BB97"/>
  <c r="BC97"/>
  <c r="BD97"/>
  <c r="BG97"/>
  <c r="BI97"/>
  <c r="BK97"/>
  <c r="BL97"/>
  <c r="BR97"/>
  <c r="BS97" s="1"/>
  <c r="C98"/>
  <c r="D98"/>
  <c r="H98"/>
  <c r="I98" s="1"/>
  <c r="M98"/>
  <c r="N98"/>
  <c r="R98"/>
  <c r="W98"/>
  <c r="X98"/>
  <c r="AB98"/>
  <c r="AC98" s="1"/>
  <c r="AG98"/>
  <c r="AH98"/>
  <c r="AL98"/>
  <c r="AM98" s="1"/>
  <c r="AQ98"/>
  <c r="AV98"/>
  <c r="AY98" s="1"/>
  <c r="AW98"/>
  <c r="BA98"/>
  <c r="BB98"/>
  <c r="BD98"/>
  <c r="BF98"/>
  <c r="BG98"/>
  <c r="BI98"/>
  <c r="BK98"/>
  <c r="BL98" s="1"/>
  <c r="D99"/>
  <c r="I99"/>
  <c r="N99"/>
  <c r="O99"/>
  <c r="S99"/>
  <c r="X99"/>
  <c r="AC99"/>
  <c r="AH99"/>
  <c r="AI99"/>
  <c r="AM99"/>
  <c r="AR99"/>
  <c r="AW99"/>
  <c r="AY99"/>
  <c r="BB99"/>
  <c r="BC99"/>
  <c r="BD99"/>
  <c r="BG99"/>
  <c r="BI99"/>
  <c r="BK99"/>
  <c r="BL99"/>
  <c r="BR99"/>
  <c r="BS99"/>
  <c r="D100"/>
  <c r="F100"/>
  <c r="I100"/>
  <c r="K100"/>
  <c r="N100"/>
  <c r="O100"/>
  <c r="S100"/>
  <c r="X100"/>
  <c r="AC100"/>
  <c r="AH100"/>
  <c r="AI100"/>
  <c r="AM100"/>
  <c r="AR100"/>
  <c r="AW100"/>
  <c r="AY100"/>
  <c r="BB100"/>
  <c r="BC100"/>
  <c r="BD100"/>
  <c r="BG100"/>
  <c r="BI100"/>
  <c r="BK100"/>
  <c r="BL100"/>
  <c r="BR100"/>
  <c r="BS100"/>
  <c r="D101"/>
  <c r="F101"/>
  <c r="I101"/>
  <c r="K101"/>
  <c r="N101"/>
  <c r="O101"/>
  <c r="S101"/>
  <c r="X101"/>
  <c r="AC101"/>
  <c r="AH101"/>
  <c r="AI101"/>
  <c r="AM101"/>
  <c r="AR101"/>
  <c r="AW101"/>
  <c r="AY101"/>
  <c r="BB101"/>
  <c r="BC101"/>
  <c r="BD101"/>
  <c r="BG101"/>
  <c r="BI101"/>
  <c r="BK101"/>
  <c r="BL101"/>
  <c r="BR101"/>
  <c r="BS101"/>
  <c r="C102"/>
  <c r="D102"/>
  <c r="H102"/>
  <c r="I102"/>
  <c r="M102"/>
  <c r="N102"/>
  <c r="R102"/>
  <c r="S102"/>
  <c r="W102"/>
  <c r="X102"/>
  <c r="AB102"/>
  <c r="AC102"/>
  <c r="AG102"/>
  <c r="AH102"/>
  <c r="AL102"/>
  <c r="AM102"/>
  <c r="AQ102"/>
  <c r="AR102"/>
  <c r="AV102"/>
  <c r="AY102" s="1"/>
  <c r="AW102"/>
  <c r="BA102"/>
  <c r="BB102"/>
  <c r="BD102"/>
  <c r="BF102"/>
  <c r="BG102"/>
  <c r="BI102"/>
  <c r="BK102"/>
  <c r="BL102" s="1"/>
  <c r="BR102"/>
  <c r="BS102" s="1"/>
  <c r="D103"/>
  <c r="J103"/>
  <c r="N103"/>
  <c r="O103"/>
  <c r="S103"/>
  <c r="T103"/>
  <c r="X103"/>
  <c r="AC103"/>
  <c r="AH103"/>
  <c r="AI103"/>
  <c r="AM103"/>
  <c r="AR103"/>
  <c r="AW103"/>
  <c r="AX103"/>
  <c r="AY103"/>
  <c r="BB103"/>
  <c r="BC103"/>
  <c r="BD103"/>
  <c r="BG103"/>
  <c r="BH103"/>
  <c r="BI103"/>
  <c r="BK103"/>
  <c r="BL103" s="1"/>
  <c r="BR103"/>
  <c r="BS103" s="1"/>
  <c r="D104"/>
  <c r="F104"/>
  <c r="I104"/>
  <c r="J104"/>
  <c r="K104"/>
  <c r="N104"/>
  <c r="O104"/>
  <c r="P104"/>
  <c r="S104"/>
  <c r="U104"/>
  <c r="X104"/>
  <c r="Z104"/>
  <c r="AC104"/>
  <c r="AD104"/>
  <c r="AE104"/>
  <c r="AH104"/>
  <c r="AI104"/>
  <c r="AJ104"/>
  <c r="AM104"/>
  <c r="AN104"/>
  <c r="AO104"/>
  <c r="AR104"/>
  <c r="AT104"/>
  <c r="AW104"/>
  <c r="AX104"/>
  <c r="AY104"/>
  <c r="BB104"/>
  <c r="BC104"/>
  <c r="BD104"/>
  <c r="BG104"/>
  <c r="BH104"/>
  <c r="BI104"/>
  <c r="BK104"/>
  <c r="BL104"/>
  <c r="BR104"/>
  <c r="BS104" s="1"/>
  <c r="D105"/>
  <c r="I105"/>
  <c r="J105"/>
  <c r="N105"/>
  <c r="S105"/>
  <c r="T105"/>
  <c r="X105"/>
  <c r="AC105"/>
  <c r="AD105"/>
  <c r="AH105"/>
  <c r="AI105"/>
  <c r="AM105"/>
  <c r="AN105"/>
  <c r="AR105"/>
  <c r="AW105"/>
  <c r="AX105"/>
  <c r="AY105"/>
  <c r="BB105"/>
  <c r="BC105"/>
  <c r="BD105"/>
  <c r="BG105"/>
  <c r="BH105"/>
  <c r="BI105"/>
  <c r="BK105"/>
  <c r="BL105"/>
  <c r="BR105"/>
  <c r="BS105"/>
  <c r="D106"/>
  <c r="I106"/>
  <c r="J106"/>
  <c r="N106"/>
  <c r="S106"/>
  <c r="T106"/>
  <c r="X106"/>
  <c r="AC106"/>
  <c r="AD106"/>
  <c r="AH106"/>
  <c r="AI106"/>
  <c r="AM106"/>
  <c r="AN106"/>
  <c r="AR106"/>
  <c r="AW106"/>
  <c r="AX106"/>
  <c r="AY106"/>
  <c r="BB106"/>
  <c r="BC106"/>
  <c r="BD106"/>
  <c r="BG106"/>
  <c r="BH106"/>
  <c r="BI106"/>
  <c r="BK106"/>
  <c r="BL106"/>
  <c r="BR106"/>
  <c r="BS106"/>
  <c r="C107"/>
  <c r="D107"/>
  <c r="H107"/>
  <c r="J107" s="1"/>
  <c r="I107"/>
  <c r="R107"/>
  <c r="T107" s="1"/>
  <c r="W107"/>
  <c r="X107"/>
  <c r="AB107"/>
  <c r="AC107"/>
  <c r="AG107"/>
  <c r="AI107" s="1"/>
  <c r="AH107"/>
  <c r="AL107"/>
  <c r="AM107"/>
  <c r="AN107"/>
  <c r="AQ107"/>
  <c r="AV107"/>
  <c r="AW107"/>
  <c r="AX107"/>
  <c r="AY107"/>
  <c r="BA107"/>
  <c r="BB107"/>
  <c r="BC107"/>
  <c r="BD107"/>
  <c r="BF107"/>
  <c r="BG107"/>
  <c r="BH107"/>
  <c r="BI107"/>
  <c r="D108"/>
  <c r="F108"/>
  <c r="I108"/>
  <c r="J108"/>
  <c r="N108"/>
  <c r="O108"/>
  <c r="S108"/>
  <c r="T108"/>
  <c r="X108"/>
  <c r="AC108"/>
  <c r="AD108"/>
  <c r="AH108"/>
  <c r="AI108"/>
  <c r="AM108"/>
  <c r="AN108"/>
  <c r="AR108"/>
  <c r="AS108"/>
  <c r="AW108"/>
  <c r="AX108"/>
  <c r="AY108"/>
  <c r="BB108"/>
  <c r="BC108"/>
  <c r="BD108"/>
  <c r="BG108"/>
  <c r="BH108"/>
  <c r="BI108"/>
  <c r="BK108"/>
  <c r="BL108" s="1"/>
  <c r="BR108"/>
  <c r="BS108"/>
  <c r="D109"/>
  <c r="I109"/>
  <c r="J109"/>
  <c r="M109"/>
  <c r="BK109" s="1"/>
  <c r="N109"/>
  <c r="S109"/>
  <c r="T109"/>
  <c r="X109"/>
  <c r="AC109"/>
  <c r="AH109"/>
  <c r="AI109"/>
  <c r="AM109"/>
  <c r="AR109"/>
  <c r="AS109"/>
  <c r="AW109"/>
  <c r="AX109"/>
  <c r="AY109"/>
  <c r="BB109"/>
  <c r="BC109"/>
  <c r="BD109"/>
  <c r="BG109"/>
  <c r="BH109"/>
  <c r="BI109"/>
  <c r="BL109"/>
  <c r="D110"/>
  <c r="F110"/>
  <c r="I110"/>
  <c r="J110"/>
  <c r="K110"/>
  <c r="N110"/>
  <c r="O110"/>
  <c r="P110"/>
  <c r="S110"/>
  <c r="T110"/>
  <c r="U110"/>
  <c r="X110"/>
  <c r="AC110"/>
  <c r="AD110"/>
  <c r="AH110"/>
  <c r="AI110"/>
  <c r="AM110"/>
  <c r="AN110"/>
  <c r="AR110"/>
  <c r="AS110"/>
  <c r="AW110"/>
  <c r="AX110"/>
  <c r="AY110"/>
  <c r="BB110"/>
  <c r="BC110"/>
  <c r="BD110"/>
  <c r="BG110"/>
  <c r="BH110"/>
  <c r="BI110"/>
  <c r="BK110"/>
  <c r="BL110" s="1"/>
  <c r="BR110"/>
  <c r="BS110" s="1"/>
  <c r="D111"/>
  <c r="I111"/>
  <c r="J111"/>
  <c r="N111"/>
  <c r="O111"/>
  <c r="S111"/>
  <c r="T111"/>
  <c r="X111"/>
  <c r="AC111"/>
  <c r="AD111"/>
  <c r="AH111"/>
  <c r="AI111"/>
  <c r="AM111"/>
  <c r="AN111"/>
  <c r="AR111"/>
  <c r="AS111"/>
  <c r="AW111"/>
  <c r="AX111"/>
  <c r="AY111"/>
  <c r="BB111"/>
  <c r="BC111"/>
  <c r="BD111"/>
  <c r="BG111"/>
  <c r="BH111"/>
  <c r="BI111"/>
  <c r="BK111"/>
  <c r="BL111" s="1"/>
  <c r="BR111"/>
  <c r="BS111"/>
  <c r="D112"/>
  <c r="F112"/>
  <c r="J112"/>
  <c r="K112"/>
  <c r="N112"/>
  <c r="P112"/>
  <c r="S112"/>
  <c r="T112"/>
  <c r="U112"/>
  <c r="X112"/>
  <c r="AC112"/>
  <c r="AD112"/>
  <c r="AI112"/>
  <c r="AM112"/>
  <c r="AN112"/>
  <c r="AR112"/>
  <c r="AS112"/>
  <c r="AW112"/>
  <c r="AX112"/>
  <c r="AY112"/>
  <c r="BB112"/>
  <c r="BC112"/>
  <c r="BD112"/>
  <c r="BG112"/>
  <c r="BH112"/>
  <c r="BI112"/>
  <c r="BK112"/>
  <c r="BL112" s="1"/>
  <c r="BR112"/>
  <c r="BS112"/>
  <c r="C113"/>
  <c r="H113"/>
  <c r="J113"/>
  <c r="M113"/>
  <c r="BR113" s="1"/>
  <c r="BS113" s="1"/>
  <c r="R113"/>
  <c r="T113"/>
  <c r="W113"/>
  <c r="AB113"/>
  <c r="AG113"/>
  <c r="AI113"/>
  <c r="AL113"/>
  <c r="AQ113"/>
  <c r="AR113" s="1"/>
  <c r="AS113"/>
  <c r="AV113"/>
  <c r="AW113"/>
  <c r="AX113"/>
  <c r="BA113"/>
  <c r="BB113"/>
  <c r="BC113"/>
  <c r="BF113"/>
  <c r="BG113"/>
  <c r="BH113"/>
  <c r="D114"/>
  <c r="I114"/>
  <c r="J114"/>
  <c r="N114"/>
  <c r="O114"/>
  <c r="S114"/>
  <c r="T114"/>
  <c r="X114"/>
  <c r="AC114"/>
  <c r="AD114"/>
  <c r="AH114"/>
  <c r="AI114"/>
  <c r="AM114"/>
  <c r="AN114"/>
  <c r="AR114"/>
  <c r="AS114"/>
  <c r="AW114"/>
  <c r="AX114"/>
  <c r="AY114"/>
  <c r="BB114"/>
  <c r="BC114"/>
  <c r="BD114"/>
  <c r="BG114"/>
  <c r="BH114"/>
  <c r="BI114"/>
  <c r="BK114"/>
  <c r="BL114" s="1"/>
  <c r="BR114"/>
  <c r="BS114"/>
  <c r="D115"/>
  <c r="F115"/>
  <c r="J115"/>
  <c r="N115"/>
  <c r="O115"/>
  <c r="S115"/>
  <c r="T115"/>
  <c r="X115"/>
  <c r="AC115"/>
  <c r="AH115"/>
  <c r="AI115"/>
  <c r="AM115"/>
  <c r="AR115"/>
  <c r="AW115"/>
  <c r="AX115"/>
  <c r="AY115"/>
  <c r="BB115"/>
  <c r="BC115"/>
  <c r="BD115"/>
  <c r="BG115"/>
  <c r="BH115"/>
  <c r="BI115"/>
  <c r="BK115"/>
  <c r="BL115" s="1"/>
  <c r="BR115"/>
  <c r="BS115" s="1"/>
  <c r="D116"/>
  <c r="F116"/>
  <c r="I116"/>
  <c r="J116"/>
  <c r="K116"/>
  <c r="N116"/>
  <c r="O116"/>
  <c r="S116"/>
  <c r="T116"/>
  <c r="X116"/>
  <c r="AC116"/>
  <c r="AD116"/>
  <c r="AE116"/>
  <c r="AI116"/>
  <c r="AJ116"/>
  <c r="AM116"/>
  <c r="AO116"/>
  <c r="AR116"/>
  <c r="AS116"/>
  <c r="AT116"/>
  <c r="AW116"/>
  <c r="AX116"/>
  <c r="AY116"/>
  <c r="BB116"/>
  <c r="BC116"/>
  <c r="BD116"/>
  <c r="BG116"/>
  <c r="BH116"/>
  <c r="BI116"/>
  <c r="BK116"/>
  <c r="BL116"/>
  <c r="BR116"/>
  <c r="BS116"/>
  <c r="C117"/>
  <c r="BK117" s="1"/>
  <c r="BL117" s="1"/>
  <c r="H117"/>
  <c r="J117" s="1"/>
  <c r="M117"/>
  <c r="R117"/>
  <c r="W117"/>
  <c r="AB117"/>
  <c r="AD117" s="1"/>
  <c r="AG117"/>
  <c r="AI117"/>
  <c r="AL117"/>
  <c r="AN117" s="1"/>
  <c r="AQ117"/>
  <c r="AV117"/>
  <c r="AW117"/>
  <c r="AX117"/>
  <c r="BA117"/>
  <c r="BB117"/>
  <c r="BC117"/>
  <c r="BF117"/>
  <c r="BG117"/>
  <c r="BH117"/>
  <c r="D118"/>
  <c r="I118"/>
  <c r="J118"/>
  <c r="N118"/>
  <c r="O118"/>
  <c r="S118"/>
  <c r="X118"/>
  <c r="AC118"/>
  <c r="AD118"/>
  <c r="AI118"/>
  <c r="AM118"/>
  <c r="AN118"/>
  <c r="AR118"/>
  <c r="AS118"/>
  <c r="AW118"/>
  <c r="AX118"/>
  <c r="AY118"/>
  <c r="BB118"/>
  <c r="BC118"/>
  <c r="BD118"/>
  <c r="BG118"/>
  <c r="BH118"/>
  <c r="BI118"/>
  <c r="BK118"/>
  <c r="BL118" s="1"/>
  <c r="BR118"/>
  <c r="BS118" s="1"/>
  <c r="D119"/>
  <c r="F119"/>
  <c r="I119"/>
  <c r="J119"/>
  <c r="K119"/>
  <c r="N119"/>
  <c r="O119"/>
  <c r="S119"/>
  <c r="T119"/>
  <c r="X119"/>
  <c r="AC119"/>
  <c r="AD119"/>
  <c r="AH119"/>
  <c r="AI119"/>
  <c r="AM119"/>
  <c r="AN119"/>
  <c r="AR119"/>
  <c r="AS119"/>
  <c r="AW119"/>
  <c r="AX119"/>
  <c r="AY119"/>
  <c r="BB119"/>
  <c r="BC119"/>
  <c r="BD119"/>
  <c r="BG119"/>
  <c r="BH119"/>
  <c r="BI119"/>
  <c r="BK119"/>
  <c r="BL119" s="1"/>
  <c r="BR119"/>
  <c r="BS119"/>
  <c r="D120"/>
  <c r="F120"/>
  <c r="J120"/>
  <c r="K120"/>
  <c r="N120"/>
  <c r="S120"/>
  <c r="T120"/>
  <c r="X120"/>
  <c r="AC120"/>
  <c r="AD120"/>
  <c r="AH120"/>
  <c r="AI120"/>
  <c r="AM120"/>
  <c r="AN120"/>
  <c r="AR120"/>
  <c r="AS120"/>
  <c r="AW120"/>
  <c r="AX120"/>
  <c r="AY120"/>
  <c r="BB120"/>
  <c r="BC120"/>
  <c r="BD120"/>
  <c r="BG120"/>
  <c r="BH120"/>
  <c r="BI120"/>
  <c r="BK120"/>
  <c r="BL120"/>
  <c r="BR120"/>
  <c r="BS120" s="1"/>
  <c r="D121"/>
  <c r="F121"/>
  <c r="I121"/>
  <c r="J121"/>
  <c r="K121"/>
  <c r="N121"/>
  <c r="O121"/>
  <c r="P121"/>
  <c r="S121"/>
  <c r="T121"/>
  <c r="X121"/>
  <c r="Z121"/>
  <c r="AC121"/>
  <c r="AD121"/>
  <c r="AE121"/>
  <c r="AI121"/>
  <c r="AJ121"/>
  <c r="AM121"/>
  <c r="AR121"/>
  <c r="AS121"/>
  <c r="AT121"/>
  <c r="AW121"/>
  <c r="AX121"/>
  <c r="AY121"/>
  <c r="BB121"/>
  <c r="BC121"/>
  <c r="BD121"/>
  <c r="BG121"/>
  <c r="BH121"/>
  <c r="BI121"/>
  <c r="BK121"/>
  <c r="BL121"/>
  <c r="BR121"/>
  <c r="BS121" s="1"/>
  <c r="C122"/>
  <c r="H122"/>
  <c r="J122"/>
  <c r="M122"/>
  <c r="O122"/>
  <c r="R122"/>
  <c r="BR122" s="1"/>
  <c r="BS122" s="1"/>
  <c r="T122"/>
  <c r="W122"/>
  <c r="AB122"/>
  <c r="AD122"/>
  <c r="AG122"/>
  <c r="AI122" s="1"/>
  <c r="AL122"/>
  <c r="AN122" s="1"/>
  <c r="AQ122"/>
  <c r="AV122"/>
  <c r="AW122"/>
  <c r="AX122"/>
  <c r="BA122"/>
  <c r="BB122"/>
  <c r="BC122"/>
  <c r="BF122"/>
  <c r="BG122"/>
  <c r="BH122"/>
  <c r="D123"/>
  <c r="J123"/>
  <c r="N123"/>
  <c r="O123"/>
  <c r="S123"/>
  <c r="T123"/>
  <c r="X123"/>
  <c r="AC123"/>
  <c r="AH123"/>
  <c r="AI123"/>
  <c r="AM123"/>
  <c r="AR123"/>
  <c r="AS123"/>
  <c r="AW123"/>
  <c r="AX123"/>
  <c r="AY123"/>
  <c r="BB123"/>
  <c r="BC123"/>
  <c r="BD123"/>
  <c r="BG123"/>
  <c r="BH123"/>
  <c r="BI123"/>
  <c r="BK123"/>
  <c r="BL123"/>
  <c r="BR123"/>
  <c r="BS123"/>
  <c r="D124"/>
  <c r="I124"/>
  <c r="J124"/>
  <c r="N124"/>
  <c r="P124"/>
  <c r="S124"/>
  <c r="T124"/>
  <c r="X124"/>
  <c r="AC124"/>
  <c r="AD124"/>
  <c r="AH124"/>
  <c r="AI124"/>
  <c r="AM124"/>
  <c r="AN124"/>
  <c r="AR124"/>
  <c r="AW124"/>
  <c r="AX124"/>
  <c r="AY124"/>
  <c r="BB124"/>
  <c r="BC124"/>
  <c r="BD124"/>
  <c r="BG124"/>
  <c r="BH124"/>
  <c r="BI124"/>
  <c r="BK124"/>
  <c r="BL124" s="1"/>
  <c r="BR124"/>
  <c r="BS124" s="1"/>
  <c r="D125"/>
  <c r="F125"/>
  <c r="I125"/>
  <c r="J125"/>
  <c r="N125"/>
  <c r="O125"/>
  <c r="S125"/>
  <c r="X125"/>
  <c r="AC125"/>
  <c r="AD125"/>
  <c r="AI125"/>
  <c r="AM125"/>
  <c r="AN125"/>
  <c r="AR125"/>
  <c r="AS125"/>
  <c r="AW125"/>
  <c r="AX125"/>
  <c r="AY125"/>
  <c r="BB125"/>
  <c r="BC125"/>
  <c r="BD125"/>
  <c r="BG125"/>
  <c r="BH125"/>
  <c r="BI125"/>
  <c r="BK125"/>
  <c r="BL125" s="1"/>
  <c r="BR125"/>
  <c r="BS125" s="1"/>
  <c r="D126"/>
  <c r="F126"/>
  <c r="I126"/>
  <c r="J126"/>
  <c r="N126"/>
  <c r="P126"/>
  <c r="S126"/>
  <c r="T126"/>
  <c r="U126"/>
  <c r="X126"/>
  <c r="Z126"/>
  <c r="AC126"/>
  <c r="AE126"/>
  <c r="AH126"/>
  <c r="AI126"/>
  <c r="AM126"/>
  <c r="AN126"/>
  <c r="AO126"/>
  <c r="AR126"/>
  <c r="AS126"/>
  <c r="AT126"/>
  <c r="AW126"/>
  <c r="AX126"/>
  <c r="AY126"/>
  <c r="BB126"/>
  <c r="BC126"/>
  <c r="BD126"/>
  <c r="BG126"/>
  <c r="BH126"/>
  <c r="BI126"/>
  <c r="BK126"/>
  <c r="BL126" s="1"/>
  <c r="BR126"/>
  <c r="BS126"/>
  <c r="D127"/>
  <c r="F127"/>
  <c r="I127"/>
  <c r="J127"/>
  <c r="K127"/>
  <c r="N127"/>
  <c r="O127"/>
  <c r="S127"/>
  <c r="T127"/>
  <c r="U127"/>
  <c r="X127"/>
  <c r="Z127"/>
  <c r="AC127"/>
  <c r="AH127"/>
  <c r="AI127"/>
  <c r="AJ127"/>
  <c r="AM127"/>
  <c r="AN127"/>
  <c r="AO127"/>
  <c r="AR127"/>
  <c r="AS127"/>
  <c r="AW127"/>
  <c r="AX127"/>
  <c r="AY127"/>
  <c r="BB127"/>
  <c r="BC127"/>
  <c r="BD127"/>
  <c r="BG127"/>
  <c r="BH127"/>
  <c r="BI127"/>
  <c r="BK127"/>
  <c r="BL127"/>
  <c r="BR127"/>
  <c r="BS127"/>
  <c r="D128"/>
  <c r="I128"/>
  <c r="J128"/>
  <c r="K128"/>
  <c r="N128"/>
  <c r="O128"/>
  <c r="S128"/>
  <c r="T128"/>
  <c r="X128"/>
  <c r="AC128"/>
  <c r="AH128"/>
  <c r="AI128"/>
  <c r="AM128"/>
  <c r="AR128"/>
  <c r="AW128"/>
  <c r="AX128"/>
  <c r="AY128"/>
  <c r="BB128"/>
  <c r="BC128"/>
  <c r="BD128"/>
  <c r="BG128"/>
  <c r="BH128"/>
  <c r="BI128"/>
  <c r="BK128"/>
  <c r="BL128" s="1"/>
  <c r="BR128"/>
  <c r="BS128"/>
  <c r="D129"/>
  <c r="F129"/>
  <c r="I129"/>
  <c r="J129"/>
  <c r="K129"/>
  <c r="N129"/>
  <c r="O129"/>
  <c r="P129"/>
  <c r="S129"/>
  <c r="U129"/>
  <c r="X129"/>
  <c r="Z129"/>
  <c r="AC129"/>
  <c r="AD129"/>
  <c r="AE129"/>
  <c r="AH129"/>
  <c r="AI129"/>
  <c r="AJ129"/>
  <c r="AM129"/>
  <c r="AN129"/>
  <c r="AO129"/>
  <c r="AR129"/>
  <c r="AT129"/>
  <c r="AW129"/>
  <c r="AX129"/>
  <c r="AY129"/>
  <c r="BB129"/>
  <c r="BC129"/>
  <c r="BD129"/>
  <c r="BG129"/>
  <c r="BH129"/>
  <c r="BI129"/>
  <c r="BK129"/>
  <c r="BL129"/>
  <c r="BR129"/>
  <c r="BS129"/>
  <c r="D130"/>
  <c r="F130"/>
  <c r="I130"/>
  <c r="J130"/>
  <c r="K130"/>
  <c r="N130"/>
  <c r="O130"/>
  <c r="P130"/>
  <c r="S130"/>
  <c r="T130"/>
  <c r="U130"/>
  <c r="X130"/>
  <c r="Z130"/>
  <c r="AC130"/>
  <c r="AD130"/>
  <c r="AE130"/>
  <c r="AI130"/>
  <c r="AJ130"/>
  <c r="AM130"/>
  <c r="AO130"/>
  <c r="AR130"/>
  <c r="AT130"/>
  <c r="AW130"/>
  <c r="AX130"/>
  <c r="AY130"/>
  <c r="BB130"/>
  <c r="BC130"/>
  <c r="BD130"/>
  <c r="BG130"/>
  <c r="BH130"/>
  <c r="BI130"/>
  <c r="BK130"/>
  <c r="BL130"/>
  <c r="BR130"/>
  <c r="BS130" s="1"/>
  <c r="D131"/>
  <c r="F131"/>
  <c r="I131"/>
  <c r="J131"/>
  <c r="K131"/>
  <c r="N131"/>
  <c r="O131"/>
  <c r="P131"/>
  <c r="S131"/>
  <c r="T131"/>
  <c r="U131"/>
  <c r="X131"/>
  <c r="Z131"/>
  <c r="AC131"/>
  <c r="AD131"/>
  <c r="AE131"/>
  <c r="AH131"/>
  <c r="AI131"/>
  <c r="AJ131"/>
  <c r="AM131"/>
  <c r="AN131"/>
  <c r="AO131"/>
  <c r="AR131"/>
  <c r="AT131"/>
  <c r="AW131"/>
  <c r="AX131"/>
  <c r="AY131"/>
  <c r="BB131"/>
  <c r="BC131"/>
  <c r="BD131"/>
  <c r="BG131"/>
  <c r="BH131"/>
  <c r="BI131"/>
  <c r="BK131"/>
  <c r="BL131"/>
  <c r="BR131"/>
  <c r="BS131"/>
  <c r="D133"/>
  <c r="I133"/>
  <c r="J133"/>
  <c r="N133"/>
  <c r="O133"/>
  <c r="S133"/>
  <c r="X133"/>
  <c r="AC133"/>
  <c r="AH133"/>
  <c r="AI133"/>
  <c r="AM133"/>
  <c r="AN133"/>
  <c r="AR133"/>
  <c r="AS133"/>
  <c r="AW133"/>
  <c r="AW132" s="1"/>
  <c r="AX133"/>
  <c r="AY133"/>
  <c r="BB133"/>
  <c r="BB132" s="1"/>
  <c r="BC133"/>
  <c r="BD133"/>
  <c r="BG133"/>
  <c r="BG132" s="1"/>
  <c r="BH133"/>
  <c r="BI133"/>
  <c r="BK133"/>
  <c r="BL133" s="1"/>
  <c r="BR133"/>
  <c r="BS133"/>
  <c r="D134"/>
  <c r="J134"/>
  <c r="N134"/>
  <c r="O134"/>
  <c r="S134"/>
  <c r="T134"/>
  <c r="X134"/>
  <c r="AC134"/>
  <c r="AH134"/>
  <c r="AI134"/>
  <c r="AM134"/>
  <c r="AR134"/>
  <c r="AW134"/>
  <c r="AX134"/>
  <c r="AY134"/>
  <c r="BB134"/>
  <c r="BC134"/>
  <c r="BD134"/>
  <c r="BG134"/>
  <c r="BH134"/>
  <c r="BH132" s="1"/>
  <c r="BI134"/>
  <c r="BK134"/>
  <c r="BL134" s="1"/>
  <c r="BR134"/>
  <c r="BS134"/>
  <c r="D135"/>
  <c r="J135"/>
  <c r="N135"/>
  <c r="O135"/>
  <c r="S135"/>
  <c r="T135"/>
  <c r="U135"/>
  <c r="X135"/>
  <c r="AC135"/>
  <c r="AD135"/>
  <c r="AH135"/>
  <c r="AI135"/>
  <c r="AJ135"/>
  <c r="AM135"/>
  <c r="AN135"/>
  <c r="AO135"/>
  <c r="AR135"/>
  <c r="AS135"/>
  <c r="AT135"/>
  <c r="AW135"/>
  <c r="AX135"/>
  <c r="AY135"/>
  <c r="BB135"/>
  <c r="BC135"/>
  <c r="BD135"/>
  <c r="BG135"/>
  <c r="BH135"/>
  <c r="BI135"/>
  <c r="BK135"/>
  <c r="BL135"/>
  <c r="BR135"/>
  <c r="BS135"/>
  <c r="C136"/>
  <c r="H136"/>
  <c r="J136"/>
  <c r="M136"/>
  <c r="BR136" s="1"/>
  <c r="BS136" s="1"/>
  <c r="R136"/>
  <c r="T136" s="1"/>
  <c r="W136"/>
  <c r="AB136"/>
  <c r="AD136" s="1"/>
  <c r="AG136"/>
  <c r="AI136" s="1"/>
  <c r="AL136"/>
  <c r="AN136"/>
  <c r="AQ136"/>
  <c r="AR136" s="1"/>
  <c r="AV136"/>
  <c r="AW136"/>
  <c r="AX136"/>
  <c r="BA136"/>
  <c r="BB136"/>
  <c r="BC136"/>
  <c r="BF136"/>
  <c r="BG136"/>
  <c r="BH136"/>
  <c r="D137"/>
  <c r="I137"/>
  <c r="J137"/>
  <c r="N137"/>
  <c r="P137"/>
  <c r="S137"/>
  <c r="T137"/>
  <c r="X137"/>
  <c r="Z137"/>
  <c r="AC137"/>
  <c r="AD137"/>
  <c r="AI137"/>
  <c r="AM137"/>
  <c r="AN137"/>
  <c r="AR137"/>
  <c r="AW137"/>
  <c r="AX137"/>
  <c r="AY137"/>
  <c r="BB137"/>
  <c r="BC137"/>
  <c r="BD137"/>
  <c r="BG137"/>
  <c r="BH137"/>
  <c r="BI137"/>
  <c r="BK137"/>
  <c r="BL137"/>
  <c r="BR137"/>
  <c r="BS137"/>
  <c r="D138"/>
  <c r="F138"/>
  <c r="J138"/>
  <c r="K138"/>
  <c r="N138"/>
  <c r="P138"/>
  <c r="S138"/>
  <c r="T138"/>
  <c r="U138"/>
  <c r="X138"/>
  <c r="Z138"/>
  <c r="AC138"/>
  <c r="AE138"/>
  <c r="AH138"/>
  <c r="AI138"/>
  <c r="AJ138"/>
  <c r="AM138"/>
  <c r="AN138"/>
  <c r="AO138"/>
  <c r="AR138"/>
  <c r="AT138"/>
  <c r="AW138"/>
  <c r="AX138"/>
  <c r="AY138"/>
  <c r="BB138"/>
  <c r="BC138"/>
  <c r="BD138"/>
  <c r="BG138"/>
  <c r="BH138"/>
  <c r="BI138"/>
  <c r="BK138"/>
  <c r="BL138" s="1"/>
  <c r="BR138"/>
  <c r="BS138"/>
  <c r="D139"/>
  <c r="J139"/>
  <c r="K139"/>
  <c r="N139"/>
  <c r="S139"/>
  <c r="T139"/>
  <c r="X139"/>
  <c r="AC139"/>
  <c r="AD139"/>
  <c r="AH139"/>
  <c r="AI139"/>
  <c r="AM139"/>
  <c r="AN139"/>
  <c r="AR139"/>
  <c r="AS139"/>
  <c r="AW139"/>
  <c r="AX139"/>
  <c r="AY139"/>
  <c r="BB139"/>
  <c r="BC139"/>
  <c r="BD139"/>
  <c r="BG139"/>
  <c r="BH139"/>
  <c r="BI139"/>
  <c r="BK139"/>
  <c r="BL139" s="1"/>
  <c r="BR139"/>
  <c r="BS139" s="1"/>
  <c r="C140"/>
  <c r="BK140" s="1"/>
  <c r="BL140" s="1"/>
  <c r="H140"/>
  <c r="J140" s="1"/>
  <c r="M140"/>
  <c r="O140"/>
  <c r="R140"/>
  <c r="W140"/>
  <c r="AB140"/>
  <c r="AD140"/>
  <c r="AG140"/>
  <c r="AI140" s="1"/>
  <c r="AL140"/>
  <c r="AN140"/>
  <c r="AQ140"/>
  <c r="AR140" s="1"/>
  <c r="AV140"/>
  <c r="AW140"/>
  <c r="AX140"/>
  <c r="BA140"/>
  <c r="BB140"/>
  <c r="BC140"/>
  <c r="BF140"/>
  <c r="BG140"/>
  <c r="BH140"/>
  <c r="D141"/>
  <c r="I141"/>
  <c r="J141"/>
  <c r="N141"/>
  <c r="O141"/>
  <c r="S141"/>
  <c r="T141"/>
  <c r="X141"/>
  <c r="AC141"/>
  <c r="AD141"/>
  <c r="AE141"/>
  <c r="AI141"/>
  <c r="AM141"/>
  <c r="AN141"/>
  <c r="AR141"/>
  <c r="AS141"/>
  <c r="AW141"/>
  <c r="AX141"/>
  <c r="AY141"/>
  <c r="BB141"/>
  <c r="BC141"/>
  <c r="BD141"/>
  <c r="BG141"/>
  <c r="BH141"/>
  <c r="BI141"/>
  <c r="BK141"/>
  <c r="BL141" s="1"/>
  <c r="BR141"/>
  <c r="BS141"/>
  <c r="D142"/>
  <c r="F142"/>
  <c r="I142"/>
  <c r="J142"/>
  <c r="K142"/>
  <c r="N142"/>
  <c r="O142"/>
  <c r="S142"/>
  <c r="T142"/>
  <c r="X142"/>
  <c r="AC142"/>
  <c r="AD142"/>
  <c r="AE142"/>
  <c r="AI142"/>
  <c r="AJ142"/>
  <c r="AM142"/>
  <c r="AO142"/>
  <c r="AR142"/>
  <c r="AT142"/>
  <c r="AW142"/>
  <c r="AX142"/>
  <c r="AY142"/>
  <c r="BB142"/>
  <c r="BC142"/>
  <c r="BD142"/>
  <c r="BG142"/>
  <c r="BH142"/>
  <c r="BI142"/>
  <c r="BK142"/>
  <c r="BR142"/>
  <c r="BS142" s="1"/>
  <c r="C143"/>
  <c r="H143"/>
  <c r="BK143" s="1"/>
  <c r="BL143" s="1"/>
  <c r="M143"/>
  <c r="R143"/>
  <c r="T143"/>
  <c r="W143"/>
  <c r="AB143"/>
  <c r="AD143"/>
  <c r="AG143"/>
  <c r="AI143" s="1"/>
  <c r="AI132" s="1"/>
  <c r="AL143"/>
  <c r="AN143"/>
  <c r="AQ143"/>
  <c r="AS143" s="1"/>
  <c r="AV143"/>
  <c r="AW143"/>
  <c r="AX143"/>
  <c r="BA143"/>
  <c r="BB143"/>
  <c r="BC143"/>
  <c r="BF143"/>
  <c r="BG143"/>
  <c r="BH143"/>
  <c r="BR143"/>
  <c r="BS143" s="1"/>
  <c r="D144"/>
  <c r="I144"/>
  <c r="J144"/>
  <c r="N144"/>
  <c r="O144"/>
  <c r="S144"/>
  <c r="T144"/>
  <c r="X144"/>
  <c r="AC144"/>
  <c r="AD144"/>
  <c r="AH144"/>
  <c r="AI144"/>
  <c r="AJ144"/>
  <c r="AM144"/>
  <c r="AN144"/>
  <c r="AR144"/>
  <c r="AS144"/>
  <c r="AW144"/>
  <c r="AX144"/>
  <c r="AY144"/>
  <c r="BB144"/>
  <c r="BC144"/>
  <c r="BD144"/>
  <c r="BG144"/>
  <c r="BH144"/>
  <c r="BI144"/>
  <c r="BK144"/>
  <c r="BR144"/>
  <c r="BS144"/>
  <c r="D145"/>
  <c r="I145"/>
  <c r="J145"/>
  <c r="N145"/>
  <c r="O145"/>
  <c r="S145"/>
  <c r="X145"/>
  <c r="AC145"/>
  <c r="AD145"/>
  <c r="AE145"/>
  <c r="AH145"/>
  <c r="AI145"/>
  <c r="AM145"/>
  <c r="AR145"/>
  <c r="AS145"/>
  <c r="AW145"/>
  <c r="AX145"/>
  <c r="AY145"/>
  <c r="BB145"/>
  <c r="BC145"/>
  <c r="BD145"/>
  <c r="BG145"/>
  <c r="BH145"/>
  <c r="BI145"/>
  <c r="BK145"/>
  <c r="BL145"/>
  <c r="BR145"/>
  <c r="BS145" s="1"/>
  <c r="D146"/>
  <c r="F146"/>
  <c r="I146"/>
  <c r="J146"/>
  <c r="N146"/>
  <c r="O146"/>
  <c r="P146"/>
  <c r="S146"/>
  <c r="X146"/>
  <c r="AC146"/>
  <c r="AD146"/>
  <c r="AI146"/>
  <c r="AM146"/>
  <c r="AN146"/>
  <c r="AO146"/>
  <c r="AR146"/>
  <c r="AT146"/>
  <c r="AW146"/>
  <c r="AX146"/>
  <c r="AY146"/>
  <c r="BB146"/>
  <c r="BC146"/>
  <c r="BD146"/>
  <c r="BG146"/>
  <c r="BH146"/>
  <c r="BI146"/>
  <c r="BK146"/>
  <c r="BR146"/>
  <c r="BS146"/>
  <c r="D147"/>
  <c r="H147"/>
  <c r="J147"/>
  <c r="N147"/>
  <c r="O147"/>
  <c r="P147"/>
  <c r="S147"/>
  <c r="T147"/>
  <c r="U147"/>
  <c r="X147"/>
  <c r="Z147"/>
  <c r="AC147"/>
  <c r="AD147"/>
  <c r="AI147"/>
  <c r="AJ147"/>
  <c r="AM147"/>
  <c r="AO147"/>
  <c r="AR147"/>
  <c r="AS147"/>
  <c r="AW147"/>
  <c r="AX147"/>
  <c r="AY147"/>
  <c r="BB147"/>
  <c r="BC147"/>
  <c r="BD147"/>
  <c r="BG147"/>
  <c r="BH147"/>
  <c r="BI147"/>
  <c r="BK147"/>
  <c r="BL147" s="1"/>
  <c r="BR147"/>
  <c r="BS147" s="1"/>
  <c r="D148"/>
  <c r="I148"/>
  <c r="J148"/>
  <c r="N148"/>
  <c r="O148"/>
  <c r="S148"/>
  <c r="T148"/>
  <c r="X148"/>
  <c r="AC148"/>
  <c r="AD148"/>
  <c r="AH148"/>
  <c r="AI148"/>
  <c r="AM148"/>
  <c r="AN148"/>
  <c r="AR148"/>
  <c r="AS148"/>
  <c r="AW148"/>
  <c r="AX148"/>
  <c r="AY148"/>
  <c r="BB148"/>
  <c r="BC148"/>
  <c r="BD148"/>
  <c r="BG148"/>
  <c r="BH148"/>
  <c r="BI148"/>
  <c r="BK148"/>
  <c r="BL148" s="1"/>
  <c r="BR148"/>
  <c r="BS148"/>
  <c r="D149"/>
  <c r="F149"/>
  <c r="J149"/>
  <c r="K149"/>
  <c r="N149"/>
  <c r="P149"/>
  <c r="S149"/>
  <c r="T149"/>
  <c r="U149"/>
  <c r="X149"/>
  <c r="Z149"/>
  <c r="AC149"/>
  <c r="AE149"/>
  <c r="AH149"/>
  <c r="AI149"/>
  <c r="AJ149"/>
  <c r="AM149"/>
  <c r="AN149"/>
  <c r="AO149"/>
  <c r="AR149"/>
  <c r="AS149"/>
  <c r="AT149"/>
  <c r="AW149"/>
  <c r="AX149"/>
  <c r="AY149"/>
  <c r="BB149"/>
  <c r="BC149"/>
  <c r="BD149"/>
  <c r="BG149"/>
  <c r="BH149"/>
  <c r="BI149"/>
  <c r="BK149"/>
  <c r="BL149"/>
  <c r="BR149"/>
  <c r="BS149"/>
  <c r="D150"/>
  <c r="F150"/>
  <c r="I150"/>
  <c r="J150"/>
  <c r="K150"/>
  <c r="N150"/>
  <c r="O150"/>
  <c r="P150"/>
  <c r="S150"/>
  <c r="T150"/>
  <c r="U150"/>
  <c r="X150"/>
  <c r="Z150"/>
  <c r="AC150"/>
  <c r="AD150"/>
  <c r="AE150"/>
  <c r="AI150"/>
  <c r="AJ150"/>
  <c r="AM150"/>
  <c r="AO150"/>
  <c r="AR150"/>
  <c r="AS150"/>
  <c r="AT150"/>
  <c r="AW150"/>
  <c r="AX150"/>
  <c r="AY150"/>
  <c r="BB150"/>
  <c r="BC150"/>
  <c r="BD150"/>
  <c r="BG150"/>
  <c r="BH150"/>
  <c r="BI150"/>
  <c r="BK150"/>
  <c r="BL150" s="1"/>
  <c r="BR150"/>
  <c r="BS150"/>
  <c r="C153"/>
  <c r="H153"/>
  <c r="M153"/>
  <c r="R153"/>
  <c r="W153"/>
  <c r="AB153"/>
  <c r="AG153"/>
  <c r="AL153"/>
  <c r="AQ153"/>
  <c r="AV153"/>
  <c r="AY153"/>
  <c r="BA153"/>
  <c r="BD153"/>
  <c r="BF153"/>
  <c r="D154"/>
  <c r="I154"/>
  <c r="J154"/>
  <c r="J153"/>
  <c r="N154"/>
  <c r="N153" s="1"/>
  <c r="P153" s="1"/>
  <c r="O154"/>
  <c r="S154"/>
  <c r="T154"/>
  <c r="X154"/>
  <c r="AC154"/>
  <c r="AC153" s="1"/>
  <c r="AE153" s="1"/>
  <c r="AD154"/>
  <c r="AI154"/>
  <c r="AM154"/>
  <c r="AM153" s="1"/>
  <c r="AO153" s="1"/>
  <c r="AR154"/>
  <c r="AS154"/>
  <c r="AW154"/>
  <c r="AW153" s="1"/>
  <c r="AX154"/>
  <c r="BB154"/>
  <c r="BB153" s="1"/>
  <c r="BC154"/>
  <c r="BD154"/>
  <c r="BG154"/>
  <c r="BG153" s="1"/>
  <c r="BH154"/>
  <c r="BI154"/>
  <c r="BK154"/>
  <c r="BR154"/>
  <c r="BS154" s="1"/>
  <c r="D155"/>
  <c r="F155" s="1"/>
  <c r="I155"/>
  <c r="K155" s="1"/>
  <c r="J155"/>
  <c r="N155"/>
  <c r="O155"/>
  <c r="S155"/>
  <c r="T155"/>
  <c r="X155"/>
  <c r="AC155"/>
  <c r="AH155"/>
  <c r="AJ155" s="1"/>
  <c r="AI155"/>
  <c r="AM155"/>
  <c r="AN155"/>
  <c r="AR155"/>
  <c r="AS155"/>
  <c r="AW155"/>
  <c r="AX155"/>
  <c r="AX153" s="1"/>
  <c r="AY155"/>
  <c r="BB155"/>
  <c r="BC155"/>
  <c r="BD155"/>
  <c r="BG155"/>
  <c r="BH155"/>
  <c r="BI155"/>
  <c r="BK155"/>
  <c r="BR155"/>
  <c r="BS155" s="1"/>
  <c r="D156"/>
  <c r="F156"/>
  <c r="I156"/>
  <c r="J156"/>
  <c r="N156"/>
  <c r="O156"/>
  <c r="S156"/>
  <c r="X156"/>
  <c r="AC156"/>
  <c r="AD156"/>
  <c r="AI156"/>
  <c r="AM156"/>
  <c r="AN156"/>
  <c r="AR156"/>
  <c r="AS156"/>
  <c r="AW156"/>
  <c r="AX156"/>
  <c r="AY156"/>
  <c r="BB156"/>
  <c r="BC156"/>
  <c r="BD156"/>
  <c r="BG156"/>
  <c r="BH156"/>
  <c r="BI156"/>
  <c r="BK156"/>
  <c r="BR156"/>
  <c r="BS156"/>
  <c r="D157"/>
  <c r="I157"/>
  <c r="J157"/>
  <c r="N157"/>
  <c r="O157"/>
  <c r="S157"/>
  <c r="X157"/>
  <c r="AC157"/>
  <c r="AD157"/>
  <c r="AI157"/>
  <c r="AM157"/>
  <c r="AN157"/>
  <c r="AR157"/>
  <c r="AW157"/>
  <c r="AX157"/>
  <c r="AY157"/>
  <c r="BB157"/>
  <c r="BC157"/>
  <c r="BD157"/>
  <c r="BG157"/>
  <c r="BH157"/>
  <c r="BI157"/>
  <c r="BK157"/>
  <c r="BR157"/>
  <c r="BS157"/>
  <c r="D158"/>
  <c r="F158"/>
  <c r="I158"/>
  <c r="J158"/>
  <c r="K158"/>
  <c r="N158"/>
  <c r="O158"/>
  <c r="P158"/>
  <c r="S158"/>
  <c r="T158"/>
  <c r="U158"/>
  <c r="X158"/>
  <c r="Z158"/>
  <c r="AC158"/>
  <c r="AD158"/>
  <c r="AE158"/>
  <c r="AI158"/>
  <c r="AJ158"/>
  <c r="AM158"/>
  <c r="AO158"/>
  <c r="AR158"/>
  <c r="AS158"/>
  <c r="AT158"/>
  <c r="AW158"/>
  <c r="AX158"/>
  <c r="AY158"/>
  <c r="BB158"/>
  <c r="BC158"/>
  <c r="BD158"/>
  <c r="BG158"/>
  <c r="BH158"/>
  <c r="BI158"/>
  <c r="BK158"/>
  <c r="BL158" s="1"/>
  <c r="BR158"/>
  <c r="D159"/>
  <c r="D153" s="1"/>
  <c r="F153" s="1"/>
  <c r="F159"/>
  <c r="I159"/>
  <c r="J159"/>
  <c r="K159"/>
  <c r="N159"/>
  <c r="O159"/>
  <c r="P159"/>
  <c r="S159"/>
  <c r="T159"/>
  <c r="U159"/>
  <c r="X159"/>
  <c r="Z159"/>
  <c r="AC159"/>
  <c r="AD159"/>
  <c r="AE159"/>
  <c r="AH159"/>
  <c r="AI159"/>
  <c r="AJ159"/>
  <c r="AM159"/>
  <c r="AN159"/>
  <c r="AO159"/>
  <c r="AR159"/>
  <c r="AT159"/>
  <c r="AW159"/>
  <c r="AX159"/>
  <c r="AY159"/>
  <c r="BB159"/>
  <c r="BC159"/>
  <c r="BD159"/>
  <c r="BG159"/>
  <c r="BH159"/>
  <c r="BI159"/>
  <c r="BK159"/>
  <c r="BR159"/>
  <c r="BS159" s="1"/>
  <c r="BS160"/>
  <c r="AY161"/>
  <c r="BD161"/>
  <c r="BI161"/>
  <c r="D162"/>
  <c r="F162"/>
  <c r="J162"/>
  <c r="N162"/>
  <c r="N161" s="1"/>
  <c r="P161" s="1"/>
  <c r="S162"/>
  <c r="X162"/>
  <c r="AC162"/>
  <c r="AD162"/>
  <c r="AI162"/>
  <c r="AL162"/>
  <c r="AN162" s="1"/>
  <c r="AN161" s="1"/>
  <c r="AT162"/>
  <c r="AW162"/>
  <c r="AX162"/>
  <c r="AX161"/>
  <c r="AY162"/>
  <c r="BB162"/>
  <c r="BC162"/>
  <c r="BD162"/>
  <c r="BG162"/>
  <c r="BG161" s="1"/>
  <c r="BH162"/>
  <c r="BI162"/>
  <c r="D163"/>
  <c r="F163"/>
  <c r="I163"/>
  <c r="K163" s="1"/>
  <c r="J163"/>
  <c r="N163"/>
  <c r="O163"/>
  <c r="S163"/>
  <c r="T163"/>
  <c r="X163"/>
  <c r="X161" s="1"/>
  <c r="Z161" s="1"/>
  <c r="AC163"/>
  <c r="AC161" s="1"/>
  <c r="AE161" s="1"/>
  <c r="AD163"/>
  <c r="AH163"/>
  <c r="AI163"/>
  <c r="AJ163"/>
  <c r="AM163"/>
  <c r="AN163"/>
  <c r="AR163"/>
  <c r="AT163"/>
  <c r="AW163"/>
  <c r="AX163"/>
  <c r="AY163"/>
  <c r="BB163"/>
  <c r="BB161" s="1"/>
  <c r="BC163"/>
  <c r="BD163"/>
  <c r="BG163"/>
  <c r="BH163"/>
  <c r="BH161" s="1"/>
  <c r="BI163"/>
  <c r="D164"/>
  <c r="D161" s="1"/>
  <c r="F161" s="1"/>
  <c r="F164"/>
  <c r="I164"/>
  <c r="J164"/>
  <c r="K164"/>
  <c r="N164"/>
  <c r="O164"/>
  <c r="P164"/>
  <c r="S164"/>
  <c r="T164"/>
  <c r="X164"/>
  <c r="AC164"/>
  <c r="AD164"/>
  <c r="AE164"/>
  <c r="AH164"/>
  <c r="AI164"/>
  <c r="AM164"/>
  <c r="AN164"/>
  <c r="AO164"/>
  <c r="AR164"/>
  <c r="AS164"/>
  <c r="AW164"/>
  <c r="AW161" s="1"/>
  <c r="AX164"/>
  <c r="AY164"/>
  <c r="BB164"/>
  <c r="BC164"/>
  <c r="BD164"/>
  <c r="BG164"/>
  <c r="BH164"/>
  <c r="BI164"/>
  <c r="D165"/>
  <c r="F165"/>
  <c r="I165"/>
  <c r="J165"/>
  <c r="K165"/>
  <c r="N165"/>
  <c r="O165"/>
  <c r="P165"/>
  <c r="S165"/>
  <c r="T165"/>
  <c r="U165"/>
  <c r="X165"/>
  <c r="Z165"/>
  <c r="AC165"/>
  <c r="AD165"/>
  <c r="AD161" s="1"/>
  <c r="AE165"/>
  <c r="AH165"/>
  <c r="AI165"/>
  <c r="AJ165"/>
  <c r="AM165"/>
  <c r="AN165"/>
  <c r="AO165"/>
  <c r="AR165"/>
  <c r="AS165"/>
  <c r="AT165"/>
  <c r="AW165"/>
  <c r="AX165"/>
  <c r="AY165"/>
  <c r="BB165"/>
  <c r="BC165"/>
  <c r="BD165"/>
  <c r="BG165"/>
  <c r="BH165"/>
  <c r="BI165"/>
  <c r="D166"/>
  <c r="F166"/>
  <c r="I166"/>
  <c r="J166"/>
  <c r="K166"/>
  <c r="N166"/>
  <c r="O166"/>
  <c r="P166"/>
  <c r="S166"/>
  <c r="S161" s="1"/>
  <c r="U161" s="1"/>
  <c r="T166"/>
  <c r="U166"/>
  <c r="X166"/>
  <c r="Z166"/>
  <c r="AC166"/>
  <c r="AD166"/>
  <c r="AE166"/>
  <c r="AH166"/>
  <c r="AI166"/>
  <c r="AJ166"/>
  <c r="AM166"/>
  <c r="AN166"/>
  <c r="AO166"/>
  <c r="AR166"/>
  <c r="AS166"/>
  <c r="AT166"/>
  <c r="AW166"/>
  <c r="AX166"/>
  <c r="AY166"/>
  <c r="BB166"/>
  <c r="BC166"/>
  <c r="BD166"/>
  <c r="BG166"/>
  <c r="BH166"/>
  <c r="BI166"/>
  <c r="C2" i="1"/>
  <c r="D2"/>
  <c r="F2"/>
  <c r="G2"/>
  <c r="I2"/>
  <c r="J2"/>
  <c r="L2"/>
  <c r="M2"/>
  <c r="O2"/>
  <c r="P2"/>
  <c r="R2"/>
  <c r="S2"/>
  <c r="U2"/>
  <c r="V2"/>
  <c r="X2"/>
  <c r="Y2"/>
  <c r="AA2"/>
  <c r="AB2"/>
  <c r="AD2"/>
  <c r="AE2"/>
  <c r="AG2"/>
  <c r="AH2"/>
  <c r="AJ2"/>
  <c r="AK2"/>
  <c r="B4"/>
  <c r="E4"/>
  <c r="H4"/>
  <c r="K4"/>
  <c r="N4"/>
  <c r="Q4"/>
  <c r="T4"/>
  <c r="W4"/>
  <c r="Z4"/>
  <c r="AC4"/>
  <c r="AF4"/>
  <c r="AI4"/>
  <c r="B5"/>
  <c r="E5"/>
  <c r="T5"/>
  <c r="U6" s="1"/>
  <c r="Z5"/>
  <c r="AC5"/>
  <c r="AF5"/>
  <c r="AI5"/>
  <c r="B6"/>
  <c r="C6"/>
  <c r="E6"/>
  <c r="G6" s="1"/>
  <c r="H6"/>
  <c r="K6"/>
  <c r="N6"/>
  <c r="Q6"/>
  <c r="T6"/>
  <c r="Z6"/>
  <c r="AC6"/>
  <c r="AD6" s="1"/>
  <c r="AF6"/>
  <c r="AI6"/>
  <c r="AK6" s="1"/>
  <c r="B12"/>
  <c r="C12" s="1"/>
  <c r="E12"/>
  <c r="G12" s="1"/>
  <c r="H12"/>
  <c r="K12"/>
  <c r="N12"/>
  <c r="Q12"/>
  <c r="T12"/>
  <c r="W12"/>
  <c r="Z12"/>
  <c r="AA12" s="1"/>
  <c r="AC12"/>
  <c r="AD12"/>
  <c r="AF12"/>
  <c r="AG12" s="1"/>
  <c r="AI12"/>
  <c r="AK12" s="1"/>
  <c r="AT12"/>
  <c r="AT11"/>
  <c r="B13"/>
  <c r="C13" s="1"/>
  <c r="AT13"/>
  <c r="B14"/>
  <c r="C14"/>
  <c r="E14"/>
  <c r="F14" s="1"/>
  <c r="H14"/>
  <c r="K14"/>
  <c r="N14"/>
  <c r="Q14"/>
  <c r="T14"/>
  <c r="U14" s="1"/>
  <c r="W14"/>
  <c r="Z14"/>
  <c r="AA14" s="1"/>
  <c r="AC14"/>
  <c r="AD14"/>
  <c r="AF14"/>
  <c r="AG14" s="1"/>
  <c r="AI14"/>
  <c r="AJ14" s="1"/>
  <c r="AT14"/>
  <c r="B16"/>
  <c r="E16"/>
  <c r="G16"/>
  <c r="H16"/>
  <c r="K16"/>
  <c r="N16"/>
  <c r="Z16"/>
  <c r="AC16"/>
  <c r="AF16"/>
  <c r="AI16"/>
  <c r="AK16" s="1"/>
  <c r="B17"/>
  <c r="C17"/>
  <c r="E17"/>
  <c r="G17" s="1"/>
  <c r="H17"/>
  <c r="H8" s="1"/>
  <c r="K17"/>
  <c r="N17"/>
  <c r="N8" s="1"/>
  <c r="Q17"/>
  <c r="Q8" s="1"/>
  <c r="T17"/>
  <c r="T8"/>
  <c r="U17"/>
  <c r="W17"/>
  <c r="W8" s="1"/>
  <c r="Z17"/>
  <c r="AA17" s="1"/>
  <c r="Z8"/>
  <c r="AC17"/>
  <c r="AD17" s="1"/>
  <c r="AF17"/>
  <c r="AG17" s="1"/>
  <c r="AI17"/>
  <c r="AI8"/>
  <c r="AT17"/>
  <c r="AT16"/>
  <c r="B18"/>
  <c r="B9"/>
  <c r="C9" s="1"/>
  <c r="E18"/>
  <c r="E9"/>
  <c r="H18"/>
  <c r="H9" s="1"/>
  <c r="K18"/>
  <c r="K9" s="1"/>
  <c r="N18"/>
  <c r="N9" s="1"/>
  <c r="Q18"/>
  <c r="Q9" s="1"/>
  <c r="T18"/>
  <c r="T9" s="1"/>
  <c r="U18"/>
  <c r="W18"/>
  <c r="Y18" s="1"/>
  <c r="Z18"/>
  <c r="Z9"/>
  <c r="AC18"/>
  <c r="AC9" s="1"/>
  <c r="AF18"/>
  <c r="AF9" s="1"/>
  <c r="AG18"/>
  <c r="AI18"/>
  <c r="AI9" s="1"/>
  <c r="AK18"/>
  <c r="AT18"/>
  <c r="B20"/>
  <c r="C20" s="1"/>
  <c r="E20"/>
  <c r="F20"/>
  <c r="H20"/>
  <c r="K20"/>
  <c r="N20"/>
  <c r="Q20"/>
  <c r="W20"/>
  <c r="Y20" s="1"/>
  <c r="AC20"/>
  <c r="AD20"/>
  <c r="AF20"/>
  <c r="AG20" s="1"/>
  <c r="AI20"/>
  <c r="AK20"/>
  <c r="AT20"/>
  <c r="AT19"/>
  <c r="B21"/>
  <c r="C21" s="1"/>
  <c r="E21"/>
  <c r="F21" s="1"/>
  <c r="G21"/>
  <c r="H21"/>
  <c r="K21"/>
  <c r="N21"/>
  <c r="Q21"/>
  <c r="T21"/>
  <c r="U21" s="1"/>
  <c r="W21"/>
  <c r="Z21"/>
  <c r="AC21"/>
  <c r="AE21" s="1"/>
  <c r="AF21"/>
  <c r="AG21" s="1"/>
  <c r="AI21"/>
  <c r="AJ21" s="1"/>
  <c r="AK21"/>
  <c r="AT21"/>
  <c r="B22"/>
  <c r="C22" s="1"/>
  <c r="E22"/>
  <c r="G22" s="1"/>
  <c r="F22"/>
  <c r="H22"/>
  <c r="K22"/>
  <c r="N22"/>
  <c r="Q22"/>
  <c r="T22"/>
  <c r="U22"/>
  <c r="W22"/>
  <c r="Y22" s="1"/>
  <c r="Z22"/>
  <c r="AC22"/>
  <c r="AE22" s="1"/>
  <c r="AD22"/>
  <c r="AF22"/>
  <c r="AG22"/>
  <c r="AI22"/>
  <c r="AK22" s="1"/>
  <c r="AT22"/>
  <c r="B23"/>
  <c r="C23" s="1"/>
  <c r="E23"/>
  <c r="G23" s="1"/>
  <c r="H23"/>
  <c r="K23"/>
  <c r="N23"/>
  <c r="Q23"/>
  <c r="T23"/>
  <c r="W23"/>
  <c r="Y23" s="1"/>
  <c r="Z23"/>
  <c r="AC23"/>
  <c r="AF23"/>
  <c r="AG23" s="1"/>
  <c r="AI23"/>
  <c r="AJ23" s="1"/>
  <c r="AK23"/>
  <c r="B24"/>
  <c r="C24" s="1"/>
  <c r="E24"/>
  <c r="F24" s="1"/>
  <c r="G24"/>
  <c r="H24"/>
  <c r="K24"/>
  <c r="N24"/>
  <c r="Q24"/>
  <c r="T24"/>
  <c r="W24"/>
  <c r="Y24" s="1"/>
  <c r="Z24"/>
  <c r="AC24"/>
  <c r="AE24" s="1"/>
  <c r="AF24"/>
  <c r="AI24"/>
  <c r="AK24" s="1"/>
  <c r="AT24"/>
  <c r="AT23"/>
  <c r="B25"/>
  <c r="C25" s="1"/>
  <c r="E25"/>
  <c r="F25"/>
  <c r="H25"/>
  <c r="K25"/>
  <c r="N25"/>
  <c r="Q25"/>
  <c r="T25"/>
  <c r="U25" s="1"/>
  <c r="W25"/>
  <c r="Z25"/>
  <c r="AC25"/>
  <c r="AE25" s="1"/>
  <c r="AF25"/>
  <c r="AG25"/>
  <c r="AI25"/>
  <c r="AK25" s="1"/>
  <c r="AT25"/>
  <c r="B26"/>
  <c r="C26" s="1"/>
  <c r="E26"/>
  <c r="G26" s="1"/>
  <c r="H26"/>
  <c r="K26"/>
  <c r="N26"/>
  <c r="Q26"/>
  <c r="T26"/>
  <c r="W26"/>
  <c r="Y26" s="1"/>
  <c r="Z26"/>
  <c r="AC26"/>
  <c r="AD26"/>
  <c r="AF26"/>
  <c r="AG26" s="1"/>
  <c r="AI26"/>
  <c r="AJ26" s="1"/>
  <c r="AK26"/>
  <c r="AT26"/>
  <c r="B27"/>
  <c r="C27" s="1"/>
  <c r="E27"/>
  <c r="G27" s="1"/>
  <c r="K27"/>
  <c r="Q27"/>
  <c r="W27"/>
  <c r="AC27"/>
  <c r="AD27" s="1"/>
  <c r="AI27"/>
  <c r="AK27" s="1"/>
  <c r="AT27"/>
  <c r="B28"/>
  <c r="C28"/>
  <c r="E28"/>
  <c r="G28"/>
  <c r="H28"/>
  <c r="K28"/>
  <c r="N28"/>
  <c r="Q28"/>
  <c r="T28"/>
  <c r="U28"/>
  <c r="W28"/>
  <c r="Z28"/>
  <c r="AA28" s="1"/>
  <c r="AC28"/>
  <c r="AD28" s="1"/>
  <c r="AF28"/>
  <c r="AG28"/>
  <c r="AI28"/>
  <c r="AK28" s="1"/>
  <c r="AT28"/>
  <c r="B29"/>
  <c r="C29" s="1"/>
  <c r="E29"/>
  <c r="G29" s="1"/>
  <c r="H29"/>
  <c r="K29"/>
  <c r="N29"/>
  <c r="Q29"/>
  <c r="T29"/>
  <c r="U29" s="1"/>
  <c r="W29"/>
  <c r="Z29"/>
  <c r="AA29" s="1"/>
  <c r="AC29"/>
  <c r="AD29" s="1"/>
  <c r="AF29"/>
  <c r="AG29" s="1"/>
  <c r="AI29"/>
  <c r="AT29"/>
  <c r="B30"/>
  <c r="C30" s="1"/>
  <c r="E30"/>
  <c r="F30"/>
  <c r="H30"/>
  <c r="K30"/>
  <c r="N30"/>
  <c r="Q30"/>
  <c r="T30"/>
  <c r="U30" s="1"/>
  <c r="W30"/>
  <c r="Y30" s="1"/>
  <c r="Z30"/>
  <c r="AA30" s="1"/>
  <c r="AC30"/>
  <c r="AD30"/>
  <c r="AF30"/>
  <c r="AG30" s="1"/>
  <c r="AI30"/>
  <c r="AK30" s="1"/>
  <c r="AT30"/>
  <c r="B31"/>
  <c r="C31"/>
  <c r="E31"/>
  <c r="F31"/>
  <c r="H31"/>
  <c r="K31"/>
  <c r="N31"/>
  <c r="Q31"/>
  <c r="T31"/>
  <c r="U31"/>
  <c r="W31"/>
  <c r="Y31"/>
  <c r="Z31"/>
  <c r="AA31"/>
  <c r="AC31"/>
  <c r="AD31"/>
  <c r="AF31"/>
  <c r="AG31"/>
  <c r="AI31"/>
  <c r="AK31" s="1"/>
  <c r="AJ31"/>
  <c r="AT31"/>
  <c r="B32"/>
  <c r="C32" s="1"/>
  <c r="E32"/>
  <c r="F32" s="1"/>
  <c r="H32"/>
  <c r="K32"/>
  <c r="N32"/>
  <c r="Q32"/>
  <c r="T32"/>
  <c r="U32" s="1"/>
  <c r="W32"/>
  <c r="Y32" s="1"/>
  <c r="Z32"/>
  <c r="AC32"/>
  <c r="AE32" s="1"/>
  <c r="AF32"/>
  <c r="AG32" s="1"/>
  <c r="AI32"/>
  <c r="AJ32" s="1"/>
  <c r="AK32"/>
  <c r="AT32"/>
  <c r="B33"/>
  <c r="C33" s="1"/>
  <c r="E33"/>
  <c r="G33" s="1"/>
  <c r="H33"/>
  <c r="K33"/>
  <c r="N33"/>
  <c r="Q33"/>
  <c r="T33"/>
  <c r="U33" s="1"/>
  <c r="W33"/>
  <c r="Z33"/>
  <c r="AC33"/>
  <c r="AD33" s="1"/>
  <c r="AE33"/>
  <c r="AF33"/>
  <c r="AG33" s="1"/>
  <c r="AI33"/>
  <c r="AJ33" s="1"/>
  <c r="AK33"/>
  <c r="AT33"/>
  <c r="B34"/>
  <c r="C34" s="1"/>
  <c r="E34"/>
  <c r="G34" s="1"/>
  <c r="H34"/>
  <c r="K34"/>
  <c r="N34"/>
  <c r="Q34"/>
  <c r="T34"/>
  <c r="U34"/>
  <c r="W34"/>
  <c r="Y34"/>
  <c r="Z34"/>
  <c r="AC34"/>
  <c r="AF34"/>
  <c r="AG34"/>
  <c r="AI34"/>
  <c r="AK34" s="1"/>
  <c r="AJ34"/>
  <c r="AT34"/>
  <c r="B36"/>
  <c r="C36" s="1"/>
  <c r="E36"/>
  <c r="F36" s="1"/>
  <c r="G36"/>
  <c r="H36"/>
  <c r="K36"/>
  <c r="N36"/>
  <c r="Q36"/>
  <c r="T36"/>
  <c r="U36" s="1"/>
  <c r="W36"/>
  <c r="Y36" s="1"/>
  <c r="Z36"/>
  <c r="AA36" s="1"/>
  <c r="AC36"/>
  <c r="AE36"/>
  <c r="AF36"/>
  <c r="AG36" s="1"/>
  <c r="AI36"/>
  <c r="AK36" s="1"/>
  <c r="B37"/>
  <c r="C37"/>
  <c r="E37"/>
  <c r="G37" s="1"/>
  <c r="F37"/>
  <c r="K37"/>
  <c r="Q37"/>
  <c r="W37"/>
  <c r="Y37" s="1"/>
  <c r="AC37"/>
  <c r="AE37" s="1"/>
  <c r="AI37"/>
  <c r="AJ37" s="1"/>
  <c r="AT37"/>
  <c r="AT36"/>
  <c r="B38"/>
  <c r="C38" s="1"/>
  <c r="E38"/>
  <c r="F38" s="1"/>
  <c r="K38"/>
  <c r="Q38"/>
  <c r="W38"/>
  <c r="Y38" s="1"/>
  <c r="AC38"/>
  <c r="AE38" s="1"/>
  <c r="AI38"/>
  <c r="AJ38"/>
  <c r="AK38"/>
  <c r="AT38"/>
  <c r="B39"/>
  <c r="C39"/>
  <c r="E39"/>
  <c r="G39" s="1"/>
  <c r="K39"/>
  <c r="Q39"/>
  <c r="W39"/>
  <c r="Y39" s="1"/>
  <c r="AC39"/>
  <c r="AD39" s="1"/>
  <c r="AI39"/>
  <c r="AK39" s="1"/>
  <c r="AT39"/>
  <c r="B40"/>
  <c r="C40" s="1"/>
  <c r="E40"/>
  <c r="F40" s="1"/>
  <c r="H40"/>
  <c r="K40"/>
  <c r="N40"/>
  <c r="Q40"/>
  <c r="T40"/>
  <c r="U40" s="1"/>
  <c r="W40"/>
  <c r="Z40"/>
  <c r="AA40" s="1"/>
  <c r="AC40"/>
  <c r="AD40" s="1"/>
  <c r="AF40"/>
  <c r="AG40" s="1"/>
  <c r="AI40"/>
  <c r="AK40"/>
  <c r="AT40"/>
  <c r="B41"/>
  <c r="C41"/>
  <c r="E41"/>
  <c r="G41"/>
  <c r="H41"/>
  <c r="K41"/>
  <c r="N41"/>
  <c r="Q41"/>
  <c r="T41"/>
  <c r="U41"/>
  <c r="W41"/>
  <c r="Y41"/>
  <c r="Z41"/>
  <c r="AA41"/>
  <c r="AC41"/>
  <c r="AD41"/>
  <c r="AF41"/>
  <c r="AG41"/>
  <c r="AI41"/>
  <c r="AK41"/>
  <c r="B42"/>
  <c r="C42"/>
  <c r="E42"/>
  <c r="F42"/>
  <c r="H42"/>
  <c r="K42"/>
  <c r="N42"/>
  <c r="Q42"/>
  <c r="T42"/>
  <c r="U42"/>
  <c r="W42"/>
  <c r="Y42"/>
  <c r="Z42"/>
  <c r="AC42"/>
  <c r="AD42"/>
  <c r="AF42"/>
  <c r="AG42"/>
  <c r="AI42"/>
  <c r="AJ42"/>
  <c r="AK42"/>
  <c r="AT42"/>
  <c r="AT41"/>
  <c r="B43"/>
  <c r="C43"/>
  <c r="E43"/>
  <c r="F43"/>
  <c r="H43"/>
  <c r="K43"/>
  <c r="N43"/>
  <c r="Q43"/>
  <c r="T43"/>
  <c r="U43"/>
  <c r="W43"/>
  <c r="Y43"/>
  <c r="Z43"/>
  <c r="AA43"/>
  <c r="AC43"/>
  <c r="AE43"/>
  <c r="AF43"/>
  <c r="AG43"/>
  <c r="AI43"/>
  <c r="AJ43"/>
  <c r="AK43"/>
  <c r="AT43"/>
  <c r="B44"/>
  <c r="C44"/>
  <c r="E44"/>
  <c r="F44"/>
  <c r="G44"/>
  <c r="H44"/>
  <c r="K44"/>
  <c r="N44"/>
  <c r="Q44"/>
  <c r="T44"/>
  <c r="U44"/>
  <c r="W44"/>
  <c r="Y44"/>
  <c r="Z44"/>
  <c r="AC44"/>
  <c r="AD44"/>
  <c r="AE44"/>
  <c r="AF44"/>
  <c r="AG44"/>
  <c r="AI44"/>
  <c r="AJ44"/>
  <c r="AK44"/>
  <c r="B45"/>
  <c r="C45"/>
  <c r="E45"/>
  <c r="F45"/>
  <c r="G45"/>
  <c r="H45"/>
  <c r="J45" s="1"/>
  <c r="K45"/>
  <c r="N45"/>
  <c r="Q45"/>
  <c r="T45"/>
  <c r="U45" s="1"/>
  <c r="W45"/>
  <c r="Y45"/>
  <c r="Z45"/>
  <c r="AA45" s="1"/>
  <c r="AC45"/>
  <c r="AD45" s="1"/>
  <c r="AF45"/>
  <c r="AG45" s="1"/>
  <c r="AI45"/>
  <c r="AK45" s="1"/>
  <c r="AJ45"/>
  <c r="AT45"/>
  <c r="AT44"/>
  <c r="B46"/>
  <c r="C46" s="1"/>
  <c r="E46"/>
  <c r="F46" s="1"/>
  <c r="G46"/>
  <c r="H46"/>
  <c r="K46"/>
  <c r="N46"/>
  <c r="Q46"/>
  <c r="T46"/>
  <c r="U46" s="1"/>
  <c r="W46"/>
  <c r="Z46"/>
  <c r="AA46"/>
  <c r="AC46"/>
  <c r="AD46"/>
  <c r="AF46"/>
  <c r="AH46" s="1"/>
  <c r="AG46"/>
  <c r="AI46"/>
  <c r="AK46"/>
  <c r="AT46"/>
  <c r="B47"/>
  <c r="C47" s="1"/>
  <c r="E47"/>
  <c r="F47"/>
  <c r="H47"/>
  <c r="K47"/>
  <c r="N47"/>
  <c r="Q47"/>
  <c r="T47"/>
  <c r="U47" s="1"/>
  <c r="W47"/>
  <c r="Y47" s="1"/>
  <c r="Z47"/>
  <c r="AA47" s="1"/>
  <c r="AC47"/>
  <c r="AD47"/>
  <c r="AF47"/>
  <c r="AH47" s="1"/>
  <c r="AI47"/>
  <c r="AJ47" s="1"/>
  <c r="AK47"/>
  <c r="AT47"/>
  <c r="B48"/>
  <c r="C48" s="1"/>
  <c r="E48"/>
  <c r="G48" s="1"/>
  <c r="H48"/>
  <c r="K48"/>
  <c r="N48"/>
  <c r="Q48"/>
  <c r="T48"/>
  <c r="U48"/>
  <c r="W48"/>
  <c r="Y48" s="1"/>
  <c r="Z48"/>
  <c r="AC48"/>
  <c r="AD48" s="1"/>
  <c r="AF48"/>
  <c r="AG48" s="1"/>
  <c r="AI48"/>
  <c r="AJ48"/>
  <c r="AK48"/>
  <c r="AT48"/>
  <c r="AT49"/>
  <c r="C5" i="19"/>
  <c r="E5"/>
  <c r="F5"/>
  <c r="C6"/>
  <c r="E6"/>
  <c r="F6"/>
  <c r="H6"/>
  <c r="C7"/>
  <c r="E7"/>
  <c r="F7"/>
  <c r="H7"/>
  <c r="C8"/>
  <c r="E8"/>
  <c r="F8"/>
  <c r="H8"/>
  <c r="C9"/>
  <c r="E9"/>
  <c r="F9"/>
  <c r="H9"/>
  <c r="C10"/>
  <c r="E10"/>
  <c r="F10"/>
  <c r="H10"/>
  <c r="C11"/>
  <c r="E11"/>
  <c r="F11"/>
  <c r="H11"/>
  <c r="C12"/>
  <c r="E12"/>
  <c r="F12"/>
  <c r="H12"/>
  <c r="B13"/>
  <c r="C13"/>
  <c r="D13"/>
  <c r="E13"/>
  <c r="J13"/>
  <c r="C19"/>
  <c r="C27"/>
  <c r="E19"/>
  <c r="C20"/>
  <c r="F20"/>
  <c r="H20"/>
  <c r="E20"/>
  <c r="C21"/>
  <c r="E21"/>
  <c r="F21"/>
  <c r="H21"/>
  <c r="C22"/>
  <c r="E22"/>
  <c r="F22"/>
  <c r="H22"/>
  <c r="C23"/>
  <c r="E23"/>
  <c r="F23"/>
  <c r="H23"/>
  <c r="C24"/>
  <c r="E24"/>
  <c r="F24"/>
  <c r="H24"/>
  <c r="C25"/>
  <c r="E25"/>
  <c r="F25"/>
  <c r="H25"/>
  <c r="C26"/>
  <c r="E26"/>
  <c r="F26"/>
  <c r="H26"/>
  <c r="B27"/>
  <c r="D27"/>
  <c r="E27"/>
  <c r="J27"/>
  <c r="B33"/>
  <c r="C33"/>
  <c r="F33"/>
  <c r="D33"/>
  <c r="E33"/>
  <c r="B34"/>
  <c r="C34"/>
  <c r="F34"/>
  <c r="H34"/>
  <c r="D34"/>
  <c r="E34"/>
  <c r="B35"/>
  <c r="C35"/>
  <c r="F35"/>
  <c r="H35"/>
  <c r="D35"/>
  <c r="E35"/>
  <c r="C36"/>
  <c r="E36"/>
  <c r="F36"/>
  <c r="H36"/>
  <c r="B37"/>
  <c r="C37"/>
  <c r="F37"/>
  <c r="H37"/>
  <c r="E37"/>
  <c r="C38"/>
  <c r="F38"/>
  <c r="H38"/>
  <c r="D38"/>
  <c r="E38"/>
  <c r="B39"/>
  <c r="C39"/>
  <c r="F39"/>
  <c r="H39"/>
  <c r="D39"/>
  <c r="E39"/>
  <c r="C40"/>
  <c r="E40"/>
  <c r="F40"/>
  <c r="H40"/>
  <c r="B41"/>
  <c r="C41"/>
  <c r="D41"/>
  <c r="E41"/>
  <c r="J41"/>
  <c r="BU9" i="21"/>
  <c r="BU15" s="1"/>
  <c r="BQ9"/>
  <c r="BQ15" s="1"/>
  <c r="BQ17" s="1"/>
  <c r="BQ21" s="1"/>
  <c r="BQ26" s="1"/>
  <c r="BJ9"/>
  <c r="BJ15" s="1"/>
  <c r="BG9"/>
  <c r="BG15" s="1"/>
  <c r="BG17" s="1"/>
  <c r="BG21" s="1"/>
  <c r="BG26" s="1"/>
  <c r="BG31" s="1"/>
  <c r="BC9"/>
  <c r="BC15" s="1"/>
  <c r="AX9"/>
  <c r="AX15" s="1"/>
  <c r="AX17" s="1"/>
  <c r="AX21" s="1"/>
  <c r="AX26" s="1"/>
  <c r="AV9"/>
  <c r="AV15" s="1"/>
  <c r="AV17" s="1"/>
  <c r="AV21" s="1"/>
  <c r="AV26" s="1"/>
  <c r="AV31" s="1"/>
  <c r="AO9"/>
  <c r="AO15" s="1"/>
  <c r="AO17" s="1"/>
  <c r="AO21" s="1"/>
  <c r="AO26" s="1"/>
  <c r="AH9"/>
  <c r="AH15" s="1"/>
  <c r="AH17" s="1"/>
  <c r="AH21" s="1"/>
  <c r="AH26" s="1"/>
  <c r="AH31" s="1"/>
  <c r="AA9"/>
  <c r="AA15" s="1"/>
  <c r="T9"/>
  <c r="T15" s="1"/>
  <c r="T17" s="1"/>
  <c r="T21" s="1"/>
  <c r="T26" s="1"/>
  <c r="T31" s="1"/>
  <c r="O9"/>
  <c r="O15" s="1"/>
  <c r="M9"/>
  <c r="M15" s="1"/>
  <c r="M17" s="1"/>
  <c r="M21" s="1"/>
  <c r="M26" s="1"/>
  <c r="J9"/>
  <c r="J15" s="1"/>
  <c r="J17" s="1"/>
  <c r="J21" s="1"/>
  <c r="J26" s="1"/>
  <c r="J31" s="1"/>
  <c r="F9"/>
  <c r="F15" s="1"/>
  <c r="BT9"/>
  <c r="BT15" s="1"/>
  <c r="BT17" s="1"/>
  <c r="BT21" s="1"/>
  <c r="BT26" s="1"/>
  <c r="BT31" s="1"/>
  <c r="BR9"/>
  <c r="BR15" s="1"/>
  <c r="BR17" s="1"/>
  <c r="BR21" s="1"/>
  <c r="BR26" s="1"/>
  <c r="BR31" s="1"/>
  <c r="BP9"/>
  <c r="BP15" s="1"/>
  <c r="BP17" s="1"/>
  <c r="BP21" s="1"/>
  <c r="BP26" s="1"/>
  <c r="BP31" s="1"/>
  <c r="BM9"/>
  <c r="BM15" s="1"/>
  <c r="BM17" s="1"/>
  <c r="BM21" s="1"/>
  <c r="BM26" s="1"/>
  <c r="BM31" s="1"/>
  <c r="BK9"/>
  <c r="BK15" s="1"/>
  <c r="BK17" s="1"/>
  <c r="BK21" s="1"/>
  <c r="BK26" s="1"/>
  <c r="BK31" s="1"/>
  <c r="BI9"/>
  <c r="BI15" s="1"/>
  <c r="BI17" s="1"/>
  <c r="BI21" s="1"/>
  <c r="BI26" s="1"/>
  <c r="BI31" s="1"/>
  <c r="BF9"/>
  <c r="BF15" s="1"/>
  <c r="BF17" s="1"/>
  <c r="BF21" s="1"/>
  <c r="BF26" s="1"/>
  <c r="BF31" s="1"/>
  <c r="BD9"/>
  <c r="BD15" s="1"/>
  <c r="BD17" s="1"/>
  <c r="BD21" s="1"/>
  <c r="BD26" s="1"/>
  <c r="BD31" s="1"/>
  <c r="BB9"/>
  <c r="BB15" s="1"/>
  <c r="BB17" s="1"/>
  <c r="BB21" s="1"/>
  <c r="BB26" s="1"/>
  <c r="BB31" s="1"/>
  <c r="AY9"/>
  <c r="AY15" s="1"/>
  <c r="AY17" s="1"/>
  <c r="AY21" s="1"/>
  <c r="AY26" s="1"/>
  <c r="AY31" s="1"/>
  <c r="AW9"/>
  <c r="AW15" s="1"/>
  <c r="AW17" s="1"/>
  <c r="AW21" s="1"/>
  <c r="AW26" s="1"/>
  <c r="AW31" s="1"/>
  <c r="AU9"/>
  <c r="AU15" s="1"/>
  <c r="AU17" s="1"/>
  <c r="AU21" s="1"/>
  <c r="AU26" s="1"/>
  <c r="AU31" s="1"/>
  <c r="AR9"/>
  <c r="AR15" s="1"/>
  <c r="AR17" s="1"/>
  <c r="AR21" s="1"/>
  <c r="AR26" s="1"/>
  <c r="AR31" s="1"/>
  <c r="AP9"/>
  <c r="AP15" s="1"/>
  <c r="AP17" s="1"/>
  <c r="AP21" s="1"/>
  <c r="AP26" s="1"/>
  <c r="AP31" s="1"/>
  <c r="AN9"/>
  <c r="AN15" s="1"/>
  <c r="AN17" s="1"/>
  <c r="AN21" s="1"/>
  <c r="AN26" s="1"/>
  <c r="AN31" s="1"/>
  <c r="AK9"/>
  <c r="AK15" s="1"/>
  <c r="AK17" s="1"/>
  <c r="AK21" s="1"/>
  <c r="AK26" s="1"/>
  <c r="AK31" s="1"/>
  <c r="AI9"/>
  <c r="AI15" s="1"/>
  <c r="AI17" s="1"/>
  <c r="AI21" s="1"/>
  <c r="AI26" s="1"/>
  <c r="AI31" s="1"/>
  <c r="AG9"/>
  <c r="AG15" s="1"/>
  <c r="AG17" s="1"/>
  <c r="AG21" s="1"/>
  <c r="AG26" s="1"/>
  <c r="AG31" s="1"/>
  <c r="AD9"/>
  <c r="AD15" s="1"/>
  <c r="AD17" s="1"/>
  <c r="AD21" s="1"/>
  <c r="AD26" s="1"/>
  <c r="AD31" s="1"/>
  <c r="AB9"/>
  <c r="AB15" s="1"/>
  <c r="AB17" s="1"/>
  <c r="AB21" s="1"/>
  <c r="AB26" s="1"/>
  <c r="AB31" s="1"/>
  <c r="Z9"/>
  <c r="Z15" s="1"/>
  <c r="Z17" s="1"/>
  <c r="Z21" s="1"/>
  <c r="Z26" s="1"/>
  <c r="Z31" s="1"/>
  <c r="W9"/>
  <c r="W15" s="1"/>
  <c r="W17" s="1"/>
  <c r="W21" s="1"/>
  <c r="W26" s="1"/>
  <c r="W31" s="1"/>
  <c r="U9"/>
  <c r="U15" s="1"/>
  <c r="U17" s="1"/>
  <c r="U21" s="1"/>
  <c r="U26" s="1"/>
  <c r="U31" s="1"/>
  <c r="S9"/>
  <c r="S15" s="1"/>
  <c r="S17" s="1"/>
  <c r="S21" s="1"/>
  <c r="S26" s="1"/>
  <c r="S31" s="1"/>
  <c r="P9"/>
  <c r="P15" s="1"/>
  <c r="P17" s="1"/>
  <c r="P21" s="1"/>
  <c r="P26" s="1"/>
  <c r="P31" s="1"/>
  <c r="N9"/>
  <c r="N15" s="1"/>
  <c r="N17" s="1"/>
  <c r="N21" s="1"/>
  <c r="N26" s="1"/>
  <c r="N31" s="1"/>
  <c r="L9"/>
  <c r="L15" s="1"/>
  <c r="L17" s="1"/>
  <c r="L21" s="1"/>
  <c r="L26" s="1"/>
  <c r="L31" s="1"/>
  <c r="I9"/>
  <c r="I15" s="1"/>
  <c r="I17" s="1"/>
  <c r="I21" s="1"/>
  <c r="I26" s="1"/>
  <c r="I31" s="1"/>
  <c r="G9"/>
  <c r="G15" s="1"/>
  <c r="G17" s="1"/>
  <c r="G21" s="1"/>
  <c r="G26" s="1"/>
  <c r="G31" s="1"/>
  <c r="E9"/>
  <c r="E15" s="1"/>
  <c r="E17" s="1"/>
  <c r="E21" s="1"/>
  <c r="E26" s="1"/>
  <c r="E31" s="1"/>
  <c r="AM72" i="4"/>
  <c r="BR72"/>
  <c r="BS72"/>
  <c r="AO65"/>
  <c r="W6" i="1"/>
  <c r="Y6" s="1"/>
  <c r="T20"/>
  <c r="U20" s="1"/>
  <c r="AH86" i="4"/>
  <c r="AE65"/>
  <c r="X153"/>
  <c r="G32" i="1"/>
  <c r="G18"/>
  <c r="I76" i="4"/>
  <c r="I75" s="1"/>
  <c r="K65"/>
  <c r="AW85"/>
  <c r="AW84" s="1"/>
  <c r="H33" i="19"/>
  <c r="H41"/>
  <c r="F41"/>
  <c r="AJ8" i="1"/>
  <c r="AK8"/>
  <c r="AA8"/>
  <c r="F13" i="19"/>
  <c r="H5"/>
  <c r="H13"/>
  <c r="G9" i="1"/>
  <c r="F9"/>
  <c r="U8"/>
  <c r="AT35"/>
  <c r="AT15"/>
  <c r="AT10"/>
  <c r="Q46" i="9"/>
  <c r="Y47"/>
  <c r="F34"/>
  <c r="F44"/>
  <c r="Y30"/>
  <c r="N30"/>
  <c r="AA30"/>
  <c r="Q46" i="10"/>
  <c r="Y47"/>
  <c r="Q34"/>
  <c r="Y34"/>
  <c r="Y35"/>
  <c r="G30"/>
  <c r="N30"/>
  <c r="Q54" i="8"/>
  <c r="Y54"/>
  <c r="Y56"/>
  <c r="F54"/>
  <c r="N56"/>
  <c r="G56"/>
  <c r="Q46"/>
  <c r="Y47"/>
  <c r="H35"/>
  <c r="H34"/>
  <c r="Q46" i="7"/>
  <c r="Y47"/>
  <c r="G35"/>
  <c r="F34"/>
  <c r="Y30"/>
  <c r="M30"/>
  <c r="G30"/>
  <c r="N30"/>
  <c r="F44"/>
  <c r="H35"/>
  <c r="H34"/>
  <c r="G66" i="11"/>
  <c r="Q46"/>
  <c r="Y47"/>
  <c r="Y30"/>
  <c r="G2" i="20"/>
  <c r="F9"/>
  <c r="F12"/>
  <c r="F15"/>
  <c r="F19" i="19"/>
  <c r="G47" i="1"/>
  <c r="Y46"/>
  <c r="G43"/>
  <c r="AE42"/>
  <c r="G42"/>
  <c r="Y40"/>
  <c r="G40"/>
  <c r="AE39"/>
  <c r="G38"/>
  <c r="AK37"/>
  <c r="Y33"/>
  <c r="G31"/>
  <c r="G30"/>
  <c r="Y29"/>
  <c r="Y28"/>
  <c r="Y27"/>
  <c r="AE26"/>
  <c r="Y25"/>
  <c r="G25"/>
  <c r="Y21"/>
  <c r="G20"/>
  <c r="AE18"/>
  <c r="AK17"/>
  <c r="AE16"/>
  <c r="Y12"/>
  <c r="AC8"/>
  <c r="AC7" s="1"/>
  <c r="K8"/>
  <c r="B8"/>
  <c r="C8" s="1"/>
  <c r="AL48"/>
  <c r="J48"/>
  <c r="F48"/>
  <c r="J47"/>
  <c r="AL46"/>
  <c r="AJ46"/>
  <c r="J46"/>
  <c r="AL45"/>
  <c r="AL44"/>
  <c r="AH44"/>
  <c r="J44"/>
  <c r="AL43"/>
  <c r="AH43"/>
  <c r="AD43"/>
  <c r="J43"/>
  <c r="AL42"/>
  <c r="AH42"/>
  <c r="J42"/>
  <c r="AL41"/>
  <c r="AJ41"/>
  <c r="AH41"/>
  <c r="J41"/>
  <c r="F41"/>
  <c r="AL40"/>
  <c r="AJ40"/>
  <c r="AH40"/>
  <c r="J40"/>
  <c r="AF39"/>
  <c r="Z39"/>
  <c r="T39"/>
  <c r="N39"/>
  <c r="H39"/>
  <c r="AF38"/>
  <c r="AD38"/>
  <c r="Z38"/>
  <c r="T38"/>
  <c r="N38"/>
  <c r="H38"/>
  <c r="AF37"/>
  <c r="AD37"/>
  <c r="Z37"/>
  <c r="T37"/>
  <c r="N37"/>
  <c r="H37"/>
  <c r="AL36"/>
  <c r="AH36"/>
  <c r="AD36"/>
  <c r="J36"/>
  <c r="AL34"/>
  <c r="AH34"/>
  <c r="AD34"/>
  <c r="J34"/>
  <c r="AL33"/>
  <c r="AH33"/>
  <c r="J33"/>
  <c r="F33"/>
  <c r="AL32"/>
  <c r="AH32"/>
  <c r="J32"/>
  <c r="AL31"/>
  <c r="AH31"/>
  <c r="J31"/>
  <c r="AL30"/>
  <c r="AJ30"/>
  <c r="AH30"/>
  <c r="J30"/>
  <c r="AL29"/>
  <c r="AJ29"/>
  <c r="AH29"/>
  <c r="J29"/>
  <c r="F29"/>
  <c r="AL28"/>
  <c r="AH28"/>
  <c r="J28"/>
  <c r="F28"/>
  <c r="AF27"/>
  <c r="Z27"/>
  <c r="T27"/>
  <c r="N27"/>
  <c r="H27"/>
  <c r="F27"/>
  <c r="AL26"/>
  <c r="AH26"/>
  <c r="J26"/>
  <c r="AL25"/>
  <c r="AH25"/>
  <c r="J25"/>
  <c r="AL24"/>
  <c r="AJ24"/>
  <c r="AH24"/>
  <c r="J24"/>
  <c r="AL23"/>
  <c r="AH23"/>
  <c r="AD23"/>
  <c r="J23"/>
  <c r="AL22"/>
  <c r="AH22"/>
  <c r="J22"/>
  <c r="AL21"/>
  <c r="AH21"/>
  <c r="J21"/>
  <c r="AJ20"/>
  <c r="AH20"/>
  <c r="J20"/>
  <c r="AL18"/>
  <c r="AJ18"/>
  <c r="AH18"/>
  <c r="AD18"/>
  <c r="J18"/>
  <c r="F18"/>
  <c r="C18"/>
  <c r="AL17"/>
  <c r="AJ17"/>
  <c r="AH17"/>
  <c r="J17"/>
  <c r="F17"/>
  <c r="AJ16"/>
  <c r="AH16"/>
  <c r="AD16"/>
  <c r="J16"/>
  <c r="F16"/>
  <c r="C16"/>
  <c r="AL14"/>
  <c r="AH14"/>
  <c r="J14"/>
  <c r="AH12"/>
  <c r="J12"/>
  <c r="B7"/>
  <c r="C7" s="1"/>
  <c r="AL6"/>
  <c r="J6"/>
  <c r="BL159" i="4"/>
  <c r="BS158"/>
  <c r="BL157"/>
  <c r="BL156"/>
  <c r="BL155"/>
  <c r="BL154"/>
  <c r="BK153"/>
  <c r="BL146"/>
  <c r="BL144"/>
  <c r="BI143"/>
  <c r="BD143"/>
  <c r="AY143"/>
  <c r="AM143"/>
  <c r="AH143"/>
  <c r="AC143"/>
  <c r="X143"/>
  <c r="S143"/>
  <c r="N143"/>
  <c r="I143"/>
  <c r="D143"/>
  <c r="BL142"/>
  <c r="BI140"/>
  <c r="BD140"/>
  <c r="AY140"/>
  <c r="AM140"/>
  <c r="AH140"/>
  <c r="AE140"/>
  <c r="AC140"/>
  <c r="X140"/>
  <c r="S140"/>
  <c r="N140"/>
  <c r="I140"/>
  <c r="D140"/>
  <c r="BI136"/>
  <c r="BD136"/>
  <c r="AY136"/>
  <c r="AM136"/>
  <c r="AM132" s="1"/>
  <c r="AH136"/>
  <c r="AC136"/>
  <c r="AC132"/>
  <c r="Z136"/>
  <c r="X136"/>
  <c r="X132" s="1"/>
  <c r="S136"/>
  <c r="S132" s="1"/>
  <c r="P136"/>
  <c r="N136"/>
  <c r="N132" s="1"/>
  <c r="I136"/>
  <c r="D136"/>
  <c r="D132" s="1"/>
  <c r="BI122"/>
  <c r="BD122"/>
  <c r="AY122"/>
  <c r="AM122"/>
  <c r="AH122"/>
  <c r="AC122"/>
  <c r="X122"/>
  <c r="S122"/>
  <c r="N122"/>
  <c r="I122"/>
  <c r="D122"/>
  <c r="BI117"/>
  <c r="BD117"/>
  <c r="AY117"/>
  <c r="AM117"/>
  <c r="AH117"/>
  <c r="AC117"/>
  <c r="X117"/>
  <c r="S117"/>
  <c r="N117"/>
  <c r="I117"/>
  <c r="D117"/>
  <c r="BI113"/>
  <c r="BD113"/>
  <c r="AY113"/>
  <c r="AM113"/>
  <c r="AH113"/>
  <c r="AC113"/>
  <c r="X113"/>
  <c r="S113"/>
  <c r="N113"/>
  <c r="I113"/>
  <c r="D113"/>
  <c r="M107"/>
  <c r="BH102"/>
  <c r="BC102"/>
  <c r="AX102"/>
  <c r="AS102"/>
  <c r="AN102"/>
  <c r="AI102"/>
  <c r="AD102"/>
  <c r="T102"/>
  <c r="O102"/>
  <c r="J102"/>
  <c r="BH101"/>
  <c r="AX101"/>
  <c r="AN101"/>
  <c r="AD101"/>
  <c r="T101"/>
  <c r="J101"/>
  <c r="BH100"/>
  <c r="AX100"/>
  <c r="AN100"/>
  <c r="AD100"/>
  <c r="T100"/>
  <c r="J100"/>
  <c r="BH99"/>
  <c r="AX99"/>
  <c r="AN99"/>
  <c r="AD99"/>
  <c r="T99"/>
  <c r="J99"/>
  <c r="BH98"/>
  <c r="BC98"/>
  <c r="AX98"/>
  <c r="AS98"/>
  <c r="AN98"/>
  <c r="AI98"/>
  <c r="AD98"/>
  <c r="T98"/>
  <c r="O98"/>
  <c r="J98"/>
  <c r="BH97"/>
  <c r="AX97"/>
  <c r="AN97"/>
  <c r="AD97"/>
  <c r="T97"/>
  <c r="J97"/>
  <c r="BH96"/>
  <c r="AX96"/>
  <c r="AN96"/>
  <c r="AD96"/>
  <c r="T96"/>
  <c r="J96"/>
  <c r="BH95"/>
  <c r="AX95"/>
  <c r="AN95"/>
  <c r="AD95"/>
  <c r="T95"/>
  <c r="J95"/>
  <c r="BH94"/>
  <c r="AX94"/>
  <c r="AN94"/>
  <c r="AD94"/>
  <c r="T94"/>
  <c r="J94"/>
  <c r="BH93"/>
  <c r="BH92" s="1"/>
  <c r="BH85" s="1"/>
  <c r="BH84" s="1"/>
  <c r="AX93"/>
  <c r="AX92"/>
  <c r="AN93"/>
  <c r="AN92" s="1"/>
  <c r="AD93"/>
  <c r="AD92"/>
  <c r="T93"/>
  <c r="T92" s="1"/>
  <c r="J93"/>
  <c r="J92"/>
  <c r="BH91"/>
  <c r="AX91"/>
  <c r="AN91"/>
  <c r="AD91"/>
  <c r="T91"/>
  <c r="J91"/>
  <c r="BH90"/>
  <c r="AX90"/>
  <c r="AN90"/>
  <c r="AD90"/>
  <c r="T90"/>
  <c r="J90"/>
  <c r="BH89"/>
  <c r="AX89"/>
  <c r="AN89"/>
  <c r="AD89"/>
  <c r="T89"/>
  <c r="J89"/>
  <c r="BH88"/>
  <c r="AX88"/>
  <c r="AN88"/>
  <c r="AD88"/>
  <c r="T88"/>
  <c r="J88"/>
  <c r="BH87"/>
  <c r="AX87"/>
  <c r="AN87"/>
  <c r="AD87"/>
  <c r="T87"/>
  <c r="J87"/>
  <c r="BH86"/>
  <c r="BC86"/>
  <c r="AX86"/>
  <c r="AX85"/>
  <c r="AN86"/>
  <c r="AI86"/>
  <c r="AD86"/>
  <c r="T86"/>
  <c r="O86"/>
  <c r="J86"/>
  <c r="BF85"/>
  <c r="BA85"/>
  <c r="AV85"/>
  <c r="AQ85"/>
  <c r="AL85"/>
  <c r="AG85"/>
  <c r="AB85"/>
  <c r="W85"/>
  <c r="R85"/>
  <c r="M85"/>
  <c r="H85"/>
  <c r="C85"/>
  <c r="BH83"/>
  <c r="AX83"/>
  <c r="AN83"/>
  <c r="AD83"/>
  <c r="T83"/>
  <c r="J83"/>
  <c r="BH82"/>
  <c r="AX82"/>
  <c r="AN82"/>
  <c r="AD82"/>
  <c r="T82"/>
  <c r="J82"/>
  <c r="BH81"/>
  <c r="AX81"/>
  <c r="AN81"/>
  <c r="AD81"/>
  <c r="T81"/>
  <c r="J81"/>
  <c r="BH80"/>
  <c r="BH79"/>
  <c r="AX80"/>
  <c r="AX79" s="1"/>
  <c r="AN80"/>
  <c r="AN79"/>
  <c r="AD80"/>
  <c r="AD79" s="1"/>
  <c r="T80"/>
  <c r="T79"/>
  <c r="J80"/>
  <c r="J79" s="1"/>
  <c r="BH78"/>
  <c r="BH76"/>
  <c r="BH75" s="1"/>
  <c r="AX78"/>
  <c r="AX76"/>
  <c r="AX75"/>
  <c r="AN78"/>
  <c r="AN76" s="1"/>
  <c r="AN75" s="1"/>
  <c r="AI78"/>
  <c r="AI76" s="1"/>
  <c r="AI75" s="1"/>
  <c r="AD78"/>
  <c r="AD76"/>
  <c r="AD75" s="1"/>
  <c r="O78"/>
  <c r="O76"/>
  <c r="O75"/>
  <c r="BC77"/>
  <c r="BC76" s="1"/>
  <c r="BC75" s="1"/>
  <c r="AM77"/>
  <c r="AM76" s="1"/>
  <c r="AM75" s="1"/>
  <c r="AH77"/>
  <c r="AH76" s="1"/>
  <c r="AH75" s="1"/>
  <c r="AC77"/>
  <c r="T77"/>
  <c r="T76"/>
  <c r="T75"/>
  <c r="J77"/>
  <c r="J76" s="1"/>
  <c r="J75" s="1"/>
  <c r="BF75"/>
  <c r="BA75"/>
  <c r="AV75"/>
  <c r="AQ75"/>
  <c r="W75"/>
  <c r="R75"/>
  <c r="M75"/>
  <c r="H75"/>
  <c r="C75"/>
  <c r="BH74"/>
  <c r="AX74"/>
  <c r="AN74"/>
  <c r="AD74"/>
  <c r="T74"/>
  <c r="J74"/>
  <c r="BH73"/>
  <c r="BH72"/>
  <c r="AX73"/>
  <c r="AX72" s="1"/>
  <c r="AN73"/>
  <c r="AN72"/>
  <c r="AD73"/>
  <c r="AD72" s="1"/>
  <c r="T73"/>
  <c r="T72"/>
  <c r="J73"/>
  <c r="J72" s="1"/>
  <c r="BH71"/>
  <c r="BH70"/>
  <c r="AX71"/>
  <c r="AX70" s="1"/>
  <c r="AN71"/>
  <c r="AN70"/>
  <c r="AD71"/>
  <c r="AD70" s="1"/>
  <c r="T71"/>
  <c r="T70"/>
  <c r="J71"/>
  <c r="J70" s="1"/>
  <c r="BH69"/>
  <c r="AX69"/>
  <c r="AN69"/>
  <c r="AD69"/>
  <c r="T69"/>
  <c r="J69"/>
  <c r="BH68"/>
  <c r="AX68"/>
  <c r="AN68"/>
  <c r="AD68"/>
  <c r="T68"/>
  <c r="J68"/>
  <c r="BH67"/>
  <c r="AX67"/>
  <c r="AN67"/>
  <c r="AD67"/>
  <c r="T67"/>
  <c r="J67"/>
  <c r="BH66"/>
  <c r="BH65" s="1"/>
  <c r="BH64" s="1"/>
  <c r="BH59" s="1"/>
  <c r="BH58" s="1"/>
  <c r="BH151" s="1"/>
  <c r="AX66"/>
  <c r="AX65"/>
  <c r="AX64" s="1"/>
  <c r="AN66"/>
  <c r="AN65"/>
  <c r="AN64" s="1"/>
  <c r="AD66"/>
  <c r="AD65" s="1"/>
  <c r="AD64" s="1"/>
  <c r="T66"/>
  <c r="T65" s="1"/>
  <c r="T64" s="1"/>
  <c r="J66"/>
  <c r="J65"/>
  <c r="J64"/>
  <c r="BF64"/>
  <c r="BA64"/>
  <c r="AV64"/>
  <c r="AV59" s="1"/>
  <c r="AQ64"/>
  <c r="AL64"/>
  <c r="AG64"/>
  <c r="AB64"/>
  <c r="W64"/>
  <c r="R64"/>
  <c r="M64"/>
  <c r="BR64" s="1"/>
  <c r="H64"/>
  <c r="BC63"/>
  <c r="AI63"/>
  <c r="AI60" s="1"/>
  <c r="AI59" s="1"/>
  <c r="O63"/>
  <c r="BC62"/>
  <c r="AI62"/>
  <c r="O62"/>
  <c r="BC61"/>
  <c r="BC60" s="1"/>
  <c r="BC59" s="1"/>
  <c r="AS61"/>
  <c r="AI61"/>
  <c r="O61"/>
  <c r="O60" s="1"/>
  <c r="BS36"/>
  <c r="BL36"/>
  <c r="BN36"/>
  <c r="AO36"/>
  <c r="AE36"/>
  <c r="U36"/>
  <c r="BK28"/>
  <c r="F28"/>
  <c r="AM27"/>
  <c r="AC27"/>
  <c r="X27"/>
  <c r="Z27" s="1"/>
  <c r="S27"/>
  <c r="N27"/>
  <c r="L54" i="9"/>
  <c r="U45"/>
  <c r="S45"/>
  <c r="U44"/>
  <c r="J44"/>
  <c r="N20"/>
  <c r="W54" i="10"/>
  <c r="L54"/>
  <c r="W45"/>
  <c r="U45"/>
  <c r="S45"/>
  <c r="L44"/>
  <c r="J44"/>
  <c r="H44"/>
  <c r="AA28"/>
  <c r="W45" i="8"/>
  <c r="U45"/>
  <c r="S45"/>
  <c r="Y20"/>
  <c r="N20"/>
  <c r="AA20"/>
  <c r="W45" i="7"/>
  <c r="U45"/>
  <c r="S45"/>
  <c r="W44"/>
  <c r="W63"/>
  <c r="U44"/>
  <c r="S44"/>
  <c r="S63"/>
  <c r="J44"/>
  <c r="J63"/>
  <c r="H44"/>
  <c r="H63"/>
  <c r="Y20"/>
  <c r="N20"/>
  <c r="AA20"/>
  <c r="W45" i="11"/>
  <c r="U45"/>
  <c r="S45"/>
  <c r="L45"/>
  <c r="J45"/>
  <c r="H45"/>
  <c r="W44"/>
  <c r="W63"/>
  <c r="U44"/>
  <c r="U63"/>
  <c r="S44"/>
  <c r="S63"/>
  <c r="AA27"/>
  <c r="P138" i="3"/>
  <c r="Q138"/>
  <c r="J72"/>
  <c r="H72"/>
  <c r="F72"/>
  <c r="D72"/>
  <c r="P60"/>
  <c r="Q60"/>
  <c r="O30"/>
  <c r="I31"/>
  <c r="G31"/>
  <c r="P17"/>
  <c r="O3"/>
  <c r="O168"/>
  <c r="M3"/>
  <c r="K3"/>
  <c r="I3"/>
  <c r="G3"/>
  <c r="E3"/>
  <c r="N3"/>
  <c r="J3"/>
  <c r="F3"/>
  <c r="Q54" i="9"/>
  <c r="Y56"/>
  <c r="F54"/>
  <c r="N54"/>
  <c r="N56"/>
  <c r="AA56"/>
  <c r="F46"/>
  <c r="N47"/>
  <c r="AA47"/>
  <c r="Q34"/>
  <c r="Q54" i="10"/>
  <c r="Y54"/>
  <c r="Y56"/>
  <c r="F54"/>
  <c r="N56"/>
  <c r="G56"/>
  <c r="G47"/>
  <c r="F46"/>
  <c r="N47"/>
  <c r="Y30"/>
  <c r="Q44"/>
  <c r="G47" i="8"/>
  <c r="F46"/>
  <c r="N47"/>
  <c r="Q34"/>
  <c r="Y34"/>
  <c r="Y35"/>
  <c r="G35"/>
  <c r="F34"/>
  <c r="Y30"/>
  <c r="Q44"/>
  <c r="G30"/>
  <c r="N30"/>
  <c r="F44"/>
  <c r="Q54" i="7"/>
  <c r="Y54"/>
  <c r="Y56"/>
  <c r="F54"/>
  <c r="N56"/>
  <c r="G56"/>
  <c r="M47"/>
  <c r="L46"/>
  <c r="G47"/>
  <c r="F46"/>
  <c r="N47"/>
  <c r="Q34"/>
  <c r="Y34"/>
  <c r="Y35"/>
  <c r="Q54" i="11"/>
  <c r="Y54"/>
  <c r="Y56"/>
  <c r="F54"/>
  <c r="N56"/>
  <c r="G56"/>
  <c r="Q34"/>
  <c r="Y34"/>
  <c r="Y35"/>
  <c r="D30" i="3"/>
  <c r="D4"/>
  <c r="P9"/>
  <c r="Y17" i="1"/>
  <c r="BF132" i="4"/>
  <c r="BA132"/>
  <c r="AV132"/>
  <c r="AY132" s="1"/>
  <c r="AQ132"/>
  <c r="AL132"/>
  <c r="AG132"/>
  <c r="AB132"/>
  <c r="AB84" s="1"/>
  <c r="W132"/>
  <c r="R132"/>
  <c r="K35" i="1" s="1"/>
  <c r="M132" i="4"/>
  <c r="H132"/>
  <c r="C132"/>
  <c r="BF59"/>
  <c r="BF58" s="1"/>
  <c r="BA59"/>
  <c r="AQ59"/>
  <c r="AL59"/>
  <c r="W11" i="1" s="1"/>
  <c r="AG59" i="4"/>
  <c r="AB59"/>
  <c r="W59"/>
  <c r="R59"/>
  <c r="K11" i="1" s="1"/>
  <c r="M59" i="4"/>
  <c r="H59"/>
  <c r="C59"/>
  <c r="AB55"/>
  <c r="W55"/>
  <c r="R55"/>
  <c r="M55"/>
  <c r="H55"/>
  <c r="C55"/>
  <c r="W27"/>
  <c r="C27"/>
  <c r="F999" i="18"/>
  <c r="G999"/>
  <c r="G663"/>
  <c r="F320"/>
  <c r="G320"/>
  <c r="F132"/>
  <c r="G132"/>
  <c r="W54" i="9"/>
  <c r="W45"/>
  <c r="L45"/>
  <c r="J45"/>
  <c r="H45"/>
  <c r="L45" i="10"/>
  <c r="J45"/>
  <c r="H45"/>
  <c r="W63"/>
  <c r="U63"/>
  <c r="S63"/>
  <c r="Y20"/>
  <c r="N20"/>
  <c r="L54" i="8"/>
  <c r="L45"/>
  <c r="J45"/>
  <c r="H45"/>
  <c r="W44"/>
  <c r="W63"/>
  <c r="U44"/>
  <c r="U63"/>
  <c r="S44"/>
  <c r="S63"/>
  <c r="L44"/>
  <c r="L63"/>
  <c r="J63"/>
  <c r="H44"/>
  <c r="H63"/>
  <c r="L63" i="11"/>
  <c r="J63"/>
  <c r="H63"/>
  <c r="P89" i="3"/>
  <c r="Q89"/>
  <c r="M72"/>
  <c r="M30"/>
  <c r="K72"/>
  <c r="K30"/>
  <c r="I72"/>
  <c r="G72"/>
  <c r="E72"/>
  <c r="E30"/>
  <c r="P53"/>
  <c r="Q53"/>
  <c r="N30"/>
  <c r="L30"/>
  <c r="J31"/>
  <c r="J30"/>
  <c r="H31"/>
  <c r="H30"/>
  <c r="F31"/>
  <c r="F30"/>
  <c r="L168"/>
  <c r="H168"/>
  <c r="F1001" i="18"/>
  <c r="G1001"/>
  <c r="G1000"/>
  <c r="F966"/>
  <c r="G966"/>
  <c r="G960"/>
  <c r="G896"/>
  <c r="G851"/>
  <c r="F847"/>
  <c r="G847"/>
  <c r="F791"/>
  <c r="G791"/>
  <c r="G783"/>
  <c r="F769"/>
  <c r="G769"/>
  <c r="F731"/>
  <c r="F690"/>
  <c r="G690"/>
  <c r="E663"/>
  <c r="F633"/>
  <c r="G633"/>
  <c r="G490"/>
  <c r="F454"/>
  <c r="G454"/>
  <c r="G451"/>
  <c r="F430"/>
  <c r="G430"/>
  <c r="G419"/>
  <c r="F408"/>
  <c r="G408"/>
  <c r="G398"/>
  <c r="F377"/>
  <c r="G377"/>
  <c r="G364"/>
  <c r="F348"/>
  <c r="G348"/>
  <c r="G321"/>
  <c r="F306"/>
  <c r="G306"/>
  <c r="F247"/>
  <c r="G247"/>
  <c r="G242"/>
  <c r="F225"/>
  <c r="G225"/>
  <c r="F167"/>
  <c r="G167"/>
  <c r="G163"/>
  <c r="G133"/>
  <c r="F76"/>
  <c r="F55"/>
  <c r="S20" i="9"/>
  <c r="Y20"/>
  <c r="F35" i="10"/>
  <c r="Y22"/>
  <c r="AA22"/>
  <c r="Y22" i="8"/>
  <c r="AA22"/>
  <c r="L10"/>
  <c r="L36"/>
  <c r="L35"/>
  <c r="L34"/>
  <c r="Y22" i="7"/>
  <c r="AA22"/>
  <c r="L10"/>
  <c r="L36"/>
  <c r="F47" i="11"/>
  <c r="F35"/>
  <c r="F30"/>
  <c r="Q20"/>
  <c r="Y20"/>
  <c r="H20"/>
  <c r="N20"/>
  <c r="AA20"/>
  <c r="P147" i="3"/>
  <c r="Q147"/>
  <c r="P126"/>
  <c r="Q126"/>
  <c r="P108"/>
  <c r="Q108"/>
  <c r="P73"/>
  <c r="Q73"/>
  <c r="P63"/>
  <c r="Q63"/>
  <c r="P32"/>
  <c r="Q32"/>
  <c r="P18"/>
  <c r="P10"/>
  <c r="P5"/>
  <c r="F640" i="18"/>
  <c r="G640"/>
  <c r="F598"/>
  <c r="G598"/>
  <c r="L11" i="9"/>
  <c r="L37"/>
  <c r="H11"/>
  <c r="H37"/>
  <c r="W10"/>
  <c r="W36"/>
  <c r="W35"/>
  <c r="W34"/>
  <c r="W44"/>
  <c r="W63"/>
  <c r="S10"/>
  <c r="S36"/>
  <c r="L10"/>
  <c r="L36"/>
  <c r="L35"/>
  <c r="L34"/>
  <c r="L44"/>
  <c r="L63"/>
  <c r="W66" i="11"/>
  <c r="U66"/>
  <c r="S66"/>
  <c r="Q66"/>
  <c r="L66"/>
  <c r="J66"/>
  <c r="J67" s="1"/>
  <c r="H66"/>
  <c r="AA55"/>
  <c r="AB55"/>
  <c r="N21"/>
  <c r="AA21"/>
  <c r="F14" i="20"/>
  <c r="S35" i="9"/>
  <c r="Y36"/>
  <c r="G35" i="11"/>
  <c r="F34"/>
  <c r="N35"/>
  <c r="M36" i="7"/>
  <c r="L35"/>
  <c r="G35" i="10"/>
  <c r="F34"/>
  <c r="N35"/>
  <c r="F730" i="18"/>
  <c r="G730"/>
  <c r="G731"/>
  <c r="Y66" i="4"/>
  <c r="Y67"/>
  <c r="Y68"/>
  <c r="Y69"/>
  <c r="Y71"/>
  <c r="Y70" s="1"/>
  <c r="Y73"/>
  <c r="Y74"/>
  <c r="Y72" s="1"/>
  <c r="Y77"/>
  <c r="Y76" s="1"/>
  <c r="Y75" s="1"/>
  <c r="Y80"/>
  <c r="Y81"/>
  <c r="Y82"/>
  <c r="Y83"/>
  <c r="Y87"/>
  <c r="Y88"/>
  <c r="Y89"/>
  <c r="Y90"/>
  <c r="Y91"/>
  <c r="Y93"/>
  <c r="Y94"/>
  <c r="Y95"/>
  <c r="Y96"/>
  <c r="Y97"/>
  <c r="Y99"/>
  <c r="Y100"/>
  <c r="Y101"/>
  <c r="Y103"/>
  <c r="Y104"/>
  <c r="Y105"/>
  <c r="Y106"/>
  <c r="Y108"/>
  <c r="Y113"/>
  <c r="Y117"/>
  <c r="Y122"/>
  <c r="Y136"/>
  <c r="Y140"/>
  <c r="Y143"/>
  <c r="Y149"/>
  <c r="Y162"/>
  <c r="Y61"/>
  <c r="Y62"/>
  <c r="Y63"/>
  <c r="Y78"/>
  <c r="Y86"/>
  <c r="Y98"/>
  <c r="Y102"/>
  <c r="Y107"/>
  <c r="Y109"/>
  <c r="Y110"/>
  <c r="Y111"/>
  <c r="Y112"/>
  <c r="Y114"/>
  <c r="Y115"/>
  <c r="Y116"/>
  <c r="Y118"/>
  <c r="Y119"/>
  <c r="Y120"/>
  <c r="Y121"/>
  <c r="Y123"/>
  <c r="Y124"/>
  <c r="Y125"/>
  <c r="Y126"/>
  <c r="Y127"/>
  <c r="Y128"/>
  <c r="Y129"/>
  <c r="Y130"/>
  <c r="Y131"/>
  <c r="Y133"/>
  <c r="Y134"/>
  <c r="Y135"/>
  <c r="Y137"/>
  <c r="Y138"/>
  <c r="Y139"/>
  <c r="Y141"/>
  <c r="Y142"/>
  <c r="Y144"/>
  <c r="Y145"/>
  <c r="Y146"/>
  <c r="Y154"/>
  <c r="Y155"/>
  <c r="Y156"/>
  <c r="Y157"/>
  <c r="Y158"/>
  <c r="Y159"/>
  <c r="Y163"/>
  <c r="Y164"/>
  <c r="Y165"/>
  <c r="Y166"/>
  <c r="Y147"/>
  <c r="Y148"/>
  <c r="Y150"/>
  <c r="H58"/>
  <c r="E11" i="1"/>
  <c r="Q11"/>
  <c r="AI11"/>
  <c r="BI59" i="4"/>
  <c r="E35" i="1"/>
  <c r="Q35"/>
  <c r="W35"/>
  <c r="AI35"/>
  <c r="BI132" i="4"/>
  <c r="N54" i="11"/>
  <c r="G54"/>
  <c r="G46" i="7"/>
  <c r="F45"/>
  <c r="N46"/>
  <c r="M46"/>
  <c r="L45"/>
  <c r="M45"/>
  <c r="N54"/>
  <c r="G54"/>
  <c r="O30" i="8"/>
  <c r="AA30"/>
  <c r="AB30"/>
  <c r="Y44"/>
  <c r="G46"/>
  <c r="F45"/>
  <c r="N46"/>
  <c r="G46" i="10"/>
  <c r="F45"/>
  <c r="N46"/>
  <c r="N54"/>
  <c r="G54"/>
  <c r="F45" i="9"/>
  <c r="N45"/>
  <c r="N46"/>
  <c r="P74" i="4"/>
  <c r="P162"/>
  <c r="H5" i="1"/>
  <c r="P154" i="4"/>
  <c r="P155"/>
  <c r="P163"/>
  <c r="Z153"/>
  <c r="Z74"/>
  <c r="Z162"/>
  <c r="N5" i="1"/>
  <c r="Z154" i="4"/>
  <c r="Z155"/>
  <c r="Z163"/>
  <c r="AO74"/>
  <c r="W5" i="1"/>
  <c r="AO154" i="4"/>
  <c r="AO155"/>
  <c r="AO163"/>
  <c r="BK27"/>
  <c r="BN28"/>
  <c r="H13" i="1"/>
  <c r="N13"/>
  <c r="T13"/>
  <c r="Z13"/>
  <c r="AB13" s="1"/>
  <c r="AF13"/>
  <c r="B15"/>
  <c r="H15"/>
  <c r="N15"/>
  <c r="AY75" i="4"/>
  <c r="AC15" i="1"/>
  <c r="BI75" i="4"/>
  <c r="AI15" i="1"/>
  <c r="H84" i="4"/>
  <c r="R84"/>
  <c r="AL84"/>
  <c r="AY85"/>
  <c r="AV84"/>
  <c r="BI85"/>
  <c r="BF84"/>
  <c r="J27" i="1"/>
  <c r="I27"/>
  <c r="U27"/>
  <c r="AG27"/>
  <c r="AH27"/>
  <c r="I37"/>
  <c r="J37"/>
  <c r="AA37"/>
  <c r="AB37"/>
  <c r="AH37"/>
  <c r="AG37"/>
  <c r="I38"/>
  <c r="J38"/>
  <c r="O38"/>
  <c r="AB38"/>
  <c r="AA38"/>
  <c r="AH38"/>
  <c r="AG38"/>
  <c r="J39"/>
  <c r="I39"/>
  <c r="O39"/>
  <c r="AA39"/>
  <c r="AB39"/>
  <c r="AE8"/>
  <c r="AD8"/>
  <c r="G44" i="7"/>
  <c r="F63"/>
  <c r="G34"/>
  <c r="N54" i="8"/>
  <c r="G54"/>
  <c r="O30" i="10"/>
  <c r="AA30"/>
  <c r="AB30"/>
  <c r="Y66" i="11"/>
  <c r="N37" i="9"/>
  <c r="AA37"/>
  <c r="F596" i="18"/>
  <c r="L67" i="11"/>
  <c r="AA20" i="10"/>
  <c r="F275" i="18"/>
  <c r="G275"/>
  <c r="F782"/>
  <c r="G782"/>
  <c r="P31" i="3"/>
  <c r="Q31"/>
  <c r="N35" i="8"/>
  <c r="AA54" i="9"/>
  <c r="Y54"/>
  <c r="J168" i="3"/>
  <c r="E168"/>
  <c r="M168"/>
  <c r="G30"/>
  <c r="P72"/>
  <c r="Q72"/>
  <c r="S67" i="11"/>
  <c r="W67"/>
  <c r="U63" i="7"/>
  <c r="H63" i="10"/>
  <c r="L63"/>
  <c r="AA20" i="9"/>
  <c r="U63"/>
  <c r="F162" i="18"/>
  <c r="G162"/>
  <c r="F241"/>
  <c r="G241"/>
  <c r="F397"/>
  <c r="G397"/>
  <c r="F450"/>
  <c r="G450"/>
  <c r="F833"/>
  <c r="G833"/>
  <c r="J85" i="4"/>
  <c r="AL39" i="1"/>
  <c r="Q44" i="11"/>
  <c r="N36" i="7"/>
  <c r="N36" i="8"/>
  <c r="N36" i="9"/>
  <c r="AA36"/>
  <c r="Q44"/>
  <c r="P27" i="4"/>
  <c r="AO27"/>
  <c r="BS27"/>
  <c r="G30" i="11"/>
  <c r="N30"/>
  <c r="F44"/>
  <c r="G47"/>
  <c r="F46"/>
  <c r="N47"/>
  <c r="E66" i="4"/>
  <c r="E67"/>
  <c r="E68"/>
  <c r="E69"/>
  <c r="E71"/>
  <c r="E70"/>
  <c r="E73"/>
  <c r="E74"/>
  <c r="E77"/>
  <c r="E80"/>
  <c r="E81"/>
  <c r="E82"/>
  <c r="E83"/>
  <c r="E87"/>
  <c r="E88"/>
  <c r="E89"/>
  <c r="E90"/>
  <c r="E91"/>
  <c r="E93"/>
  <c r="E94"/>
  <c r="E95"/>
  <c r="E96"/>
  <c r="E97"/>
  <c r="E99"/>
  <c r="E100"/>
  <c r="E101"/>
  <c r="E103"/>
  <c r="E104"/>
  <c r="E105"/>
  <c r="E106"/>
  <c r="E108"/>
  <c r="E109"/>
  <c r="E113"/>
  <c r="E117"/>
  <c r="E122"/>
  <c r="E136"/>
  <c r="E140"/>
  <c r="E143"/>
  <c r="E149"/>
  <c r="E162"/>
  <c r="F27"/>
  <c r="E61"/>
  <c r="E62"/>
  <c r="E63"/>
  <c r="E78"/>
  <c r="E86"/>
  <c r="E98"/>
  <c r="E102"/>
  <c r="E107"/>
  <c r="E110"/>
  <c r="E111"/>
  <c r="E112"/>
  <c r="E114"/>
  <c r="E115"/>
  <c r="E116"/>
  <c r="E118"/>
  <c r="E119"/>
  <c r="E120"/>
  <c r="E121"/>
  <c r="E123"/>
  <c r="E124"/>
  <c r="E125"/>
  <c r="E126"/>
  <c r="E127"/>
  <c r="E128"/>
  <c r="E129"/>
  <c r="E130"/>
  <c r="E131"/>
  <c r="E133"/>
  <c r="E134"/>
  <c r="E135"/>
  <c r="E137"/>
  <c r="E138"/>
  <c r="E139"/>
  <c r="E141"/>
  <c r="E142"/>
  <c r="E144"/>
  <c r="E145"/>
  <c r="E146"/>
  <c r="E147"/>
  <c r="E154"/>
  <c r="E155"/>
  <c r="E156"/>
  <c r="E157"/>
  <c r="E158"/>
  <c r="E159"/>
  <c r="E163"/>
  <c r="E164"/>
  <c r="E165"/>
  <c r="E166"/>
  <c r="E148"/>
  <c r="E150"/>
  <c r="C58"/>
  <c r="B11" i="1"/>
  <c r="M58" i="4"/>
  <c r="H11" i="1"/>
  <c r="W58" i="4"/>
  <c r="N11" i="1"/>
  <c r="T11"/>
  <c r="BA58" i="4"/>
  <c r="BD59"/>
  <c r="AF11" i="1"/>
  <c r="BK132" i="4"/>
  <c r="BK152" s="1"/>
  <c r="B35" i="1"/>
  <c r="B68" i="9"/>
  <c r="BR132" i="4"/>
  <c r="BS132" s="1"/>
  <c r="H35" i="1"/>
  <c r="N35"/>
  <c r="T35"/>
  <c r="U35" s="1"/>
  <c r="BD132" i="4"/>
  <c r="AF35" i="1"/>
  <c r="D3" i="3"/>
  <c r="P4"/>
  <c r="AA56" i="11"/>
  <c r="AB56"/>
  <c r="O56"/>
  <c r="O47" i="7"/>
  <c r="AA47"/>
  <c r="AB47"/>
  <c r="AA56"/>
  <c r="AB56"/>
  <c r="O56"/>
  <c r="B10" i="20"/>
  <c r="G44" i="8"/>
  <c r="F63"/>
  <c r="N44"/>
  <c r="G34"/>
  <c r="N34"/>
  <c r="O47"/>
  <c r="AA47"/>
  <c r="AB47"/>
  <c r="Y44" i="10"/>
  <c r="O47"/>
  <c r="AA47"/>
  <c r="AB47"/>
  <c r="AA56"/>
  <c r="AB56"/>
  <c r="O56"/>
  <c r="U74" i="4"/>
  <c r="U162"/>
  <c r="K5" i="1"/>
  <c r="P37" s="1"/>
  <c r="U154" i="4"/>
  <c r="U155"/>
  <c r="U163"/>
  <c r="AE74"/>
  <c r="AE162"/>
  <c r="Q5" i="1"/>
  <c r="AE154" i="4"/>
  <c r="AE155"/>
  <c r="AE163"/>
  <c r="E13" i="1"/>
  <c r="K13"/>
  <c r="Q13"/>
  <c r="W13"/>
  <c r="AC13"/>
  <c r="AI13"/>
  <c r="E15"/>
  <c r="K15"/>
  <c r="Z15"/>
  <c r="BD75" i="4"/>
  <c r="AF15" i="1"/>
  <c r="C84" i="4"/>
  <c r="B66" i="9"/>
  <c r="M84" i="4"/>
  <c r="W84"/>
  <c r="AG84"/>
  <c r="BD85"/>
  <c r="BA84"/>
  <c r="N107"/>
  <c r="O107"/>
  <c r="BK107"/>
  <c r="BN107" s="1"/>
  <c r="AE7" i="1"/>
  <c r="AD7"/>
  <c r="AL8"/>
  <c r="AL9"/>
  <c r="O27"/>
  <c r="P27"/>
  <c r="AB27"/>
  <c r="AA27"/>
  <c r="O37"/>
  <c r="U37"/>
  <c r="U38"/>
  <c r="U39"/>
  <c r="AG39"/>
  <c r="AH39"/>
  <c r="M8"/>
  <c r="F27" i="19"/>
  <c r="H19"/>
  <c r="H27"/>
  <c r="H2" i="20"/>
  <c r="G9"/>
  <c r="G12"/>
  <c r="G14"/>
  <c r="G15"/>
  <c r="Q45" i="11"/>
  <c r="Y45"/>
  <c r="Y46"/>
  <c r="O30" i="7"/>
  <c r="AA30"/>
  <c r="AB30"/>
  <c r="Q45"/>
  <c r="Y45"/>
  <c r="Y46"/>
  <c r="Q45" i="8"/>
  <c r="Y45"/>
  <c r="Y46"/>
  <c r="AA56"/>
  <c r="AB56"/>
  <c r="O56"/>
  <c r="Q45" i="10"/>
  <c r="Y45"/>
  <c r="Y46"/>
  <c r="Q45" i="9"/>
  <c r="Y45"/>
  <c r="Y46"/>
  <c r="F168" i="3"/>
  <c r="N168"/>
  <c r="G168"/>
  <c r="K168"/>
  <c r="I30"/>
  <c r="I168"/>
  <c r="U67" i="11"/>
  <c r="J63" i="10"/>
  <c r="J63" i="9"/>
  <c r="F205" i="18"/>
  <c r="G205"/>
  <c r="F363"/>
  <c r="G363"/>
  <c r="F418"/>
  <c r="G418"/>
  <c r="F763"/>
  <c r="G763"/>
  <c r="F959"/>
  <c r="G959"/>
  <c r="AL27" i="1"/>
  <c r="AL37"/>
  <c r="AL38"/>
  <c r="Q44" i="7"/>
  <c r="N35"/>
  <c r="H35" i="9"/>
  <c r="U27" i="4"/>
  <c r="BL27"/>
  <c r="BP67"/>
  <c r="AE27"/>
  <c r="BP66"/>
  <c r="BP70"/>
  <c r="BP83"/>
  <c r="BP89"/>
  <c r="BP93"/>
  <c r="BP97"/>
  <c r="BP101"/>
  <c r="BP105"/>
  <c r="BP147"/>
  <c r="BP156"/>
  <c r="BP142"/>
  <c r="BP137"/>
  <c r="BP133"/>
  <c r="BP128"/>
  <c r="BP124"/>
  <c r="BP120"/>
  <c r="BP116"/>
  <c r="BP112"/>
  <c r="BP155"/>
  <c r="BP77"/>
  <c r="H34" i="9"/>
  <c r="N35"/>
  <c r="O35" i="7"/>
  <c r="AA35"/>
  <c r="AB35"/>
  <c r="I2" i="20"/>
  <c r="H9"/>
  <c r="H12"/>
  <c r="H15"/>
  <c r="H14"/>
  <c r="BL107" i="4"/>
  <c r="BP107"/>
  <c r="N19" i="1"/>
  <c r="H19"/>
  <c r="B19"/>
  <c r="AJ13"/>
  <c r="AK13"/>
  <c r="AC51"/>
  <c r="R13"/>
  <c r="S13"/>
  <c r="O34" i="8"/>
  <c r="AA34"/>
  <c r="AB34"/>
  <c r="O44"/>
  <c r="AA44"/>
  <c r="AB44"/>
  <c r="P3" i="3"/>
  <c r="Q3"/>
  <c r="D168"/>
  <c r="P168"/>
  <c r="Q168"/>
  <c r="P11" i="1"/>
  <c r="O11"/>
  <c r="N10"/>
  <c r="W151" i="4"/>
  <c r="Z84"/>
  <c r="M151"/>
  <c r="P58" s="1"/>
  <c r="C11" i="1"/>
  <c r="B10"/>
  <c r="C10" s="1"/>
  <c r="G46" i="11"/>
  <c r="F45"/>
  <c r="F63"/>
  <c r="N46"/>
  <c r="G44"/>
  <c r="N44"/>
  <c r="Q63" i="9"/>
  <c r="O36" i="7"/>
  <c r="AA36"/>
  <c r="AB36"/>
  <c r="O35" i="8"/>
  <c r="AA35"/>
  <c r="AB35"/>
  <c r="G596" i="18"/>
  <c r="F567"/>
  <c r="G567"/>
  <c r="AA54" i="8"/>
  <c r="AB54"/>
  <c r="O54"/>
  <c r="G63" i="7"/>
  <c r="BI84" i="4"/>
  <c r="AI19" i="1"/>
  <c r="W19"/>
  <c r="K19"/>
  <c r="AJ15"/>
  <c r="AK15"/>
  <c r="AE15"/>
  <c r="AD15"/>
  <c r="P15"/>
  <c r="O15"/>
  <c r="J15"/>
  <c r="I15"/>
  <c r="C15"/>
  <c r="AF51"/>
  <c r="AA13"/>
  <c r="P13"/>
  <c r="O13"/>
  <c r="I13"/>
  <c r="J13"/>
  <c r="BN66" i="4"/>
  <c r="BN67"/>
  <c r="BN68"/>
  <c r="BN70"/>
  <c r="BN71"/>
  <c r="BN73"/>
  <c r="BN74"/>
  <c r="BN80"/>
  <c r="BN81"/>
  <c r="BN82"/>
  <c r="BN83"/>
  <c r="BN87"/>
  <c r="BN88"/>
  <c r="BN89"/>
  <c r="BN90"/>
  <c r="BN91"/>
  <c r="BN93"/>
  <c r="BN94"/>
  <c r="BN95"/>
  <c r="BN96"/>
  <c r="BN97"/>
  <c r="BN98"/>
  <c r="BN99"/>
  <c r="BN100"/>
  <c r="BN101"/>
  <c r="BN102"/>
  <c r="BN103"/>
  <c r="BN104"/>
  <c r="BN105"/>
  <c r="BN106"/>
  <c r="BN108"/>
  <c r="BN147"/>
  <c r="BN148"/>
  <c r="BN149"/>
  <c r="BN150"/>
  <c r="BN79"/>
  <c r="BN159"/>
  <c r="BN158"/>
  <c r="BN157"/>
  <c r="BN155"/>
  <c r="BN146"/>
  <c r="BN143"/>
  <c r="BN141"/>
  <c r="BN77"/>
  <c r="BN63"/>
  <c r="BN62"/>
  <c r="BN61"/>
  <c r="BN156"/>
  <c r="BN154"/>
  <c r="BN145"/>
  <c r="BN144"/>
  <c r="BN142"/>
  <c r="BN140"/>
  <c r="BN139"/>
  <c r="BN138"/>
  <c r="BN137"/>
  <c r="BN135"/>
  <c r="BN134"/>
  <c r="BN133"/>
  <c r="BN131"/>
  <c r="BN130"/>
  <c r="BN129"/>
  <c r="BN128"/>
  <c r="BN127"/>
  <c r="BN126"/>
  <c r="BN125"/>
  <c r="BN124"/>
  <c r="BN123"/>
  <c r="BN121"/>
  <c r="BN120"/>
  <c r="BN119"/>
  <c r="BN118"/>
  <c r="BN117"/>
  <c r="BN116"/>
  <c r="BN115"/>
  <c r="BN114"/>
  <c r="BN112"/>
  <c r="BN111"/>
  <c r="BN110"/>
  <c r="BN109"/>
  <c r="AB6" i="1"/>
  <c r="AB12"/>
  <c r="AB14"/>
  <c r="AB16"/>
  <c r="AB17"/>
  <c r="AB18"/>
  <c r="AB21"/>
  <c r="AB22"/>
  <c r="AB23"/>
  <c r="AB24"/>
  <c r="AB25"/>
  <c r="AB26"/>
  <c r="AB28"/>
  <c r="AB29"/>
  <c r="AB30"/>
  <c r="AB31"/>
  <c r="AB32"/>
  <c r="AB33"/>
  <c r="AB34"/>
  <c r="AB36"/>
  <c r="AB40"/>
  <c r="AB41"/>
  <c r="AB42"/>
  <c r="AB43"/>
  <c r="AB44"/>
  <c r="AB45"/>
  <c r="AB46"/>
  <c r="AB47"/>
  <c r="AB48"/>
  <c r="X47"/>
  <c r="X30"/>
  <c r="AB8"/>
  <c r="X31"/>
  <c r="X24"/>
  <c r="X22"/>
  <c r="X46"/>
  <c r="X43"/>
  <c r="X40"/>
  <c r="X33"/>
  <c r="X28"/>
  <c r="X21"/>
  <c r="X6"/>
  <c r="X20"/>
  <c r="X18"/>
  <c r="X44"/>
  <c r="X38"/>
  <c r="X41"/>
  <c r="X34"/>
  <c r="X32"/>
  <c r="X25"/>
  <c r="X23"/>
  <c r="X12"/>
  <c r="X48"/>
  <c r="X45"/>
  <c r="X42"/>
  <c r="X39"/>
  <c r="X37"/>
  <c r="X36"/>
  <c r="X29"/>
  <c r="X27"/>
  <c r="X26"/>
  <c r="X14"/>
  <c r="X17"/>
  <c r="M6"/>
  <c r="M12"/>
  <c r="I17"/>
  <c r="M18"/>
  <c r="I20"/>
  <c r="M20"/>
  <c r="M21"/>
  <c r="M24"/>
  <c r="I25"/>
  <c r="M25"/>
  <c r="I26"/>
  <c r="M26"/>
  <c r="I30"/>
  <c r="M30"/>
  <c r="I31"/>
  <c r="M31"/>
  <c r="M36"/>
  <c r="I42"/>
  <c r="M42"/>
  <c r="I44"/>
  <c r="I47"/>
  <c r="I6"/>
  <c r="I12"/>
  <c r="I14"/>
  <c r="I16"/>
  <c r="I18"/>
  <c r="I21"/>
  <c r="I22"/>
  <c r="I23"/>
  <c r="M23"/>
  <c r="I24"/>
  <c r="I28"/>
  <c r="M28"/>
  <c r="I29"/>
  <c r="I32"/>
  <c r="I33"/>
  <c r="M33"/>
  <c r="I34"/>
  <c r="I36"/>
  <c r="M37"/>
  <c r="I40"/>
  <c r="I41"/>
  <c r="M41"/>
  <c r="I43"/>
  <c r="M43"/>
  <c r="I45"/>
  <c r="I46"/>
  <c r="I48"/>
  <c r="M17"/>
  <c r="M45"/>
  <c r="M38"/>
  <c r="M14"/>
  <c r="AL5"/>
  <c r="AM28" s="1"/>
  <c r="M39"/>
  <c r="M32"/>
  <c r="M46"/>
  <c r="M40"/>
  <c r="M34"/>
  <c r="M27"/>
  <c r="M9"/>
  <c r="M47"/>
  <c r="M44"/>
  <c r="M22"/>
  <c r="I9"/>
  <c r="M48"/>
  <c r="M29"/>
  <c r="M16"/>
  <c r="O46" i="10"/>
  <c r="AA46"/>
  <c r="AB46"/>
  <c r="G45" i="8"/>
  <c r="N45"/>
  <c r="O46" i="7"/>
  <c r="AA46"/>
  <c r="AB46"/>
  <c r="AA54" i="11"/>
  <c r="AB54"/>
  <c r="O54"/>
  <c r="AJ35" i="1"/>
  <c r="AK35"/>
  <c r="X35"/>
  <c r="Y35"/>
  <c r="F35"/>
  <c r="G35"/>
  <c r="AJ11"/>
  <c r="AK11"/>
  <c r="AI10"/>
  <c r="X11"/>
  <c r="Y11"/>
  <c r="L11"/>
  <c r="M11"/>
  <c r="K10"/>
  <c r="G11"/>
  <c r="F11"/>
  <c r="E10"/>
  <c r="H151" i="4"/>
  <c r="O35" i="10"/>
  <c r="AA35"/>
  <c r="AB35"/>
  <c r="M35" i="7"/>
  <c r="L34"/>
  <c r="O35" i="11"/>
  <c r="AA35"/>
  <c r="AB35"/>
  <c r="S34" i="9"/>
  <c r="Y35"/>
  <c r="L8" i="1"/>
  <c r="V39"/>
  <c r="V37"/>
  <c r="AL7"/>
  <c r="AM7"/>
  <c r="E60" i="4"/>
  <c r="E92"/>
  <c r="E85"/>
  <c r="E76"/>
  <c r="E75"/>
  <c r="E72"/>
  <c r="P39" i="1"/>
  <c r="P38"/>
  <c r="AA46" i="9"/>
  <c r="Y153" i="4"/>
  <c r="Y79"/>
  <c r="Y65"/>
  <c r="Y64"/>
  <c r="F63" i="9"/>
  <c r="Q63" i="7"/>
  <c r="Y44"/>
  <c r="AM37" i="1"/>
  <c r="BD84" i="4"/>
  <c r="AF19" i="1"/>
  <c r="T19"/>
  <c r="U19" s="1"/>
  <c r="F66" i="9"/>
  <c r="N66" s="1"/>
  <c r="H66"/>
  <c r="J66"/>
  <c r="L66"/>
  <c r="L67" s="1"/>
  <c r="L69" s="1"/>
  <c r="Q66"/>
  <c r="S66"/>
  <c r="U66"/>
  <c r="U67" s="1"/>
  <c r="W66"/>
  <c r="W67" s="1"/>
  <c r="AH15" i="1"/>
  <c r="AG15"/>
  <c r="AB15"/>
  <c r="AA15"/>
  <c r="L15"/>
  <c r="M15"/>
  <c r="G15"/>
  <c r="F15"/>
  <c r="AI51"/>
  <c r="AE13"/>
  <c r="AD13"/>
  <c r="X13"/>
  <c r="Y13"/>
  <c r="M13"/>
  <c r="L13"/>
  <c r="E51"/>
  <c r="F13"/>
  <c r="G13"/>
  <c r="V6"/>
  <c r="V12"/>
  <c r="V14"/>
  <c r="V17"/>
  <c r="V18"/>
  <c r="V20"/>
  <c r="V21"/>
  <c r="V22"/>
  <c r="V23"/>
  <c r="V24"/>
  <c r="V25"/>
  <c r="V26"/>
  <c r="V28"/>
  <c r="V29"/>
  <c r="V30"/>
  <c r="V31"/>
  <c r="V32"/>
  <c r="V33"/>
  <c r="V34"/>
  <c r="V36"/>
  <c r="V40"/>
  <c r="V41"/>
  <c r="V42"/>
  <c r="V43"/>
  <c r="V44"/>
  <c r="V45"/>
  <c r="V46"/>
  <c r="V47"/>
  <c r="V48"/>
  <c r="R45"/>
  <c r="R21"/>
  <c r="R9"/>
  <c r="R40"/>
  <c r="R36"/>
  <c r="R28"/>
  <c r="R20"/>
  <c r="R47"/>
  <c r="R44"/>
  <c r="R41"/>
  <c r="R34"/>
  <c r="R25"/>
  <c r="R23"/>
  <c r="R22"/>
  <c r="R24"/>
  <c r="R17"/>
  <c r="R48"/>
  <c r="R46"/>
  <c r="R42"/>
  <c r="R33"/>
  <c r="R26"/>
  <c r="R14"/>
  <c r="R8"/>
  <c r="V8"/>
  <c r="R39"/>
  <c r="R29"/>
  <c r="R27"/>
  <c r="R6"/>
  <c r="R38"/>
  <c r="R32"/>
  <c r="R31"/>
  <c r="R30"/>
  <c r="R12"/>
  <c r="R43"/>
  <c r="R37"/>
  <c r="R18"/>
  <c r="K51"/>
  <c r="P6"/>
  <c r="P12"/>
  <c r="P14"/>
  <c r="P16"/>
  <c r="P17"/>
  <c r="P18"/>
  <c r="P20"/>
  <c r="P21"/>
  <c r="P22"/>
  <c r="P23"/>
  <c r="P24"/>
  <c r="P25"/>
  <c r="P26"/>
  <c r="P28"/>
  <c r="P29"/>
  <c r="P30"/>
  <c r="P31"/>
  <c r="P32"/>
  <c r="P33"/>
  <c r="P34"/>
  <c r="P36"/>
  <c r="P40"/>
  <c r="P41"/>
  <c r="P42"/>
  <c r="P43"/>
  <c r="P44"/>
  <c r="P45"/>
  <c r="P46"/>
  <c r="P47"/>
  <c r="P48"/>
  <c r="L43"/>
  <c r="L40"/>
  <c r="L36"/>
  <c r="L28"/>
  <c r="L6"/>
  <c r="L9"/>
  <c r="L48"/>
  <c r="L42"/>
  <c r="L33"/>
  <c r="L26"/>
  <c r="P9"/>
  <c r="L37"/>
  <c r="L31"/>
  <c r="L30"/>
  <c r="L27"/>
  <c r="L12"/>
  <c r="L47"/>
  <c r="L45"/>
  <c r="L44"/>
  <c r="L39"/>
  <c r="L38"/>
  <c r="L32"/>
  <c r="L22"/>
  <c r="L18"/>
  <c r="L16"/>
  <c r="L14"/>
  <c r="L29"/>
  <c r="L20"/>
  <c r="L46"/>
  <c r="L21"/>
  <c r="L41"/>
  <c r="L34"/>
  <c r="L25"/>
  <c r="L24"/>
  <c r="L23"/>
  <c r="L17"/>
  <c r="N63" i="8"/>
  <c r="G63"/>
  <c r="E10" i="20"/>
  <c r="G10"/>
  <c r="I10"/>
  <c r="D10"/>
  <c r="F10"/>
  <c r="H10"/>
  <c r="AH35" i="1"/>
  <c r="AG35"/>
  <c r="V35"/>
  <c r="P35"/>
  <c r="O35"/>
  <c r="I35"/>
  <c r="J35"/>
  <c r="F68" i="9"/>
  <c r="N68" s="1"/>
  <c r="H68"/>
  <c r="J68"/>
  <c r="L68"/>
  <c r="Q68"/>
  <c r="S68"/>
  <c r="U68"/>
  <c r="W68"/>
  <c r="C35" i="1"/>
  <c r="BP132" i="4"/>
  <c r="AH11" i="1"/>
  <c r="AG11"/>
  <c r="AF10"/>
  <c r="BD58" i="4"/>
  <c r="BA151"/>
  <c r="V11" i="1"/>
  <c r="U11"/>
  <c r="J11"/>
  <c r="I11"/>
  <c r="H10"/>
  <c r="F58" i="4"/>
  <c r="C151"/>
  <c r="O47" i="11"/>
  <c r="AA47"/>
  <c r="AB47"/>
  <c r="O30"/>
  <c r="AA30"/>
  <c r="AB30"/>
  <c r="BW66" i="4"/>
  <c r="BW67"/>
  <c r="BW68"/>
  <c r="BW70"/>
  <c r="BW71"/>
  <c r="BW73"/>
  <c r="BW74"/>
  <c r="BW80"/>
  <c r="BW81"/>
  <c r="BW82"/>
  <c r="BW83"/>
  <c r="BW87"/>
  <c r="BW88"/>
  <c r="BW89"/>
  <c r="BW90"/>
  <c r="BW91"/>
  <c r="BW92"/>
  <c r="BW93"/>
  <c r="BW94"/>
  <c r="BW95"/>
  <c r="BW96"/>
  <c r="BW97"/>
  <c r="BW99"/>
  <c r="BW100"/>
  <c r="BW101"/>
  <c r="BW102"/>
  <c r="BW103"/>
  <c r="BW104"/>
  <c r="BW105"/>
  <c r="BW106"/>
  <c r="BW108"/>
  <c r="BW147"/>
  <c r="BW149"/>
  <c r="BW148"/>
  <c r="BW150"/>
  <c r="BW79"/>
  <c r="BW158"/>
  <c r="BW156"/>
  <c r="BW154"/>
  <c r="BW145"/>
  <c r="BW144"/>
  <c r="BW142"/>
  <c r="BW139"/>
  <c r="BW138"/>
  <c r="BW137"/>
  <c r="BW135"/>
  <c r="BW134"/>
  <c r="BW133"/>
  <c r="BW131"/>
  <c r="BW130"/>
  <c r="BW129"/>
  <c r="BW128"/>
  <c r="BW127"/>
  <c r="BW126"/>
  <c r="BW125"/>
  <c r="BW124"/>
  <c r="BW123"/>
  <c r="BW122"/>
  <c r="BW121"/>
  <c r="BW120"/>
  <c r="BW119"/>
  <c r="BW118"/>
  <c r="BW116"/>
  <c r="BW115"/>
  <c r="BW114"/>
  <c r="BW113"/>
  <c r="BW111"/>
  <c r="BW110"/>
  <c r="BW159"/>
  <c r="BW157"/>
  <c r="BW155"/>
  <c r="BW146"/>
  <c r="BW143"/>
  <c r="BW141"/>
  <c r="BW77"/>
  <c r="BW63"/>
  <c r="BW62"/>
  <c r="BW61"/>
  <c r="O36" i="8"/>
  <c r="AA36"/>
  <c r="AB36"/>
  <c r="Q63" i="11"/>
  <c r="Y44"/>
  <c r="AM39" i="1"/>
  <c r="AY84" i="4"/>
  <c r="AC19" i="1"/>
  <c r="K84" i="4"/>
  <c r="E19" i="1"/>
  <c r="AH13"/>
  <c r="AG13"/>
  <c r="U13"/>
  <c r="V13"/>
  <c r="S12"/>
  <c r="O16"/>
  <c r="S21"/>
  <c r="O23"/>
  <c r="S25"/>
  <c r="S27"/>
  <c r="O28"/>
  <c r="S28"/>
  <c r="O29"/>
  <c r="S29"/>
  <c r="S31"/>
  <c r="O32"/>
  <c r="S32"/>
  <c r="O33"/>
  <c r="S33"/>
  <c r="O34"/>
  <c r="S34"/>
  <c r="S36"/>
  <c r="O40"/>
  <c r="S40"/>
  <c r="O41"/>
  <c r="S41"/>
  <c r="O43"/>
  <c r="O46"/>
  <c r="S46"/>
  <c r="O48"/>
  <c r="S48"/>
  <c r="O6"/>
  <c r="S6"/>
  <c r="O12"/>
  <c r="O14"/>
  <c r="O17"/>
  <c r="S17"/>
  <c r="O18"/>
  <c r="O20"/>
  <c r="S20"/>
  <c r="O21"/>
  <c r="O22"/>
  <c r="S22"/>
  <c r="S23"/>
  <c r="O24"/>
  <c r="O25"/>
  <c r="O26"/>
  <c r="O30"/>
  <c r="S30"/>
  <c r="O31"/>
  <c r="O36"/>
  <c r="S38"/>
  <c r="O42"/>
  <c r="S42"/>
  <c r="O44"/>
  <c r="S44"/>
  <c r="O45"/>
  <c r="O47"/>
  <c r="S47"/>
  <c r="S8"/>
  <c r="S24"/>
  <c r="S26"/>
  <c r="S18"/>
  <c r="S14"/>
  <c r="O9"/>
  <c r="S9"/>
  <c r="S43"/>
  <c r="S37"/>
  <c r="S45"/>
  <c r="S39"/>
  <c r="AA54" i="10"/>
  <c r="AB54"/>
  <c r="O54"/>
  <c r="G45"/>
  <c r="N45"/>
  <c r="O46" i="8"/>
  <c r="AA46"/>
  <c r="AB46"/>
  <c r="AA54" i="7"/>
  <c r="AB54"/>
  <c r="O54"/>
  <c r="G45"/>
  <c r="N45"/>
  <c r="S35" i="1"/>
  <c r="R35"/>
  <c r="M35"/>
  <c r="L35"/>
  <c r="BI58" i="4"/>
  <c r="BF151"/>
  <c r="R11" i="1"/>
  <c r="S11"/>
  <c r="G34" i="10"/>
  <c r="N34"/>
  <c r="F44"/>
  <c r="G34" i="11"/>
  <c r="N34"/>
  <c r="J67" i="9"/>
  <c r="J69" s="1"/>
  <c r="P30" i="3"/>
  <c r="Q30"/>
  <c r="AM9" i="1"/>
  <c r="Q63" i="10"/>
  <c r="E153" i="4"/>
  <c r="E132"/>
  <c r="E84" s="1"/>
  <c r="E161"/>
  <c r="E79"/>
  <c r="E65"/>
  <c r="E64"/>
  <c r="AA45" i="9"/>
  <c r="Q63" i="8"/>
  <c r="Y132" i="4"/>
  <c r="Y60"/>
  <c r="Y59"/>
  <c r="Y58"/>
  <c r="Y161"/>
  <c r="Y92"/>
  <c r="Y85"/>
  <c r="Y84"/>
  <c r="K58"/>
  <c r="K135"/>
  <c r="N63" i="11"/>
  <c r="F67"/>
  <c r="G63"/>
  <c r="Y63" i="8"/>
  <c r="N51" i="1"/>
  <c r="Y63" i="10"/>
  <c r="G44"/>
  <c r="F63"/>
  <c r="N44"/>
  <c r="F61" i="4"/>
  <c r="F62"/>
  <c r="F63"/>
  <c r="F76"/>
  <c r="F78"/>
  <c r="F86"/>
  <c r="F92"/>
  <c r="F98"/>
  <c r="F102"/>
  <c r="F107"/>
  <c r="F111"/>
  <c r="F114"/>
  <c r="F118"/>
  <c r="F123"/>
  <c r="F124"/>
  <c r="F128"/>
  <c r="F133"/>
  <c r="F134"/>
  <c r="F135"/>
  <c r="F137"/>
  <c r="F139"/>
  <c r="F144"/>
  <c r="F145"/>
  <c r="F147"/>
  <c r="F69"/>
  <c r="F71"/>
  <c r="F70" s="1"/>
  <c r="F77"/>
  <c r="F87"/>
  <c r="F89"/>
  <c r="F90"/>
  <c r="F93"/>
  <c r="F94"/>
  <c r="F96"/>
  <c r="F97"/>
  <c r="F99"/>
  <c r="F103"/>
  <c r="F105"/>
  <c r="F106"/>
  <c r="F109"/>
  <c r="F148"/>
  <c r="F141"/>
  <c r="F151"/>
  <c r="F157"/>
  <c r="B49" i="1"/>
  <c r="F143" i="4"/>
  <c r="F140"/>
  <c r="F136"/>
  <c r="F122"/>
  <c r="F117"/>
  <c r="F113"/>
  <c r="F75"/>
  <c r="F59"/>
  <c r="F85"/>
  <c r="F132"/>
  <c r="J10" i="1"/>
  <c r="I10"/>
  <c r="AA63" i="8"/>
  <c r="AB63"/>
  <c r="O63"/>
  <c r="V19" i="1"/>
  <c r="Y63" i="7"/>
  <c r="F67" i="9"/>
  <c r="F69" s="1"/>
  <c r="S44"/>
  <c r="Y34"/>
  <c r="L10" i="1"/>
  <c r="M10"/>
  <c r="AJ10"/>
  <c r="AK10"/>
  <c r="AM30"/>
  <c r="AM42"/>
  <c r="AM17"/>
  <c r="AM21"/>
  <c r="AM22"/>
  <c r="AM31"/>
  <c r="AM32"/>
  <c r="AM36"/>
  <c r="AM43"/>
  <c r="AM44"/>
  <c r="AM45"/>
  <c r="AM14"/>
  <c r="AM24"/>
  <c r="AM26"/>
  <c r="AM29"/>
  <c r="AM40"/>
  <c r="AM48"/>
  <c r="AM18"/>
  <c r="AM23"/>
  <c r="AM25"/>
  <c r="AM33"/>
  <c r="AM34"/>
  <c r="AM41"/>
  <c r="AM46"/>
  <c r="Q67" i="9"/>
  <c r="O46" i="11"/>
  <c r="AA46"/>
  <c r="AB46"/>
  <c r="P61" i="4"/>
  <c r="P62"/>
  <c r="P63"/>
  <c r="P76"/>
  <c r="P78"/>
  <c r="P86"/>
  <c r="P92"/>
  <c r="P98"/>
  <c r="P102"/>
  <c r="P109"/>
  <c r="P111"/>
  <c r="P114"/>
  <c r="P115"/>
  <c r="P116"/>
  <c r="P118"/>
  <c r="P119"/>
  <c r="P120"/>
  <c r="P123"/>
  <c r="P125"/>
  <c r="P127"/>
  <c r="P128"/>
  <c r="P133"/>
  <c r="P134"/>
  <c r="P135"/>
  <c r="P139"/>
  <c r="P142"/>
  <c r="P151"/>
  <c r="P157"/>
  <c r="P69"/>
  <c r="P64" s="1"/>
  <c r="P71"/>
  <c r="P70"/>
  <c r="P73"/>
  <c r="P77"/>
  <c r="P87"/>
  <c r="P89"/>
  <c r="P90"/>
  <c r="P91"/>
  <c r="P93"/>
  <c r="P94"/>
  <c r="P95"/>
  <c r="P96"/>
  <c r="P97"/>
  <c r="P99"/>
  <c r="P100"/>
  <c r="P101"/>
  <c r="P103"/>
  <c r="P105"/>
  <c r="P106"/>
  <c r="P108"/>
  <c r="P148"/>
  <c r="H49" i="1"/>
  <c r="P141" i="4"/>
  <c r="P144"/>
  <c r="P145"/>
  <c r="P156"/>
  <c r="P143"/>
  <c r="P140"/>
  <c r="P122"/>
  <c r="P117"/>
  <c r="P113"/>
  <c r="P85"/>
  <c r="P75"/>
  <c r="P59"/>
  <c r="P132"/>
  <c r="P107"/>
  <c r="C19" i="1"/>
  <c r="Y151" i="4"/>
  <c r="Y68" i="9"/>
  <c r="E59" i="4"/>
  <c r="E58" s="1"/>
  <c r="Z58"/>
  <c r="P84"/>
  <c r="AM27" i="1"/>
  <c r="AA35" i="9"/>
  <c r="O34" i="11"/>
  <c r="AA34"/>
  <c r="AB34"/>
  <c r="O34" i="10"/>
  <c r="AA34"/>
  <c r="AB34"/>
  <c r="AI49" i="1"/>
  <c r="BI151" i="4"/>
  <c r="O45" i="7"/>
  <c r="AA45"/>
  <c r="AB45"/>
  <c r="O45" i="10"/>
  <c r="AA45"/>
  <c r="AB45"/>
  <c r="H51" i="1"/>
  <c r="F19"/>
  <c r="G19"/>
  <c r="AD19"/>
  <c r="AE19"/>
  <c r="Y63" i="11"/>
  <c r="Q67"/>
  <c r="BD151" i="4"/>
  <c r="AF49" i="1"/>
  <c r="AG49" s="1"/>
  <c r="AH10"/>
  <c r="AG10"/>
  <c r="AG19"/>
  <c r="AH19"/>
  <c r="M34" i="7"/>
  <c r="L44"/>
  <c r="N34"/>
  <c r="K69" i="4"/>
  <c r="K64" s="1"/>
  <c r="K71"/>
  <c r="K70" s="1"/>
  <c r="K76"/>
  <c r="K77"/>
  <c r="K86"/>
  <c r="K87"/>
  <c r="K88"/>
  <c r="K89"/>
  <c r="K90"/>
  <c r="K91"/>
  <c r="K92"/>
  <c r="K93"/>
  <c r="K94"/>
  <c r="K95"/>
  <c r="K96"/>
  <c r="K97"/>
  <c r="K98"/>
  <c r="K99"/>
  <c r="K102"/>
  <c r="K103"/>
  <c r="K105"/>
  <c r="K106"/>
  <c r="K107"/>
  <c r="K108"/>
  <c r="K109"/>
  <c r="K147"/>
  <c r="K151"/>
  <c r="E49" i="1"/>
  <c r="K61" i="4"/>
  <c r="K62"/>
  <c r="K63"/>
  <c r="K78"/>
  <c r="K111"/>
  <c r="K114"/>
  <c r="K115"/>
  <c r="K118"/>
  <c r="K123"/>
  <c r="K124"/>
  <c r="K125"/>
  <c r="K126"/>
  <c r="K133"/>
  <c r="K134"/>
  <c r="K137"/>
  <c r="K141"/>
  <c r="K144"/>
  <c r="K145"/>
  <c r="K146"/>
  <c r="K156"/>
  <c r="K157"/>
  <c r="K148"/>
  <c r="K143"/>
  <c r="K140"/>
  <c r="K136"/>
  <c r="K122"/>
  <c r="K117"/>
  <c r="K113"/>
  <c r="K59"/>
  <c r="K132"/>
  <c r="K85"/>
  <c r="K75"/>
  <c r="F10" i="1"/>
  <c r="G10"/>
  <c r="O45" i="8"/>
  <c r="AA45"/>
  <c r="AB45"/>
  <c r="M19" i="1"/>
  <c r="L19"/>
  <c r="X19"/>
  <c r="Y19"/>
  <c r="AK19"/>
  <c r="AJ19"/>
  <c r="O44" i="11"/>
  <c r="AA44"/>
  <c r="AB44"/>
  <c r="G45"/>
  <c r="N45"/>
  <c r="Z61" i="4"/>
  <c r="Z60" s="1"/>
  <c r="Z62"/>
  <c r="Z63"/>
  <c r="Z76"/>
  <c r="Z78"/>
  <c r="Z86"/>
  <c r="Z92"/>
  <c r="Z98"/>
  <c r="Z102"/>
  <c r="Z107"/>
  <c r="Z109"/>
  <c r="Z110"/>
  <c r="Z111"/>
  <c r="Z112"/>
  <c r="Z114"/>
  <c r="Z115"/>
  <c r="Z116"/>
  <c r="Z118"/>
  <c r="Z119"/>
  <c r="Z120"/>
  <c r="Z123"/>
  <c r="Z124"/>
  <c r="Z125"/>
  <c r="Z128"/>
  <c r="Z133"/>
  <c r="Z134"/>
  <c r="Z135"/>
  <c r="Z139"/>
  <c r="Z141"/>
  <c r="Z144"/>
  <c r="Z145"/>
  <c r="Z151"/>
  <c r="Z157"/>
  <c r="Z164"/>
  <c r="Z67"/>
  <c r="Z69"/>
  <c r="Z64" s="1"/>
  <c r="Z71"/>
  <c r="Z70" s="1"/>
  <c r="Z73"/>
  <c r="Z77"/>
  <c r="Z87"/>
  <c r="Z88"/>
  <c r="Z89"/>
  <c r="Z90"/>
  <c r="Z91"/>
  <c r="Z93"/>
  <c r="Z94"/>
  <c r="Z96"/>
  <c r="Z97"/>
  <c r="Z99"/>
  <c r="Z100"/>
  <c r="Z101"/>
  <c r="Z103"/>
  <c r="Z105"/>
  <c r="Z106"/>
  <c r="Z108"/>
  <c r="Z148"/>
  <c r="N49" i="1"/>
  <c r="O49" s="1"/>
  <c r="Z142" i="4"/>
  <c r="Z146"/>
  <c r="Z156"/>
  <c r="Z143"/>
  <c r="Z140"/>
  <c r="Z122"/>
  <c r="Z117"/>
  <c r="Z113"/>
  <c r="Z75"/>
  <c r="Z59"/>
  <c r="Z85"/>
  <c r="Z132"/>
  <c r="P10" i="1"/>
  <c r="O10"/>
  <c r="B51"/>
  <c r="I19"/>
  <c r="J19"/>
  <c r="P19"/>
  <c r="O19"/>
  <c r="J2" i="20"/>
  <c r="I9"/>
  <c r="I12"/>
  <c r="I14"/>
  <c r="I15"/>
  <c r="H44" i="9"/>
  <c r="N34"/>
  <c r="AA34"/>
  <c r="Y66"/>
  <c r="F84" i="4"/>
  <c r="AM38" i="1"/>
  <c r="O45" i="11"/>
  <c r="AA45"/>
  <c r="AB45"/>
  <c r="H63" i="9"/>
  <c r="N44"/>
  <c r="P49" i="1"/>
  <c r="M44" i="7"/>
  <c r="L63"/>
  <c r="N44"/>
  <c r="AH49" i="1"/>
  <c r="Y67" i="11"/>
  <c r="Q69" i="9"/>
  <c r="S63"/>
  <c r="Y44"/>
  <c r="C49" i="1"/>
  <c r="O44" i="10"/>
  <c r="AA44"/>
  <c r="AB44"/>
  <c r="AA63" i="11"/>
  <c r="AB63"/>
  <c r="O63"/>
  <c r="K60" i="4"/>
  <c r="P60"/>
  <c r="F60"/>
  <c r="K2" i="20"/>
  <c r="J9"/>
  <c r="J12"/>
  <c r="J15"/>
  <c r="J14"/>
  <c r="J10"/>
  <c r="F49" i="1"/>
  <c r="G49"/>
  <c r="O34" i="7"/>
  <c r="AA34"/>
  <c r="AB34"/>
  <c r="AJ49" i="1"/>
  <c r="AK49"/>
  <c r="I49"/>
  <c r="J49"/>
  <c r="N63" i="10"/>
  <c r="G63"/>
  <c r="G67" i="11"/>
  <c r="AA63" i="10"/>
  <c r="AB63"/>
  <c r="O63"/>
  <c r="L2" i="20"/>
  <c r="K9"/>
  <c r="K12"/>
  <c r="K14"/>
  <c r="K15"/>
  <c r="K10"/>
  <c r="O44" i="7"/>
  <c r="AA44"/>
  <c r="AB44"/>
  <c r="H67" i="9"/>
  <c r="H69" s="1"/>
  <c r="N63"/>
  <c r="S67"/>
  <c r="Y63"/>
  <c r="M63" i="7"/>
  <c r="N63"/>
  <c r="AA44" i="9"/>
  <c r="AA63" i="7"/>
  <c r="AB63"/>
  <c r="O63"/>
  <c r="M2" i="20"/>
  <c r="L9"/>
  <c r="L12"/>
  <c r="L15"/>
  <c r="L14"/>
  <c r="L10"/>
  <c r="AA63" i="9"/>
  <c r="N2" i="20"/>
  <c r="M9"/>
  <c r="M12"/>
  <c r="M14"/>
  <c r="M15"/>
  <c r="M10"/>
  <c r="O2"/>
  <c r="N9"/>
  <c r="N12"/>
  <c r="N15"/>
  <c r="N14"/>
  <c r="N10"/>
  <c r="P2"/>
  <c r="O9"/>
  <c r="O12"/>
  <c r="O14"/>
  <c r="O15"/>
  <c r="O10"/>
  <c r="Q2"/>
  <c r="P9"/>
  <c r="P12"/>
  <c r="P15"/>
  <c r="P14"/>
  <c r="P10"/>
  <c r="R2"/>
  <c r="Q9"/>
  <c r="Q12"/>
  <c r="Q14"/>
  <c r="Q15"/>
  <c r="Q10"/>
  <c r="S2"/>
  <c r="R9"/>
  <c r="R12"/>
  <c r="R15"/>
  <c r="R14"/>
  <c r="R10"/>
  <c r="T2"/>
  <c r="S9"/>
  <c r="S12"/>
  <c r="S14"/>
  <c r="S15"/>
  <c r="S10"/>
  <c r="U2"/>
  <c r="T9"/>
  <c r="T12"/>
  <c r="T15"/>
  <c r="T14"/>
  <c r="T10"/>
  <c r="V2"/>
  <c r="U9"/>
  <c r="U12"/>
  <c r="U14"/>
  <c r="U15"/>
  <c r="U10"/>
  <c r="W2"/>
  <c r="V9"/>
  <c r="V12"/>
  <c r="V15"/>
  <c r="V14"/>
  <c r="V10"/>
  <c r="X2"/>
  <c r="W9"/>
  <c r="W12"/>
  <c r="W14"/>
  <c r="W15"/>
  <c r="W10"/>
  <c r="Y2"/>
  <c r="X9"/>
  <c r="X12"/>
  <c r="X15"/>
  <c r="X14"/>
  <c r="X10"/>
  <c r="Z2"/>
  <c r="Y9"/>
  <c r="Y12"/>
  <c r="Y14"/>
  <c r="Y15"/>
  <c r="Y10"/>
  <c r="AA2"/>
  <c r="Z9"/>
  <c r="Z12"/>
  <c r="Z15"/>
  <c r="Z14"/>
  <c r="Z10"/>
  <c r="AB2"/>
  <c r="AA9"/>
  <c r="AA12"/>
  <c r="AA14"/>
  <c r="AA15"/>
  <c r="AA10"/>
  <c r="AC2"/>
  <c r="AB9"/>
  <c r="AB12"/>
  <c r="AB15"/>
  <c r="AB14"/>
  <c r="AB10"/>
  <c r="AC9"/>
  <c r="AC12"/>
  <c r="AC14"/>
  <c r="AC15"/>
  <c r="AC10"/>
  <c r="AA18" i="1"/>
  <c r="AT65" i="4"/>
  <c r="BP62"/>
  <c r="BP143"/>
  <c r="BP158"/>
  <c r="BP110"/>
  <c r="BP114"/>
  <c r="BP118"/>
  <c r="BP126"/>
  <c r="BP130"/>
  <c r="BP135"/>
  <c r="BP139"/>
  <c r="BP145"/>
  <c r="BP149"/>
  <c r="BP108"/>
  <c r="BP103"/>
  <c r="BP99"/>
  <c r="BP95"/>
  <c r="BP91"/>
  <c r="BP87"/>
  <c r="BP81"/>
  <c r="BP68"/>
  <c r="AA6" i="1"/>
  <c r="BP61" i="4"/>
  <c r="BP63"/>
  <c r="BP141"/>
  <c r="BP146"/>
  <c r="BP157"/>
  <c r="BP159"/>
  <c r="BP109"/>
  <c r="BP111"/>
  <c r="BP115"/>
  <c r="BP117"/>
  <c r="BP119"/>
  <c r="BP121"/>
  <c r="BP123"/>
  <c r="BP125"/>
  <c r="BP127"/>
  <c r="BP129"/>
  <c r="BP131"/>
  <c r="BP134"/>
  <c r="BP138"/>
  <c r="BP140"/>
  <c r="BP144"/>
  <c r="BP154"/>
  <c r="BP148"/>
  <c r="BP150"/>
  <c r="BP106"/>
  <c r="BP104"/>
  <c r="BP102"/>
  <c r="BP100"/>
  <c r="BP98"/>
  <c r="BP96"/>
  <c r="BP94"/>
  <c r="BP90"/>
  <c r="BP88"/>
  <c r="BP82"/>
  <c r="BP80"/>
  <c r="BP74"/>
  <c r="BP71"/>
  <c r="AE48" i="1"/>
  <c r="AA48"/>
  <c r="AE47"/>
  <c r="AE46"/>
  <c r="AE45"/>
  <c r="AA44"/>
  <c r="AA42"/>
  <c r="AE41"/>
  <c r="AE40"/>
  <c r="AE34"/>
  <c r="AA34"/>
  <c r="AA33"/>
  <c r="AA32"/>
  <c r="AE31"/>
  <c r="AE30"/>
  <c r="AE29"/>
  <c r="AE28"/>
  <c r="AE27"/>
  <c r="AA26"/>
  <c r="AA25"/>
  <c r="AA24"/>
  <c r="AE23"/>
  <c r="AA23"/>
  <c r="AA22"/>
  <c r="AA21"/>
  <c r="AE20"/>
  <c r="AE17"/>
  <c r="AA16"/>
  <c r="AE14"/>
  <c r="AE12"/>
  <c r="BU32" i="4"/>
  <c r="BN34"/>
  <c r="BU34"/>
  <c r="AT27"/>
  <c r="AS62"/>
  <c r="AS63"/>
  <c r="AS77"/>
  <c r="AS76"/>
  <c r="AS75" s="1"/>
  <c r="AS86"/>
  <c r="AS163"/>
  <c r="AS162"/>
  <c r="AS161" s="1"/>
  <c r="AS159"/>
  <c r="AS157"/>
  <c r="AS146"/>
  <c r="AS142"/>
  <c r="AS138"/>
  <c r="AS137"/>
  <c r="AS134"/>
  <c r="AS131"/>
  <c r="AS130"/>
  <c r="AS129"/>
  <c r="AS128"/>
  <c r="AS124"/>
  <c r="AS115"/>
  <c r="AS107"/>
  <c r="AS106"/>
  <c r="AS105"/>
  <c r="AS104"/>
  <c r="AS103"/>
  <c r="AS101"/>
  <c r="AS100"/>
  <c r="AS99"/>
  <c r="AS97"/>
  <c r="AS96"/>
  <c r="AS95"/>
  <c r="AS92" s="1"/>
  <c r="AS85" s="1"/>
  <c r="AS94"/>
  <c r="AS90"/>
  <c r="AS89"/>
  <c r="AS88"/>
  <c r="AS87"/>
  <c r="AS80"/>
  <c r="AS71"/>
  <c r="AS70" s="1"/>
  <c r="AS69"/>
  <c r="AS68"/>
  <c r="AS67"/>
  <c r="AS66"/>
  <c r="AS65" s="1"/>
  <c r="AS64" s="1"/>
  <c r="AS59" s="1"/>
  <c r="AS58" s="1"/>
  <c r="AS79"/>
  <c r="AS153"/>
  <c r="BN14"/>
  <c r="BT6"/>
  <c r="BN10"/>
  <c r="BT17"/>
  <c r="BN8"/>
  <c r="BN6"/>
  <c r="AT5"/>
  <c r="BS5"/>
  <c r="BT158" s="1"/>
  <c r="BL5"/>
  <c r="BT79"/>
  <c r="BT77"/>
  <c r="BT112"/>
  <c r="BT116"/>
  <c r="BT120"/>
  <c r="BT124"/>
  <c r="BT128"/>
  <c r="BT133"/>
  <c r="BT137"/>
  <c r="BT145"/>
  <c r="BT69"/>
  <c r="BT74"/>
  <c r="BT82"/>
  <c r="BT90"/>
  <c r="BT94"/>
  <c r="BT102"/>
  <c r="BT106"/>
  <c r="BT149"/>
  <c r="BT159"/>
  <c r="BT155"/>
  <c r="BT142"/>
  <c r="BT61"/>
  <c r="BT113"/>
  <c r="BT121"/>
  <c r="BT125"/>
  <c r="BT129"/>
  <c r="BT134"/>
  <c r="BT138"/>
  <c r="BT66"/>
  <c r="BT70"/>
  <c r="BT83"/>
  <c r="BT89"/>
  <c r="BT93"/>
  <c r="BT97"/>
  <c r="BT101"/>
  <c r="BT105"/>
  <c r="BT148"/>
  <c r="BT156"/>
  <c r="BT144"/>
  <c r="BM132"/>
  <c r="BM141"/>
  <c r="BM158"/>
  <c r="BM149"/>
  <c r="BM147"/>
  <c r="BM106"/>
  <c r="BM104"/>
  <c r="BM102"/>
  <c r="BM100"/>
  <c r="BM98"/>
  <c r="BM96"/>
  <c r="BM94"/>
  <c r="BM90"/>
  <c r="BM88"/>
  <c r="BM82"/>
  <c r="BM80"/>
  <c r="BM74"/>
  <c r="BM71"/>
  <c r="BM67"/>
  <c r="BM139"/>
  <c r="BM137"/>
  <c r="BM135"/>
  <c r="BM133"/>
  <c r="BM130"/>
  <c r="BM128"/>
  <c r="BM126"/>
  <c r="BM124"/>
  <c r="BM120"/>
  <c r="BM118"/>
  <c r="BM116"/>
  <c r="BM114"/>
  <c r="BM112"/>
  <c r="BM110"/>
  <c r="BM77"/>
  <c r="BM62"/>
  <c r="B3" i="20"/>
  <c r="BM79" i="4"/>
  <c r="BM155"/>
  <c r="BM143"/>
  <c r="BU6"/>
  <c r="AR92"/>
  <c r="AR79"/>
  <c r="AR76"/>
  <c r="AR75" s="1"/>
  <c r="AR60"/>
  <c r="AR153"/>
  <c r="AT153"/>
  <c r="AR65"/>
  <c r="AR64"/>
  <c r="AR161"/>
  <c r="AT161"/>
  <c r="AS60"/>
  <c r="BM142"/>
  <c r="BM5"/>
  <c r="BM144"/>
  <c r="BM146"/>
  <c r="BM156"/>
  <c r="BM157"/>
  <c r="BN5"/>
  <c r="BM63"/>
  <c r="BM111"/>
  <c r="BM115"/>
  <c r="BM119"/>
  <c r="BM123"/>
  <c r="BM127"/>
  <c r="BM131"/>
  <c r="BM66"/>
  <c r="BM70"/>
  <c r="BM83"/>
  <c r="BM89"/>
  <c r="BM93"/>
  <c r="BM97"/>
  <c r="BM101"/>
  <c r="BM105"/>
  <c r="BM148"/>
  <c r="BM154"/>
  <c r="BM159"/>
  <c r="BM61"/>
  <c r="BM109"/>
  <c r="BM117"/>
  <c r="BM121"/>
  <c r="BM125"/>
  <c r="BM129"/>
  <c r="BM134"/>
  <c r="BM138"/>
  <c r="BM68"/>
  <c r="BM73"/>
  <c r="BM81"/>
  <c r="BM87"/>
  <c r="BM91"/>
  <c r="BM95"/>
  <c r="BM99"/>
  <c r="BM103"/>
  <c r="BM108"/>
  <c r="BM150"/>
  <c r="BM145"/>
  <c r="BM140"/>
  <c r="BM107"/>
  <c r="BR107"/>
  <c r="AS117"/>
  <c r="AR117"/>
  <c r="AR98"/>
  <c r="BT107"/>
  <c r="AR107"/>
  <c r="BR85"/>
  <c r="BW112"/>
  <c r="BK85"/>
  <c r="BN85" s="1"/>
  <c r="AS140"/>
  <c r="BK122"/>
  <c r="AR122"/>
  <c r="AS122"/>
  <c r="BT132"/>
  <c r="BW136"/>
  <c r="BL132"/>
  <c r="B68" i="7" s="1"/>
  <c r="BW132" i="4"/>
  <c r="AQ84"/>
  <c r="Z35" i="1"/>
  <c r="Z20"/>
  <c r="AB20" s="1"/>
  <c r="BR86" i="4"/>
  <c r="AR86"/>
  <c r="AB9" i="1"/>
  <c r="Z7"/>
  <c r="AA7" s="1"/>
  <c r="AA9"/>
  <c r="AS72" i="4"/>
  <c r="BM72"/>
  <c r="BL72"/>
  <c r="BN72"/>
  <c r="BP72"/>
  <c r="BT72"/>
  <c r="BP73"/>
  <c r="BW72"/>
  <c r="AQ58"/>
  <c r="D11" i="20"/>
  <c r="D8" s="1"/>
  <c r="E11"/>
  <c r="E8" s="1"/>
  <c r="B8"/>
  <c r="I11"/>
  <c r="I8"/>
  <c r="K11"/>
  <c r="K8"/>
  <c r="O11"/>
  <c r="O8" s="1"/>
  <c r="R11"/>
  <c r="R8" s="1"/>
  <c r="S11"/>
  <c r="S8"/>
  <c r="T11"/>
  <c r="T8"/>
  <c r="U11"/>
  <c r="U8" s="1"/>
  <c r="W11"/>
  <c r="W8" s="1"/>
  <c r="X11"/>
  <c r="X8"/>
  <c r="Z11"/>
  <c r="Z8"/>
  <c r="AA11"/>
  <c r="AA8" s="1"/>
  <c r="AC11"/>
  <c r="AC8" s="1"/>
  <c r="F11"/>
  <c r="F8"/>
  <c r="G11"/>
  <c r="G8"/>
  <c r="H11"/>
  <c r="H8" s="1"/>
  <c r="J11"/>
  <c r="J8" s="1"/>
  <c r="L11"/>
  <c r="L8"/>
  <c r="M11"/>
  <c r="M8"/>
  <c r="N11"/>
  <c r="N8" s="1"/>
  <c r="P11"/>
  <c r="P8" s="1"/>
  <c r="Q11"/>
  <c r="Q8"/>
  <c r="V11"/>
  <c r="V8"/>
  <c r="Y11"/>
  <c r="Y8" s="1"/>
  <c r="AB11"/>
  <c r="AB8" s="1"/>
  <c r="BS64" i="4"/>
  <c r="BT64"/>
  <c r="BW64"/>
  <c r="BM69"/>
  <c r="BP69"/>
  <c r="BW69"/>
  <c r="AL13" i="1"/>
  <c r="AM13" s="1"/>
  <c r="BN69" i="4"/>
  <c r="BK64"/>
  <c r="BR59"/>
  <c r="BW59" s="1"/>
  <c r="Z11" i="1"/>
  <c r="AB11" s="1"/>
  <c r="AL12"/>
  <c r="AM12" s="1"/>
  <c r="BW107" i="4"/>
  <c r="BS107"/>
  <c r="AR85"/>
  <c r="BS85"/>
  <c r="B66" i="10" s="1"/>
  <c r="BP85" i="4"/>
  <c r="BL85"/>
  <c r="BM85"/>
  <c r="BT85"/>
  <c r="BW85"/>
  <c r="BL122"/>
  <c r="BM122"/>
  <c r="BN122"/>
  <c r="BP122"/>
  <c r="AA35" i="1"/>
  <c r="AB35"/>
  <c r="Z19"/>
  <c r="AA19" s="1"/>
  <c r="B68" i="11"/>
  <c r="BS86" i="4"/>
  <c r="BW86"/>
  <c r="BT86"/>
  <c r="AL20" i="1"/>
  <c r="AM20" s="1"/>
  <c r="AB7"/>
  <c r="AQ151" i="4"/>
  <c r="AT164" s="1"/>
  <c r="AT108"/>
  <c r="BS59"/>
  <c r="BL64"/>
  <c r="BP64"/>
  <c r="BM64"/>
  <c r="BN64"/>
  <c r="AA11" i="1"/>
  <c r="Z10"/>
  <c r="AT147" i="4"/>
  <c r="AT120"/>
  <c r="AT117"/>
  <c r="AT100"/>
  <c r="AT101"/>
  <c r="B66" i="7"/>
  <c r="W66" s="1"/>
  <c r="AT110" i="4"/>
  <c r="AT99"/>
  <c r="AT156"/>
  <c r="AT98"/>
  <c r="AT109"/>
  <c r="AT107"/>
  <c r="AT148"/>
  <c r="AT157"/>
  <c r="AT127"/>
  <c r="AT128"/>
  <c r="AT139"/>
  <c r="AT112"/>
  <c r="AT114"/>
  <c r="AT140"/>
  <c r="AT141"/>
  <c r="AT125"/>
  <c r="AT124"/>
  <c r="AT122"/>
  <c r="AT123"/>
  <c r="H68" i="11"/>
  <c r="S68"/>
  <c r="S69" s="1"/>
  <c r="L68"/>
  <c r="L69" s="1"/>
  <c r="W68"/>
  <c r="W69" s="1"/>
  <c r="Q68"/>
  <c r="AT137" i="4"/>
  <c r="AT136"/>
  <c r="AT134"/>
  <c r="AT115"/>
  <c r="AT113"/>
  <c r="AT105"/>
  <c r="AT106"/>
  <c r="AT133"/>
  <c r="AT102"/>
  <c r="AT103"/>
  <c r="AT145"/>
  <c r="AT111"/>
  <c r="AT94"/>
  <c r="AT144"/>
  <c r="AT143"/>
  <c r="AT132"/>
  <c r="AT97"/>
  <c r="AT96"/>
  <c r="AT92"/>
  <c r="AT93"/>
  <c r="AT90"/>
  <c r="AT91"/>
  <c r="AT88"/>
  <c r="AT89"/>
  <c r="J66" i="7"/>
  <c r="J67" s="1"/>
  <c r="B18" i="20"/>
  <c r="E18" s="1"/>
  <c r="L66" i="7"/>
  <c r="L67" s="1"/>
  <c r="M67" s="1"/>
  <c r="Q66"/>
  <c r="Q67" s="1"/>
  <c r="AT87" i="4"/>
  <c r="AT84"/>
  <c r="AT85"/>
  <c r="AT86"/>
  <c r="AT59"/>
  <c r="AT73"/>
  <c r="AT151"/>
  <c r="AT78"/>
  <c r="AT77"/>
  <c r="AT71"/>
  <c r="AT70" s="1"/>
  <c r="AT69"/>
  <c r="AT64" s="1"/>
  <c r="Z49" i="1"/>
  <c r="AB49" s="1"/>
  <c r="AT75" i="4"/>
  <c r="AT63"/>
  <c r="AT60" s="1"/>
  <c r="AT62"/>
  <c r="AT76"/>
  <c r="AT61"/>
  <c r="AT58"/>
  <c r="AB10" i="1"/>
  <c r="AA10"/>
  <c r="H66" i="7"/>
  <c r="H67" s="1"/>
  <c r="S66"/>
  <c r="S67" s="1"/>
  <c r="U66"/>
  <c r="U67" s="1"/>
  <c r="Q69" i="11"/>
  <c r="I18" i="20"/>
  <c r="J18"/>
  <c r="R18"/>
  <c r="V18"/>
  <c r="G18"/>
  <c r="N18"/>
  <c r="T18"/>
  <c r="AB18"/>
  <c r="L18"/>
  <c r="C18"/>
  <c r="AA18"/>
  <c r="W18"/>
  <c r="S18"/>
  <c r="K18"/>
  <c r="P18"/>
  <c r="F18"/>
  <c r="AC18"/>
  <c r="Y18"/>
  <c r="U18"/>
  <c r="M18"/>
  <c r="AA49" i="1"/>
  <c r="B66" i="8"/>
  <c r="Y8" i="1"/>
  <c r="X8"/>
  <c r="BM27" i="4"/>
  <c r="T51" i="1"/>
  <c r="B68" i="10"/>
  <c r="J68" s="1"/>
  <c r="B68" i="8"/>
  <c r="Q19" i="1"/>
  <c r="R19" s="1"/>
  <c r="BK84" i="4"/>
  <c r="BP84" s="1"/>
  <c r="BR84"/>
  <c r="BW84" s="1"/>
  <c r="Q51" i="1"/>
  <c r="F68" i="11"/>
  <c r="N68" s="1"/>
  <c r="U68"/>
  <c r="J68"/>
  <c r="J69" s="1"/>
  <c r="L66" i="8"/>
  <c r="L67" s="1"/>
  <c r="J66"/>
  <c r="J67" s="1"/>
  <c r="H68" i="10"/>
  <c r="Z51" i="1"/>
  <c r="AT118" i="4"/>
  <c r="AT119"/>
  <c r="F66" i="8"/>
  <c r="W66"/>
  <c r="W67" s="1"/>
  <c r="W69" s="1"/>
  <c r="U66"/>
  <c r="U67" s="1"/>
  <c r="U69" s="1"/>
  <c r="H66"/>
  <c r="N66" s="1"/>
  <c r="S66"/>
  <c r="S67" s="1"/>
  <c r="S69" s="1"/>
  <c r="Q66"/>
  <c r="Q67" s="1"/>
  <c r="W51" i="1"/>
  <c r="H68" i="8"/>
  <c r="S68"/>
  <c r="F68"/>
  <c r="N68" s="1"/>
  <c r="Q68"/>
  <c r="L68"/>
  <c r="W68"/>
  <c r="J68"/>
  <c r="U68"/>
  <c r="BN84" i="4"/>
  <c r="BM84"/>
  <c r="S19" i="1"/>
  <c r="AL19"/>
  <c r="AM19" s="1"/>
  <c r="BT84" i="4"/>
  <c r="BS84"/>
  <c r="AL51" i="1"/>
  <c r="Y66" i="8"/>
  <c r="U69" i="11"/>
  <c r="Y68"/>
  <c r="Y69" s="1"/>
  <c r="F69"/>
  <c r="G69" s="1"/>
  <c r="G68"/>
  <c r="AN43" i="1"/>
  <c r="AN37"/>
  <c r="AN21"/>
  <c r="AN46"/>
  <c r="AN44"/>
  <c r="AN45"/>
  <c r="AN19"/>
  <c r="AN29"/>
  <c r="AN28"/>
  <c r="AN41"/>
  <c r="AN48"/>
  <c r="AN36"/>
  <c r="AN27"/>
  <c r="AN34"/>
  <c r="AN38"/>
  <c r="AN30"/>
  <c r="AN26"/>
  <c r="AN33"/>
  <c r="AN42"/>
  <c r="AN32"/>
  <c r="AN20"/>
  <c r="AN31"/>
  <c r="G66" i="8"/>
  <c r="F67"/>
  <c r="Y68"/>
  <c r="G68"/>
  <c r="G67"/>
  <c r="F69"/>
  <c r="G69" s="1"/>
  <c r="U9" i="1" l="1"/>
  <c r="V9"/>
  <c r="T7"/>
  <c r="U7" s="1"/>
  <c r="J8"/>
  <c r="I8"/>
  <c r="AA68" i="8"/>
  <c r="AB68" s="1"/>
  <c r="O68"/>
  <c r="Y67"/>
  <c r="Y69" s="1"/>
  <c r="Q69"/>
  <c r="P8" i="1"/>
  <c r="O8"/>
  <c r="O66" i="8"/>
  <c r="AA66"/>
  <c r="AB66" s="1"/>
  <c r="AA68" i="11"/>
  <c r="AB68" s="1"/>
  <c r="O68"/>
  <c r="N67" i="9"/>
  <c r="N69" s="1"/>
  <c r="AA66"/>
  <c r="H67" i="8"/>
  <c r="J69"/>
  <c r="AB19" i="1"/>
  <c r="AA20"/>
  <c r="AJ39"/>
  <c r="AJ36"/>
  <c r="F26"/>
  <c r="F23"/>
  <c r="N7"/>
  <c r="O7" s="1"/>
  <c r="AK14"/>
  <c r="AE6"/>
  <c r="AA68" i="9"/>
  <c r="W69"/>
  <c r="AD25" i="1"/>
  <c r="AD24"/>
  <c r="AG6"/>
  <c r="AH6"/>
  <c r="F68" i="10"/>
  <c r="G68" s="1"/>
  <c r="M66" i="7"/>
  <c r="N66" i="11"/>
  <c r="AJ27" i="1"/>
  <c r="AG16"/>
  <c r="U12"/>
  <c r="AL4"/>
  <c r="AO38" s="1"/>
  <c r="L69" i="8"/>
  <c r="U69" i="9"/>
  <c r="K7" i="1"/>
  <c r="G14"/>
  <c r="AJ12"/>
  <c r="F12"/>
  <c r="AJ6"/>
  <c r="Y66" i="7"/>
  <c r="W67"/>
  <c r="E151" i="4"/>
  <c r="F68" i="7"/>
  <c r="Q68"/>
  <c r="U68"/>
  <c r="U69" s="1"/>
  <c r="H68"/>
  <c r="H69" s="1"/>
  <c r="L68"/>
  <c r="M68" s="1"/>
  <c r="W68"/>
  <c r="J68"/>
  <c r="B19" i="20"/>
  <c r="S68" i="7"/>
  <c r="S69" s="1"/>
  <c r="J69"/>
  <c r="AN24" i="1"/>
  <c r="AN25"/>
  <c r="AN39"/>
  <c r="AN23"/>
  <c r="AN22"/>
  <c r="AN40"/>
  <c r="Y67" i="9"/>
  <c r="Y69" s="1"/>
  <c r="AA69" s="1"/>
  <c r="S66" i="10"/>
  <c r="S67" s="1"/>
  <c r="F66"/>
  <c r="Q66"/>
  <c r="J66"/>
  <c r="J67" s="1"/>
  <c r="J69" s="1"/>
  <c r="H66"/>
  <c r="H67" s="1"/>
  <c r="H69" s="1"/>
  <c r="U66"/>
  <c r="U67" s="1"/>
  <c r="W66"/>
  <c r="W67" s="1"/>
  <c r="L66"/>
  <c r="L67" s="1"/>
  <c r="V7" i="1"/>
  <c r="V27"/>
  <c r="V38"/>
  <c r="AG9"/>
  <c r="AH9"/>
  <c r="BL84" i="4"/>
  <c r="W68" i="10"/>
  <c r="L68"/>
  <c r="N68" s="1"/>
  <c r="S68"/>
  <c r="Q18" i="20"/>
  <c r="H18"/>
  <c r="O18"/>
  <c r="D18"/>
  <c r="X18"/>
  <c r="Z18"/>
  <c r="F66" i="7"/>
  <c r="BT59" i="4"/>
  <c r="BT154"/>
  <c r="BT108"/>
  <c r="BT99"/>
  <c r="BT91"/>
  <c r="BT81"/>
  <c r="BT68"/>
  <c r="BT136"/>
  <c r="BT127"/>
  <c r="BT119"/>
  <c r="BT111"/>
  <c r="BT143"/>
  <c r="BT146"/>
  <c r="BT104"/>
  <c r="BT96"/>
  <c r="BT88"/>
  <c r="BT71"/>
  <c r="BT139"/>
  <c r="BT130"/>
  <c r="BT122"/>
  <c r="BT114"/>
  <c r="BT62"/>
  <c r="AA67" i="9"/>
  <c r="P7" i="1"/>
  <c r="Q7"/>
  <c r="AM85" i="4"/>
  <c r="AM84" s="1"/>
  <c r="X84"/>
  <c r="J59"/>
  <c r="J58" s="1"/>
  <c r="AR59"/>
  <c r="AR58" s="1"/>
  <c r="S69" i="9"/>
  <c r="AM8" i="1"/>
  <c r="O66" i="11"/>
  <c r="AA66"/>
  <c r="AB66" s="1"/>
  <c r="AJ9" i="1"/>
  <c r="AK9"/>
  <c r="AI7"/>
  <c r="J9"/>
  <c r="H7"/>
  <c r="AO26"/>
  <c r="AO48"/>
  <c r="AO25"/>
  <c r="AO33"/>
  <c r="AO43"/>
  <c r="AO24"/>
  <c r="AO30"/>
  <c r="AO42"/>
  <c r="AO23"/>
  <c r="AO32"/>
  <c r="AO41"/>
  <c r="AO46"/>
  <c r="AO29"/>
  <c r="AO40"/>
  <c r="U68" i="10"/>
  <c r="Q68"/>
  <c r="BT150" i="4"/>
  <c r="BT103"/>
  <c r="BT95"/>
  <c r="BT87"/>
  <c r="BT73"/>
  <c r="BT141"/>
  <c r="BT131"/>
  <c r="BT123"/>
  <c r="BT115"/>
  <c r="BT63"/>
  <c r="BT157"/>
  <c r="BT147"/>
  <c r="BT100"/>
  <c r="BT92"/>
  <c r="BT80"/>
  <c r="BT67"/>
  <c r="BT135"/>
  <c r="BT126"/>
  <c r="BT118"/>
  <c r="BT110"/>
  <c r="AC85"/>
  <c r="AC84" s="1"/>
  <c r="BG85"/>
  <c r="BG84" s="1"/>
  <c r="AM58"/>
  <c r="AM151" s="1"/>
  <c r="AV58"/>
  <c r="AC11" i="1"/>
  <c r="AY59" i="4"/>
  <c r="AE9" i="1"/>
  <c r="AD9"/>
  <c r="M7"/>
  <c r="L7"/>
  <c r="BL79" i="4"/>
  <c r="BP79"/>
  <c r="AG75"/>
  <c r="T16" i="1"/>
  <c r="AM6"/>
  <c r="D84" i="4"/>
  <c r="AC59"/>
  <c r="AC78"/>
  <c r="AC76" s="1"/>
  <c r="AC75" s="1"/>
  <c r="BR78"/>
  <c r="AN62"/>
  <c r="AN61"/>
  <c r="AN103"/>
  <c r="AN109"/>
  <c r="AN113"/>
  <c r="AN85" s="1"/>
  <c r="AN115"/>
  <c r="AN116"/>
  <c r="AN121"/>
  <c r="AN123"/>
  <c r="AN128"/>
  <c r="AN130"/>
  <c r="AN134"/>
  <c r="AN132" s="1"/>
  <c r="AN142"/>
  <c r="AN145"/>
  <c r="AN147"/>
  <c r="AN150"/>
  <c r="AN154"/>
  <c r="AN153" s="1"/>
  <c r="AN158"/>
  <c r="AJ5"/>
  <c r="AH66"/>
  <c r="AH65" s="1"/>
  <c r="AH67"/>
  <c r="AG46"/>
  <c r="AG22"/>
  <c r="AG51"/>
  <c r="AG52"/>
  <c r="AH61"/>
  <c r="AH62"/>
  <c r="AH69"/>
  <c r="AH91"/>
  <c r="AH95"/>
  <c r="AH92" s="1"/>
  <c r="AH112"/>
  <c r="AH116"/>
  <c r="AH118"/>
  <c r="AH121"/>
  <c r="AH125"/>
  <c r="AH130"/>
  <c r="AH137"/>
  <c r="AH141"/>
  <c r="AH142"/>
  <c r="AH146"/>
  <c r="AH147"/>
  <c r="AH150"/>
  <c r="AH154"/>
  <c r="AH156"/>
  <c r="AH157"/>
  <c r="AH158"/>
  <c r="AH162"/>
  <c r="BC161"/>
  <c r="S153"/>
  <c r="U153" s="1"/>
  <c r="BR140"/>
  <c r="BC132"/>
  <c r="BC84" s="1"/>
  <c r="BR98"/>
  <c r="AI79"/>
  <c r="AI58" s="1"/>
  <c r="AI151" s="1"/>
  <c r="AH72"/>
  <c r="D72"/>
  <c r="D59" s="1"/>
  <c r="D58" s="1"/>
  <c r="D151" s="1"/>
  <c r="BR44"/>
  <c r="BK44"/>
  <c r="F154"/>
  <c r="BM152"/>
  <c r="BL152"/>
  <c r="BP152"/>
  <c r="BN152"/>
  <c r="AD61"/>
  <c r="AD60" s="1"/>
  <c r="AD59" s="1"/>
  <c r="AD58" s="1"/>
  <c r="AD63"/>
  <c r="AD103"/>
  <c r="AD107"/>
  <c r="AD85" s="1"/>
  <c r="AD109"/>
  <c r="AD113"/>
  <c r="AD115"/>
  <c r="AD123"/>
  <c r="AD126"/>
  <c r="AD127"/>
  <c r="AD128"/>
  <c r="AD133"/>
  <c r="AD134"/>
  <c r="AD138"/>
  <c r="AD149"/>
  <c r="AD155"/>
  <c r="AD153" s="1"/>
  <c r="T61"/>
  <c r="T60" s="1"/>
  <c r="T59" s="1"/>
  <c r="T58" s="1"/>
  <c r="T62"/>
  <c r="T104"/>
  <c r="T117"/>
  <c r="T85" s="1"/>
  <c r="T118"/>
  <c r="T125"/>
  <c r="T129"/>
  <c r="T133"/>
  <c r="T145"/>
  <c r="T146"/>
  <c r="T156"/>
  <c r="T153" s="1"/>
  <c r="T157"/>
  <c r="T162"/>
  <c r="T161" s="1"/>
  <c r="T15"/>
  <c r="R14"/>
  <c r="R22" s="1"/>
  <c r="BK15"/>
  <c r="BR15"/>
  <c r="H67" i="11"/>
  <c r="AC35" i="1"/>
  <c r="R58" i="4"/>
  <c r="AH45" i="1"/>
  <c r="AL47"/>
  <c r="AH48"/>
  <c r="AG47"/>
  <c r="F39"/>
  <c r="F34"/>
  <c r="AD32"/>
  <c r="AJ28"/>
  <c r="AJ25"/>
  <c r="AJ22"/>
  <c r="AD21"/>
  <c r="W9"/>
  <c r="AF8"/>
  <c r="E8"/>
  <c r="F6"/>
  <c r="AM162" i="4"/>
  <c r="BH153"/>
  <c r="AR143"/>
  <c r="AR132" s="1"/>
  <c r="AR84" s="1"/>
  <c r="J143"/>
  <c r="J132" s="1"/>
  <c r="J84" s="1"/>
  <c r="T140"/>
  <c r="BK136"/>
  <c r="BR117"/>
  <c r="BK113"/>
  <c r="O113"/>
  <c r="BR109"/>
  <c r="O109"/>
  <c r="S107"/>
  <c r="S98"/>
  <c r="S85" s="1"/>
  <c r="S84" s="1"/>
  <c r="BK92"/>
  <c r="AL76"/>
  <c r="AB76"/>
  <c r="AW72"/>
  <c r="AW59" s="1"/>
  <c r="AW58" s="1"/>
  <c r="AW151" s="1"/>
  <c r="BL70"/>
  <c r="BI60"/>
  <c r="BB60"/>
  <c r="BK60"/>
  <c r="BR60"/>
  <c r="BR45"/>
  <c r="BU31"/>
  <c r="BU29"/>
  <c r="AT74"/>
  <c r="AT154"/>
  <c r="AT155"/>
  <c r="H45"/>
  <c r="BK45" s="1"/>
  <c r="I66"/>
  <c r="I67"/>
  <c r="I69"/>
  <c r="K5"/>
  <c r="H46"/>
  <c r="I61"/>
  <c r="I60" s="1"/>
  <c r="I62"/>
  <c r="I68"/>
  <c r="I73"/>
  <c r="I72" s="1"/>
  <c r="I86"/>
  <c r="I85" s="1"/>
  <c r="I94"/>
  <c r="I92" s="1"/>
  <c r="I103"/>
  <c r="I112"/>
  <c r="I115"/>
  <c r="I120"/>
  <c r="I123"/>
  <c r="I134"/>
  <c r="I135"/>
  <c r="I138"/>
  <c r="I139"/>
  <c r="I147"/>
  <c r="I149"/>
  <c r="I162"/>
  <c r="BN132"/>
  <c r="AK29" i="1"/>
  <c r="U26"/>
  <c r="AG24"/>
  <c r="U24"/>
  <c r="U23"/>
  <c r="AI161" i="4"/>
  <c r="J161"/>
  <c r="BC153"/>
  <c r="I153"/>
  <c r="K153" s="1"/>
  <c r="AS136"/>
  <c r="AS132" s="1"/>
  <c r="AS84" s="1"/>
  <c r="AS151" s="1"/>
  <c r="AX132"/>
  <c r="AX84" s="1"/>
  <c r="O117"/>
  <c r="BB92"/>
  <c r="BB85" s="1"/>
  <c r="BB84" s="1"/>
  <c r="AI92"/>
  <c r="AI85" s="1"/>
  <c r="AI84" s="1"/>
  <c r="BC79"/>
  <c r="BC58" s="1"/>
  <c r="BC151" s="1"/>
  <c r="O79"/>
  <c r="N76"/>
  <c r="N75" s="1"/>
  <c r="X65"/>
  <c r="X64" s="1"/>
  <c r="X59" s="1"/>
  <c r="X58" s="1"/>
  <c r="X151" s="1"/>
  <c r="S65"/>
  <c r="S64" s="1"/>
  <c r="S59" s="1"/>
  <c r="S58" s="1"/>
  <c r="W46"/>
  <c r="BR46" s="1"/>
  <c r="O69"/>
  <c r="O73"/>
  <c r="O72" s="1"/>
  <c r="O88"/>
  <c r="O91"/>
  <c r="O93"/>
  <c r="O92" s="1"/>
  <c r="O105"/>
  <c r="O106"/>
  <c r="O112"/>
  <c r="O120"/>
  <c r="O124"/>
  <c r="O126"/>
  <c r="O136"/>
  <c r="O137"/>
  <c r="O138"/>
  <c r="O139"/>
  <c r="O143"/>
  <c r="O149"/>
  <c r="O162"/>
  <c r="O161" s="1"/>
  <c r="K74"/>
  <c r="K154"/>
  <c r="Y14" i="1"/>
  <c r="AI153" i="4"/>
  <c r="O153"/>
  <c r="BR153"/>
  <c r="N92"/>
  <c r="N85" s="1"/>
  <c r="N84" s="1"/>
  <c r="BK86"/>
  <c r="AW79"/>
  <c r="I79"/>
  <c r="BK78"/>
  <c r="BB76"/>
  <c r="BB75" s="1"/>
  <c r="BB72"/>
  <c r="N72"/>
  <c r="O65"/>
  <c r="O64" s="1"/>
  <c r="O59" s="1"/>
  <c r="O58" s="1"/>
  <c r="F65"/>
  <c r="F64" s="1"/>
  <c r="N64"/>
  <c r="N59" s="1"/>
  <c r="N58" s="1"/>
  <c r="N151" s="1"/>
  <c r="AN63"/>
  <c r="BG60"/>
  <c r="BG59" s="1"/>
  <c r="BG58" s="1"/>
  <c r="BG151" s="1"/>
  <c r="AX60"/>
  <c r="AX59" s="1"/>
  <c r="AX58" s="1"/>
  <c r="C46"/>
  <c r="BK46" s="1"/>
  <c r="B16" i="20" s="1"/>
  <c r="BU30" i="4"/>
  <c r="BU28"/>
  <c r="BU14"/>
  <c r="BT5" s="1"/>
  <c r="BR36"/>
  <c r="BR27" s="1"/>
  <c r="P36"/>
  <c r="BT36"/>
  <c r="BT27" s="1"/>
  <c r="BN17" i="21"/>
  <c r="BN21" s="1"/>
  <c r="BN26" s="1"/>
  <c r="BN31" s="1"/>
  <c r="AZ17"/>
  <c r="AZ21" s="1"/>
  <c r="AZ26" s="1"/>
  <c r="AZ31" s="1"/>
  <c r="AL17"/>
  <c r="AL21" s="1"/>
  <c r="AL26" s="1"/>
  <c r="AL31" s="1"/>
  <c r="X17"/>
  <c r="X21" s="1"/>
  <c r="X26" s="1"/>
  <c r="X31" s="1"/>
  <c r="Q17"/>
  <c r="Q21" s="1"/>
  <c r="Q26" s="1"/>
  <c r="Q31" s="1"/>
  <c r="F17"/>
  <c r="F21" s="1"/>
  <c r="F26" s="1"/>
  <c r="F31" s="1"/>
  <c r="BQ31"/>
  <c r="O17"/>
  <c r="O21" s="1"/>
  <c r="O26" s="1"/>
  <c r="O31" s="1"/>
  <c r="AO31"/>
  <c r="BS17"/>
  <c r="BS21" s="1"/>
  <c r="BS26" s="1"/>
  <c r="BS31" s="1"/>
  <c r="BL17"/>
  <c r="BL21" s="1"/>
  <c r="BL26" s="1"/>
  <c r="BL31" s="1"/>
  <c r="BE17"/>
  <c r="BE21" s="1"/>
  <c r="BE26" s="1"/>
  <c r="BE31" s="1"/>
  <c r="AQ17"/>
  <c r="AQ21" s="1"/>
  <c r="AQ26" s="1"/>
  <c r="AQ31" s="1"/>
  <c r="AJ17"/>
  <c r="AJ21" s="1"/>
  <c r="AJ26" s="1"/>
  <c r="AJ31" s="1"/>
  <c r="AC17"/>
  <c r="AC21" s="1"/>
  <c r="AC26" s="1"/>
  <c r="AC31" s="1"/>
  <c r="V17"/>
  <c r="V21" s="1"/>
  <c r="V26" s="1"/>
  <c r="V31" s="1"/>
  <c r="H17"/>
  <c r="H21" s="1"/>
  <c r="H26" s="1"/>
  <c r="H31" s="1"/>
  <c r="M31"/>
  <c r="AX31"/>
  <c r="BJ17"/>
  <c r="BJ21" s="1"/>
  <c r="BJ26" s="1"/>
  <c r="BJ31" s="1"/>
  <c r="AS17"/>
  <c r="AS21" s="1"/>
  <c r="AS26" s="1"/>
  <c r="AS31" s="1"/>
  <c r="BC17"/>
  <c r="BC21" s="1"/>
  <c r="BC26" s="1"/>
  <c r="BC31" s="1"/>
  <c r="BU17"/>
  <c r="BU21" s="1"/>
  <c r="BU26" s="1"/>
  <c r="BU31" s="1"/>
  <c r="AA17"/>
  <c r="AA21" s="1"/>
  <c r="AA26" s="1"/>
  <c r="AA31" s="1"/>
  <c r="AE17"/>
  <c r="AE21" s="1"/>
  <c r="AE26" s="1"/>
  <c r="AE31" s="1"/>
  <c r="W69" i="7" l="1"/>
  <c r="AO37" i="1"/>
  <c r="AO31"/>
  <c r="AO28"/>
  <c r="AO22"/>
  <c r="AO36"/>
  <c r="AO45"/>
  <c r="AO27"/>
  <c r="AO39"/>
  <c r="AO20"/>
  <c r="AO21"/>
  <c r="AO34"/>
  <c r="AO44"/>
  <c r="AO19"/>
  <c r="H69" i="8"/>
  <c r="N67"/>
  <c r="L69" i="10"/>
  <c r="AN84" i="4"/>
  <c r="O68" i="10"/>
  <c r="BS153" i="4"/>
  <c r="BW153"/>
  <c r="BT153"/>
  <c r="BU153"/>
  <c r="BL60"/>
  <c r="BP60"/>
  <c r="BN60"/>
  <c r="BM60"/>
  <c r="BK59"/>
  <c r="AM161"/>
  <c r="AO161" s="1"/>
  <c r="AO162"/>
  <c r="Y9" i="1"/>
  <c r="X9"/>
  <c r="W7"/>
  <c r="U58" i="4"/>
  <c r="R151"/>
  <c r="BR14"/>
  <c r="BT15"/>
  <c r="BS98"/>
  <c r="BW98"/>
  <c r="BU98"/>
  <c r="BT98"/>
  <c r="BS78"/>
  <c r="BT78"/>
  <c r="BW78"/>
  <c r="BU78"/>
  <c r="S19" i="20"/>
  <c r="S17" s="1"/>
  <c r="X19"/>
  <c r="X17" s="1"/>
  <c r="AC19"/>
  <c r="AC17" s="1"/>
  <c r="G19"/>
  <c r="G17" s="1"/>
  <c r="Q19"/>
  <c r="Q17" s="1"/>
  <c r="D19"/>
  <c r="N19"/>
  <c r="N17" s="1"/>
  <c r="H19"/>
  <c r="M19"/>
  <c r="M17" s="1"/>
  <c r="R19"/>
  <c r="R17" s="1"/>
  <c r="L19"/>
  <c r="L17" s="1"/>
  <c r="V19"/>
  <c r="V17" s="1"/>
  <c r="I19"/>
  <c r="I17" s="1"/>
  <c r="AA19"/>
  <c r="AA17" s="1"/>
  <c r="J19"/>
  <c r="J17" s="1"/>
  <c r="F19"/>
  <c r="F17" s="1"/>
  <c r="C19"/>
  <c r="P19"/>
  <c r="P17" s="1"/>
  <c r="Z19"/>
  <c r="O19"/>
  <c r="E19"/>
  <c r="E17" s="1"/>
  <c r="W19"/>
  <c r="W17" s="1"/>
  <c r="T19"/>
  <c r="T17" s="1"/>
  <c r="K19"/>
  <c r="K17" s="1"/>
  <c r="U19"/>
  <c r="U17" s="1"/>
  <c r="AB19"/>
  <c r="AB17" s="1"/>
  <c r="Y19"/>
  <c r="Y17" s="1"/>
  <c r="O132" i="4"/>
  <c r="AH132"/>
  <c r="AH64"/>
  <c r="BU36"/>
  <c r="J151"/>
  <c r="S69" i="10"/>
  <c r="L69" i="7"/>
  <c r="M69" s="1"/>
  <c r="BP78" i="4"/>
  <c r="BL78"/>
  <c r="BM78"/>
  <c r="BN78"/>
  <c r="BU60"/>
  <c r="BW60"/>
  <c r="BS60"/>
  <c r="BT60"/>
  <c r="BL92"/>
  <c r="BN92"/>
  <c r="BP92"/>
  <c r="BM92"/>
  <c r="BS109"/>
  <c r="BT109"/>
  <c r="BW109"/>
  <c r="BU109"/>
  <c r="BL136"/>
  <c r="BN136"/>
  <c r="BM136"/>
  <c r="BP136"/>
  <c r="AG8" i="1"/>
  <c r="AH8"/>
  <c r="AF7"/>
  <c r="N67" i="11"/>
  <c r="H69"/>
  <c r="AV151" i="4"/>
  <c r="AY58"/>
  <c r="AK7" i="1"/>
  <c r="AJ7"/>
  <c r="N66" i="10"/>
  <c r="F67"/>
  <c r="G66"/>
  <c r="N68" i="7"/>
  <c r="G68"/>
  <c r="O85" i="4"/>
  <c r="O84" s="1"/>
  <c r="O151" s="1"/>
  <c r="I132"/>
  <c r="I65"/>
  <c r="I64" s="1"/>
  <c r="AR151"/>
  <c r="Z17" i="20"/>
  <c r="H17"/>
  <c r="U69" i="10"/>
  <c r="BL86" i="4"/>
  <c r="BN86"/>
  <c r="BP86"/>
  <c r="BM86"/>
  <c r="W16" i="1"/>
  <c r="AL75" i="4"/>
  <c r="BS117"/>
  <c r="BW117"/>
  <c r="BT117"/>
  <c r="BU117"/>
  <c r="G8" i="1"/>
  <c r="F8"/>
  <c r="E7"/>
  <c r="AO47"/>
  <c r="AM47"/>
  <c r="AN47"/>
  <c r="AE35"/>
  <c r="AL35"/>
  <c r="AD35"/>
  <c r="BS140" i="4"/>
  <c r="BW140"/>
  <c r="BU140"/>
  <c r="BT140"/>
  <c r="T15" i="1"/>
  <c r="AG58" i="4"/>
  <c r="AC10" i="1"/>
  <c r="AD11"/>
  <c r="AE11"/>
  <c r="AL11"/>
  <c r="AM11" s="1"/>
  <c r="G66" i="7"/>
  <c r="F67"/>
  <c r="N66"/>
  <c r="Q67" i="10"/>
  <c r="Y66"/>
  <c r="AX151" i="4"/>
  <c r="I84"/>
  <c r="I59"/>
  <c r="I58" s="1"/>
  <c r="I151" s="1"/>
  <c r="AH85"/>
  <c r="AH84" s="1"/>
  <c r="AH60"/>
  <c r="AH59" s="1"/>
  <c r="AH58" s="1"/>
  <c r="AN60"/>
  <c r="AN59" s="1"/>
  <c r="AN58" s="1"/>
  <c r="AN151" s="1"/>
  <c r="O17" i="20"/>
  <c r="W69" i="10"/>
  <c r="Y68" i="7"/>
  <c r="Q69"/>
  <c r="BU68" i="4"/>
  <c r="BU91"/>
  <c r="BU99"/>
  <c r="BU108"/>
  <c r="BU145"/>
  <c r="BU131"/>
  <c r="BU123"/>
  <c r="BU115"/>
  <c r="BU62"/>
  <c r="BU69"/>
  <c r="BU82"/>
  <c r="BU94"/>
  <c r="BU102"/>
  <c r="BU147"/>
  <c r="BU156"/>
  <c r="BU143"/>
  <c r="BU137"/>
  <c r="BU128"/>
  <c r="BU120"/>
  <c r="BU111"/>
  <c r="BU70"/>
  <c r="BU112"/>
  <c r="BU132"/>
  <c r="BU59"/>
  <c r="BU89"/>
  <c r="BU97"/>
  <c r="BU105"/>
  <c r="BU146"/>
  <c r="BU134"/>
  <c r="BU125"/>
  <c r="BU77"/>
  <c r="BU67"/>
  <c r="BU80"/>
  <c r="BU92"/>
  <c r="BU100"/>
  <c r="BU149"/>
  <c r="BU157"/>
  <c r="BU144"/>
  <c r="BU139"/>
  <c r="BU130"/>
  <c r="BU122"/>
  <c r="BU114"/>
  <c r="BU61"/>
  <c r="BU87"/>
  <c r="BU95"/>
  <c r="BU103"/>
  <c r="BU148"/>
  <c r="BU138"/>
  <c r="BU127"/>
  <c r="BU119"/>
  <c r="BU110"/>
  <c r="BU79"/>
  <c r="BU74"/>
  <c r="BU90"/>
  <c r="BU106"/>
  <c r="BU158"/>
  <c r="BU154"/>
  <c r="BU141"/>
  <c r="BU133"/>
  <c r="BU124"/>
  <c r="BU116"/>
  <c r="BU63"/>
  <c r="BU83"/>
  <c r="BU72"/>
  <c r="BU64"/>
  <c r="BU86"/>
  <c r="BU84"/>
  <c r="BU81"/>
  <c r="BU93"/>
  <c r="BU101"/>
  <c r="BU150"/>
  <c r="BU129"/>
  <c r="BU121"/>
  <c r="BU113"/>
  <c r="BU71"/>
  <c r="BU88"/>
  <c r="BU96"/>
  <c r="BU104"/>
  <c r="BU159"/>
  <c r="BU155"/>
  <c r="BU142"/>
  <c r="BU135"/>
  <c r="BU126"/>
  <c r="BU118"/>
  <c r="BU66"/>
  <c r="BU136"/>
  <c r="BU73"/>
  <c r="BU107"/>
  <c r="P16" i="20"/>
  <c r="P13" s="1"/>
  <c r="P7" s="1"/>
  <c r="P6" s="1"/>
  <c r="AB16"/>
  <c r="AB13" s="1"/>
  <c r="AB7" s="1"/>
  <c r="AB6" s="1"/>
  <c r="D16"/>
  <c r="D13" s="1"/>
  <c r="D7" s="1"/>
  <c r="J16"/>
  <c r="J13" s="1"/>
  <c r="J7" s="1"/>
  <c r="J6" s="1"/>
  <c r="M16"/>
  <c r="M13" s="1"/>
  <c r="M7" s="1"/>
  <c r="M6" s="1"/>
  <c r="R16"/>
  <c r="R13" s="1"/>
  <c r="R7" s="1"/>
  <c r="R6" s="1"/>
  <c r="W16"/>
  <c r="W13" s="1"/>
  <c r="W7" s="1"/>
  <c r="W6" s="1"/>
  <c r="AA16"/>
  <c r="AA13" s="1"/>
  <c r="AA7" s="1"/>
  <c r="AA6" s="1"/>
  <c r="I16"/>
  <c r="I13" s="1"/>
  <c r="I7" s="1"/>
  <c r="I6" s="1"/>
  <c r="U16"/>
  <c r="U13" s="1"/>
  <c r="U7" s="1"/>
  <c r="U6" s="1"/>
  <c r="AC16"/>
  <c r="AC13" s="1"/>
  <c r="AC7" s="1"/>
  <c r="AC6" s="1"/>
  <c r="E16"/>
  <c r="E13" s="1"/>
  <c r="E7" s="1"/>
  <c r="E6" s="1"/>
  <c r="L16"/>
  <c r="L13" s="1"/>
  <c r="L7" s="1"/>
  <c r="L6" s="1"/>
  <c r="S16"/>
  <c r="S13" s="1"/>
  <c r="S7" s="1"/>
  <c r="S6" s="1"/>
  <c r="Z16"/>
  <c r="Z13" s="1"/>
  <c r="Z7" s="1"/>
  <c r="Z6" s="1"/>
  <c r="B13"/>
  <c r="B7" s="1"/>
  <c r="B6" s="1"/>
  <c r="F16"/>
  <c r="F13" s="1"/>
  <c r="F7" s="1"/>
  <c r="F6" s="1"/>
  <c r="K16"/>
  <c r="K13" s="1"/>
  <c r="K7" s="1"/>
  <c r="K6" s="1"/>
  <c r="O16"/>
  <c r="O13" s="1"/>
  <c r="O7" s="1"/>
  <c r="O6" s="1"/>
  <c r="V16"/>
  <c r="V13" s="1"/>
  <c r="V7" s="1"/>
  <c r="V6" s="1"/>
  <c r="X16"/>
  <c r="X13" s="1"/>
  <c r="X7" s="1"/>
  <c r="G16"/>
  <c r="G13" s="1"/>
  <c r="G7" s="1"/>
  <c r="G6" s="1"/>
  <c r="N16"/>
  <c r="N13" s="1"/>
  <c r="N7" s="1"/>
  <c r="N6" s="1"/>
  <c r="T16"/>
  <c r="T13" s="1"/>
  <c r="T7" s="1"/>
  <c r="T6" s="1"/>
  <c r="H16"/>
  <c r="H13" s="1"/>
  <c r="H7" s="1"/>
  <c r="H6" s="1"/>
  <c r="Q16"/>
  <c r="Q13" s="1"/>
  <c r="Q7" s="1"/>
  <c r="Y16"/>
  <c r="Y13" s="1"/>
  <c r="Y7" s="1"/>
  <c r="Y6" s="1"/>
  <c r="K162" i="4"/>
  <c r="I161"/>
  <c r="K161" s="1"/>
  <c r="BR76"/>
  <c r="BK76"/>
  <c r="AB75"/>
  <c r="Q16" i="1"/>
  <c r="BL113" i="4"/>
  <c r="BN113"/>
  <c r="BP113"/>
  <c r="BM113"/>
  <c r="BM15"/>
  <c r="BK14"/>
  <c r="AJ162"/>
  <c r="AH161"/>
  <c r="AJ161" s="1"/>
  <c r="AH153"/>
  <c r="AJ153" s="1"/>
  <c r="AJ154"/>
  <c r="V16" i="1"/>
  <c r="T10"/>
  <c r="U16"/>
  <c r="J7"/>
  <c r="I7"/>
  <c r="R7"/>
  <c r="S7"/>
  <c r="S151" i="4"/>
  <c r="BB59"/>
  <c r="BB58" s="1"/>
  <c r="BB151" s="1"/>
  <c r="T132"/>
  <c r="T84" s="1"/>
  <c r="T151" s="1"/>
  <c r="AD132"/>
  <c r="AD84" s="1"/>
  <c r="AD151" s="1"/>
  <c r="AC58"/>
  <c r="AC151" s="1"/>
  <c r="Y68" i="10"/>
  <c r="AA68" s="1"/>
  <c r="AB68" s="1"/>
  <c r="D17" i="20"/>
  <c r="BU85" i="4"/>
  <c r="Y67" i="7"/>
  <c r="Y69" s="1"/>
  <c r="N69" i="8" l="1"/>
  <c r="O67"/>
  <c r="AA67"/>
  <c r="AB67" s="1"/>
  <c r="AB58" i="4"/>
  <c r="BK75"/>
  <c r="BR75"/>
  <c r="Q15" i="1"/>
  <c r="BW76" i="4"/>
  <c r="BS76"/>
  <c r="BU76"/>
  <c r="BT76"/>
  <c r="AD10" i="1"/>
  <c r="AE10"/>
  <c r="W15"/>
  <c r="AL58" i="4"/>
  <c r="O67" i="11"/>
  <c r="AA67"/>
  <c r="AB67" s="1"/>
  <c r="N69"/>
  <c r="U76" i="4"/>
  <c r="U88"/>
  <c r="U92"/>
  <c r="U96"/>
  <c r="U100"/>
  <c r="U105"/>
  <c r="U148"/>
  <c r="U63"/>
  <c r="U114"/>
  <c r="U119"/>
  <c r="U124"/>
  <c r="U134"/>
  <c r="U142"/>
  <c r="U156"/>
  <c r="U143"/>
  <c r="U117"/>
  <c r="U132"/>
  <c r="U69"/>
  <c r="U64" s="1"/>
  <c r="U73"/>
  <c r="U87"/>
  <c r="U91"/>
  <c r="U95"/>
  <c r="U99"/>
  <c r="U103"/>
  <c r="U108"/>
  <c r="U62"/>
  <c r="U111"/>
  <c r="U118"/>
  <c r="U123"/>
  <c r="U133"/>
  <c r="U141"/>
  <c r="U146"/>
  <c r="K49" i="1"/>
  <c r="U122" i="4"/>
  <c r="U85"/>
  <c r="U84"/>
  <c r="U67"/>
  <c r="U86"/>
  <c r="U90"/>
  <c r="U94"/>
  <c r="U98"/>
  <c r="U102"/>
  <c r="U107"/>
  <c r="U61"/>
  <c r="U60" s="1"/>
  <c r="U109"/>
  <c r="U116"/>
  <c r="U121"/>
  <c r="U128"/>
  <c r="U139"/>
  <c r="U145"/>
  <c r="U164"/>
  <c r="U136"/>
  <c r="U59"/>
  <c r="U71"/>
  <c r="U70" s="1"/>
  <c r="U77"/>
  <c r="U89"/>
  <c r="U93"/>
  <c r="U97"/>
  <c r="U101"/>
  <c r="U106"/>
  <c r="U151"/>
  <c r="U78"/>
  <c r="U115"/>
  <c r="U120"/>
  <c r="U125"/>
  <c r="U137"/>
  <c r="U144"/>
  <c r="U157"/>
  <c r="U140"/>
  <c r="U113"/>
  <c r="U75"/>
  <c r="Q6" i="20"/>
  <c r="U10" i="1"/>
  <c r="V10"/>
  <c r="BN76" i="4"/>
  <c r="BL76"/>
  <c r="BP76"/>
  <c r="BM76"/>
  <c r="G67" i="7"/>
  <c r="N67"/>
  <c r="F69"/>
  <c r="G69" s="1"/>
  <c r="V15" i="1"/>
  <c r="U15"/>
  <c r="G7"/>
  <c r="F7"/>
  <c r="O68" i="7"/>
  <c r="AA68"/>
  <c r="AB68" s="1"/>
  <c r="Y7" i="1"/>
  <c r="X7"/>
  <c r="D6" i="20"/>
  <c r="AH151" i="4"/>
  <c r="O66" i="7"/>
  <c r="AA66"/>
  <c r="AB66" s="1"/>
  <c r="AG151" i="4"/>
  <c r="AM35" i="1"/>
  <c r="AO35"/>
  <c r="AN35"/>
  <c r="O66" i="10"/>
  <c r="AA66"/>
  <c r="AB66" s="1"/>
  <c r="AC49" i="1"/>
  <c r="AY151" i="4"/>
  <c r="S16" i="1"/>
  <c r="AL16"/>
  <c r="Q10"/>
  <c r="R16"/>
  <c r="Q69" i="10"/>
  <c r="Y67"/>
  <c r="Y69" s="1"/>
  <c r="X16" i="1"/>
  <c r="Y16"/>
  <c r="W10"/>
  <c r="N67" i="10"/>
  <c r="F69"/>
  <c r="G67"/>
  <c r="AH7" i="1"/>
  <c r="AG7"/>
  <c r="BL59" i="4"/>
  <c r="BM59"/>
  <c r="BP59"/>
  <c r="BN59"/>
  <c r="X6" i="20"/>
  <c r="O69" i="8" l="1"/>
  <c r="AA69"/>
  <c r="AB69" s="1"/>
  <c r="AJ61" i="4"/>
  <c r="AJ107"/>
  <c r="AJ119"/>
  <c r="AJ134"/>
  <c r="AJ69"/>
  <c r="AJ64" s="1"/>
  <c r="AJ88"/>
  <c r="AJ97"/>
  <c r="AJ148"/>
  <c r="AJ136"/>
  <c r="AJ85"/>
  <c r="AJ132"/>
  <c r="AJ140"/>
  <c r="AJ108"/>
  <c r="AJ96"/>
  <c r="AJ87"/>
  <c r="AJ137"/>
  <c r="AJ120"/>
  <c r="AJ109"/>
  <c r="AJ62"/>
  <c r="AJ98"/>
  <c r="AJ115"/>
  <c r="AJ128"/>
  <c r="AJ164"/>
  <c r="AJ73"/>
  <c r="AJ95"/>
  <c r="AJ106"/>
  <c r="AJ143"/>
  <c r="AJ59"/>
  <c r="AJ122"/>
  <c r="T49" i="1"/>
  <c r="AJ99" i="4"/>
  <c r="AJ89"/>
  <c r="AJ145"/>
  <c r="AJ124"/>
  <c r="AJ111"/>
  <c r="AJ78"/>
  <c r="AJ86"/>
  <c r="AJ112"/>
  <c r="AJ125"/>
  <c r="AJ146"/>
  <c r="AJ93"/>
  <c r="AJ103"/>
  <c r="AJ157"/>
  <c r="AJ77"/>
  <c r="AJ113"/>
  <c r="AJ151"/>
  <c r="AJ101"/>
  <c r="AJ91"/>
  <c r="AJ156"/>
  <c r="AJ126"/>
  <c r="AJ114"/>
  <c r="AJ92"/>
  <c r="AJ63"/>
  <c r="AJ110"/>
  <c r="AJ123"/>
  <c r="AJ139"/>
  <c r="AJ71"/>
  <c r="AJ70" s="1"/>
  <c r="AJ90"/>
  <c r="AJ100"/>
  <c r="AJ141"/>
  <c r="AJ117"/>
  <c r="AJ84"/>
  <c r="AJ76"/>
  <c r="AJ105"/>
  <c r="AJ94"/>
  <c r="AJ67"/>
  <c r="AJ133"/>
  <c r="AJ118"/>
  <c r="AJ102"/>
  <c r="AJ75"/>
  <c r="AA67" i="10"/>
  <c r="AB67" s="1"/>
  <c r="N69"/>
  <c r="O67"/>
  <c r="AM16" i="1"/>
  <c r="O67" i="7"/>
  <c r="AA67"/>
  <c r="AB67" s="1"/>
  <c r="N69"/>
  <c r="R15" i="1"/>
  <c r="AL15"/>
  <c r="AM15" s="1"/>
  <c r="S15"/>
  <c r="AB151" i="4"/>
  <c r="BR58"/>
  <c r="BK58"/>
  <c r="F70" i="10"/>
  <c r="G69"/>
  <c r="AA69" i="11"/>
  <c r="AB69" s="1"/>
  <c r="O69"/>
  <c r="BN75" i="4"/>
  <c r="BM75"/>
  <c r="BL75"/>
  <c r="BP75"/>
  <c r="S10" i="1"/>
  <c r="R10"/>
  <c r="AD49"/>
  <c r="AE49"/>
  <c r="X15"/>
  <c r="Y15"/>
  <c r="M49"/>
  <c r="L49"/>
  <c r="AO58" i="4"/>
  <c r="AL151"/>
  <c r="BS75"/>
  <c r="BT75"/>
  <c r="BW75"/>
  <c r="BU75"/>
  <c r="AJ58"/>
  <c r="Y10" i="1"/>
  <c r="X10"/>
  <c r="BW58" i="4" l="1"/>
  <c r="BS58"/>
  <c r="BU58"/>
  <c r="BT58"/>
  <c r="AO71"/>
  <c r="AO70" s="1"/>
  <c r="AO86"/>
  <c r="AO90"/>
  <c r="AO94"/>
  <c r="AO98"/>
  <c r="AO102"/>
  <c r="AO107"/>
  <c r="AO63"/>
  <c r="AO112"/>
  <c r="AO119"/>
  <c r="AO124"/>
  <c r="AO134"/>
  <c r="AO144"/>
  <c r="AO151"/>
  <c r="AO122"/>
  <c r="AO77"/>
  <c r="AO84"/>
  <c r="AO67"/>
  <c r="AO78"/>
  <c r="AO89"/>
  <c r="AO93"/>
  <c r="AO97"/>
  <c r="AO101"/>
  <c r="AO106"/>
  <c r="W49" i="1"/>
  <c r="AO111" i="4"/>
  <c r="AO118"/>
  <c r="AO123"/>
  <c r="AO133"/>
  <c r="AO141"/>
  <c r="AO157"/>
  <c r="AO136"/>
  <c r="AO85"/>
  <c r="AO69"/>
  <c r="AO64" s="1"/>
  <c r="AO73"/>
  <c r="AO88"/>
  <c r="AO92"/>
  <c r="AO96"/>
  <c r="AO100"/>
  <c r="AO105"/>
  <c r="AO148"/>
  <c r="AO62"/>
  <c r="AO110"/>
  <c r="AO115"/>
  <c r="AO121"/>
  <c r="AO128"/>
  <c r="AO139"/>
  <c r="AO156"/>
  <c r="AO140"/>
  <c r="AO113"/>
  <c r="AO132"/>
  <c r="AO87"/>
  <c r="AO91"/>
  <c r="AO95"/>
  <c r="AO99"/>
  <c r="AO103"/>
  <c r="AO108"/>
  <c r="AO61"/>
  <c r="AO60" s="1"/>
  <c r="AO109"/>
  <c r="AO114"/>
  <c r="AO120"/>
  <c r="AO125"/>
  <c r="AO137"/>
  <c r="AO145"/>
  <c r="AO143"/>
  <c r="AO117"/>
  <c r="AO59"/>
  <c r="AO76"/>
  <c r="AO75"/>
  <c r="BL58"/>
  <c r="BM58"/>
  <c r="BN58"/>
  <c r="BP58"/>
  <c r="AJ60"/>
  <c r="AE86"/>
  <c r="AE102"/>
  <c r="AE118"/>
  <c r="AE157"/>
  <c r="AE89"/>
  <c r="AE123"/>
  <c r="AE67"/>
  <c r="AE112"/>
  <c r="AE85"/>
  <c r="AE88"/>
  <c r="AE105"/>
  <c r="AE120"/>
  <c r="AE148"/>
  <c r="AE78"/>
  <c r="AE115"/>
  <c r="AE87"/>
  <c r="AE84"/>
  <c r="AE98"/>
  <c r="AE111"/>
  <c r="AE139"/>
  <c r="AE132"/>
  <c r="AE110"/>
  <c r="AE59"/>
  <c r="AE108"/>
  <c r="AE136"/>
  <c r="AE69"/>
  <c r="AE64" s="1"/>
  <c r="AE73"/>
  <c r="AE100"/>
  <c r="AE114"/>
  <c r="AE146"/>
  <c r="AE61"/>
  <c r="AE117"/>
  <c r="AE63"/>
  <c r="AE94"/>
  <c r="AE62"/>
  <c r="AE133"/>
  <c r="AE113"/>
  <c r="AE106"/>
  <c r="Q49" i="1"/>
  <c r="AE99" i="4"/>
  <c r="AE144"/>
  <c r="AE96"/>
  <c r="AE109"/>
  <c r="AE135"/>
  <c r="AE90"/>
  <c r="AE107"/>
  <c r="AE124"/>
  <c r="AE143"/>
  <c r="AE97"/>
  <c r="AE137"/>
  <c r="AE91"/>
  <c r="AE125"/>
  <c r="AE71"/>
  <c r="AE70" s="1"/>
  <c r="AE92"/>
  <c r="AE151"/>
  <c r="AE127"/>
  <c r="AE122"/>
  <c r="AE93"/>
  <c r="AE128"/>
  <c r="AE95"/>
  <c r="AE134"/>
  <c r="AE103"/>
  <c r="AE156"/>
  <c r="AE101"/>
  <c r="AE147"/>
  <c r="AE77"/>
  <c r="AE119"/>
  <c r="AE76"/>
  <c r="AE75"/>
  <c r="BK151"/>
  <c r="BR151"/>
  <c r="BV58" s="1"/>
  <c r="O69" i="7"/>
  <c r="AA69"/>
  <c r="AB69" s="1"/>
  <c r="U49" i="1"/>
  <c r="V49"/>
  <c r="AL10"/>
  <c r="AM10" s="1"/>
  <c r="AE58" i="4"/>
  <c r="O69" i="10"/>
  <c r="N70"/>
  <c r="AA69"/>
  <c r="Y49" i="1" l="1"/>
  <c r="X49"/>
  <c r="BO118" i="4"/>
  <c r="BN151"/>
  <c r="BO141"/>
  <c r="BO114"/>
  <c r="BO149"/>
  <c r="BO61"/>
  <c r="BO105"/>
  <c r="BO73"/>
  <c r="BO142"/>
  <c r="BO103"/>
  <c r="BO104"/>
  <c r="BO126"/>
  <c r="BO145"/>
  <c r="BO122"/>
  <c r="BO146"/>
  <c r="BO89"/>
  <c r="BO131"/>
  <c r="BO82"/>
  <c r="BO151"/>
  <c r="BO87"/>
  <c r="BO98"/>
  <c r="BO91"/>
  <c r="BO159"/>
  <c r="BO94"/>
  <c r="BO81"/>
  <c r="BO132"/>
  <c r="BO150"/>
  <c r="BO147"/>
  <c r="BO112"/>
  <c r="BO107"/>
  <c r="BO79"/>
  <c r="BO110"/>
  <c r="BO106"/>
  <c r="BO108"/>
  <c r="BO62"/>
  <c r="BO102"/>
  <c r="BO99"/>
  <c r="BO158"/>
  <c r="BO95"/>
  <c r="BO100"/>
  <c r="BO72"/>
  <c r="BO143"/>
  <c r="BM151"/>
  <c r="BO116"/>
  <c r="BO124"/>
  <c r="BO84"/>
  <c r="BO154"/>
  <c r="BO144"/>
  <c r="BO80"/>
  <c r="BO127"/>
  <c r="BO93"/>
  <c r="BO71"/>
  <c r="BO119"/>
  <c r="BO101"/>
  <c r="BO109"/>
  <c r="BO140"/>
  <c r="BO128"/>
  <c r="BO134"/>
  <c r="BO63"/>
  <c r="BO90"/>
  <c r="BO68"/>
  <c r="BO148"/>
  <c r="BO155"/>
  <c r="BO156"/>
  <c r="BO120"/>
  <c r="BO117"/>
  <c r="BO133"/>
  <c r="BP151"/>
  <c r="BO135"/>
  <c r="BO129"/>
  <c r="BO130"/>
  <c r="BO157"/>
  <c r="BO138"/>
  <c r="BO66"/>
  <c r="BO115"/>
  <c r="BO69"/>
  <c r="BO97"/>
  <c r="BL151"/>
  <c r="BO67"/>
  <c r="BO111"/>
  <c r="BO70"/>
  <c r="BO139"/>
  <c r="BO83"/>
  <c r="BO125"/>
  <c r="BO85"/>
  <c r="BO137"/>
  <c r="BO123"/>
  <c r="BO74"/>
  <c r="BO88"/>
  <c r="BO64"/>
  <c r="BO121"/>
  <c r="BO96"/>
  <c r="BO77"/>
  <c r="BO152"/>
  <c r="BO92"/>
  <c r="BO86"/>
  <c r="BO113"/>
  <c r="BO60"/>
  <c r="BO78"/>
  <c r="BO136"/>
  <c r="BO76"/>
  <c r="BO59"/>
  <c r="BO75"/>
  <c r="BV145"/>
  <c r="BW151"/>
  <c r="BV135"/>
  <c r="BV70"/>
  <c r="BV77"/>
  <c r="BV157"/>
  <c r="BV118"/>
  <c r="BV154"/>
  <c r="BV141"/>
  <c r="BV120"/>
  <c r="BV113"/>
  <c r="BV144"/>
  <c r="BV133"/>
  <c r="BV100"/>
  <c r="BV142"/>
  <c r="BV66"/>
  <c r="BV139"/>
  <c r="BV73"/>
  <c r="BV89"/>
  <c r="BV132"/>
  <c r="BV148"/>
  <c r="BV106"/>
  <c r="BV112"/>
  <c r="BV59"/>
  <c r="BV156"/>
  <c r="BV124"/>
  <c r="BS151"/>
  <c r="BV110"/>
  <c r="BV105"/>
  <c r="BV92"/>
  <c r="BV150"/>
  <c r="BV127"/>
  <c r="BV107"/>
  <c r="BV68"/>
  <c r="BV71"/>
  <c r="BV134"/>
  <c r="BV62"/>
  <c r="BV151"/>
  <c r="BV61"/>
  <c r="BV128"/>
  <c r="BV63"/>
  <c r="BV82"/>
  <c r="BV95"/>
  <c r="BV122"/>
  <c r="BT151"/>
  <c r="BV64"/>
  <c r="BV121"/>
  <c r="BV137"/>
  <c r="BV123"/>
  <c r="BV130"/>
  <c r="BV72"/>
  <c r="BV158"/>
  <c r="BV129"/>
  <c r="BV146"/>
  <c r="BV111"/>
  <c r="BV81"/>
  <c r="BV131"/>
  <c r="BV80"/>
  <c r="BV108"/>
  <c r="BV83"/>
  <c r="BV94"/>
  <c r="BV85"/>
  <c r="BV97"/>
  <c r="BV88"/>
  <c r="BV103"/>
  <c r="BV119"/>
  <c r="BV96"/>
  <c r="BV159"/>
  <c r="BV138"/>
  <c r="BV115"/>
  <c r="BV67"/>
  <c r="BV91"/>
  <c r="BV143"/>
  <c r="BV86"/>
  <c r="BV114"/>
  <c r="BV104"/>
  <c r="BV69"/>
  <c r="BV74"/>
  <c r="BV87"/>
  <c r="BV84"/>
  <c r="BV93"/>
  <c r="BV149"/>
  <c r="BV116"/>
  <c r="BV126"/>
  <c r="BV147"/>
  <c r="BV125"/>
  <c r="BV99"/>
  <c r="BV90"/>
  <c r="BV101"/>
  <c r="BV102"/>
  <c r="BV136"/>
  <c r="BU151"/>
  <c r="BV155"/>
  <c r="BV79"/>
  <c r="BV109"/>
  <c r="BV153"/>
  <c r="BV117"/>
  <c r="BV78"/>
  <c r="BV60"/>
  <c r="BV98"/>
  <c r="BV140"/>
  <c r="BV76"/>
  <c r="BV75"/>
  <c r="S49" i="1"/>
  <c r="R49"/>
  <c r="AL49"/>
  <c r="AM49" s="1"/>
  <c r="AE60" i="4"/>
  <c r="BO58"/>
  <c r="AA70" i="10"/>
  <c r="AB69"/>
</calcChain>
</file>

<file path=xl/comments1.xml><?xml version="1.0" encoding="utf-8"?>
<comments xmlns="http://schemas.openxmlformats.org/spreadsheetml/2006/main">
  <authors>
    <author/>
  </authors>
  <commentList>
    <comment ref="A42" authorId="0">
      <text>
        <r>
          <rPr>
            <b/>
            <sz val="8"/>
            <color indexed="8"/>
            <rFont val="Tahoma"/>
            <family val="2"/>
            <charset val="204"/>
          </rPr>
          <t xml:space="preserve">Амортизация ОС
</t>
        </r>
      </text>
    </comment>
  </commentList>
</comments>
</file>

<file path=xl/comments10.xml><?xml version="1.0" encoding="utf-8"?>
<comments xmlns="http://schemas.openxmlformats.org/spreadsheetml/2006/main">
  <authors>
    <author/>
  </authors>
  <commentList>
    <comment ref="E146" authorId="0">
      <text>
        <r>
          <rPr>
            <b/>
            <sz val="8"/>
            <color indexed="8"/>
            <rFont val="Tahoma"/>
            <family val="2"/>
            <charset val="204"/>
          </rPr>
          <t xml:space="preserve">82000-16000
</t>
        </r>
      </text>
    </comment>
  </commentList>
</comments>
</file>

<file path=xl/comments11.xml><?xml version="1.0" encoding="utf-8"?>
<comments xmlns="http://schemas.openxmlformats.org/spreadsheetml/2006/main">
  <authors>
    <author/>
  </authors>
  <commentList>
    <comment ref="A10" authorId="0">
      <text>
        <r>
          <rPr>
            <b/>
            <sz val="8"/>
            <color indexed="8"/>
            <rFont val="Tahoma"/>
            <family val="2"/>
            <charset val="204"/>
          </rPr>
          <t xml:space="preserve">для планирования из таблицы "Месячная программа"
</t>
        </r>
      </text>
    </comment>
    <comment ref="A15" authorId="0">
      <text>
        <r>
          <rPr>
            <b/>
            <sz val="8"/>
            <color indexed="8"/>
            <rFont val="Tahoma"/>
            <family val="2"/>
            <charset val="204"/>
          </rPr>
          <t xml:space="preserve">1:
</t>
        </r>
      </text>
    </comment>
    <comment ref="A16" authorId="0">
      <text>
        <r>
          <rPr>
            <b/>
            <sz val="8"/>
            <color indexed="8"/>
            <rFont val="Tahoma"/>
            <family val="2"/>
            <charset val="204"/>
          </rPr>
          <t xml:space="preserve">для планирования из таблицы "Месячная программа"
</t>
        </r>
      </text>
    </comment>
  </commentList>
</comments>
</file>

<file path=xl/comments12.xml><?xml version="1.0" encoding="utf-8"?>
<comments xmlns="http://schemas.openxmlformats.org/spreadsheetml/2006/main">
  <authors>
    <author/>
  </authors>
  <commentList>
    <comment ref="F20" authorId="0">
      <text>
        <r>
          <rPr>
            <b/>
            <sz val="9"/>
            <color indexed="8"/>
            <rFont val="Tahoma"/>
            <family val="2"/>
            <charset val="204"/>
          </rPr>
          <t xml:space="preserve">Из расчета 15000 руб. на 23 тонны на Гай
</t>
        </r>
      </text>
    </comment>
    <comment ref="G20" authorId="0">
      <text>
        <r>
          <rPr>
            <b/>
            <sz val="8"/>
            <color indexed="8"/>
            <rFont val="Tahoma"/>
            <family val="2"/>
            <charset val="204"/>
          </rPr>
          <t xml:space="preserve">998 руб - до ММК из расчета контейнера 21 тонна
</t>
        </r>
      </text>
    </comment>
    <comment ref="H20" authorId="0">
      <text>
        <r>
          <rPr>
            <b/>
            <sz val="8"/>
            <color indexed="8"/>
            <rFont val="Tahoma"/>
            <family val="2"/>
            <charset val="204"/>
          </rPr>
          <t xml:space="preserve">До Москвы из расчетв 32000 руб на 23 тонны
</t>
        </r>
      </text>
    </comment>
    <comment ref="I20" authorId="0">
      <text>
        <r>
          <rPr>
            <b/>
            <sz val="8"/>
            <color indexed="8"/>
            <rFont val="Tahoma"/>
            <family val="2"/>
            <charset val="204"/>
          </rPr>
          <t xml:space="preserve">До Москвы из расчетв 32000 руб на 23 тонны
</t>
        </r>
      </text>
    </comment>
    <comment ref="J20" authorId="0">
      <text>
        <r>
          <rPr>
            <b/>
            <sz val="8"/>
            <color indexed="8"/>
            <rFont val="Tahoma"/>
            <family val="2"/>
            <charset val="204"/>
          </rPr>
          <t xml:space="preserve">До Москвы из расчетв 32000 руб на 23 тонны
</t>
        </r>
      </text>
    </comment>
    <comment ref="M20" authorId="0">
      <text>
        <r>
          <rPr>
            <b/>
            <sz val="9"/>
            <color indexed="8"/>
            <rFont val="Tahoma"/>
            <family val="2"/>
            <charset val="204"/>
          </rPr>
          <t xml:space="preserve">Из расчета 15000 руб. на 23 тонны на Гай
</t>
        </r>
      </text>
    </comment>
    <comment ref="N20" authorId="0">
      <text>
        <r>
          <rPr>
            <b/>
            <sz val="8"/>
            <color indexed="8"/>
            <rFont val="Tahoma"/>
            <family val="2"/>
            <charset val="204"/>
          </rPr>
          <t xml:space="preserve">998 руб - до ММК из расчета контейнера 21 тонна
</t>
        </r>
      </text>
    </comment>
    <comment ref="O20" authorId="0">
      <text>
        <r>
          <rPr>
            <b/>
            <sz val="8"/>
            <color indexed="8"/>
            <rFont val="Tahoma"/>
            <family val="2"/>
            <charset val="204"/>
          </rPr>
          <t xml:space="preserve">До Москвы из расчетв 32000 руб на 23 тонны
</t>
        </r>
      </text>
    </comment>
    <comment ref="P20" authorId="0">
      <text>
        <r>
          <rPr>
            <b/>
            <sz val="8"/>
            <color indexed="8"/>
            <rFont val="Tahoma"/>
            <family val="2"/>
            <charset val="204"/>
          </rPr>
          <t xml:space="preserve">До Москвы из расчетв 32000 руб на 23 тонны
</t>
        </r>
      </text>
    </comment>
    <comment ref="Q20" authorId="0">
      <text>
        <r>
          <rPr>
            <b/>
            <sz val="8"/>
            <color indexed="8"/>
            <rFont val="Tahoma"/>
            <family val="2"/>
            <charset val="204"/>
          </rPr>
          <t xml:space="preserve">До Москвы из расчетв 32000 руб на 23 тонны
</t>
        </r>
      </text>
    </comment>
    <comment ref="T20" authorId="0">
      <text>
        <r>
          <rPr>
            <b/>
            <sz val="9"/>
            <color indexed="8"/>
            <rFont val="Tahoma"/>
            <family val="2"/>
            <charset val="204"/>
          </rPr>
          <t xml:space="preserve">Из расчета 15000 руб. на 23 тонны на Гай
</t>
        </r>
      </text>
    </comment>
    <comment ref="U20" authorId="0">
      <text>
        <r>
          <rPr>
            <b/>
            <sz val="8"/>
            <color indexed="8"/>
            <rFont val="Tahoma"/>
            <family val="2"/>
            <charset val="204"/>
          </rPr>
          <t xml:space="preserve">998 руб - до ММК из расчета контейнера 21 тонна
</t>
        </r>
      </text>
    </comment>
    <comment ref="V20" authorId="0">
      <text>
        <r>
          <rPr>
            <b/>
            <sz val="8"/>
            <color indexed="8"/>
            <rFont val="Tahoma"/>
            <family val="2"/>
            <charset val="204"/>
          </rPr>
          <t xml:space="preserve">До Москвы из расчетв 32000 руб на 23 тонны
</t>
        </r>
      </text>
    </comment>
    <comment ref="W20" authorId="0">
      <text>
        <r>
          <rPr>
            <b/>
            <sz val="8"/>
            <color indexed="8"/>
            <rFont val="Tahoma"/>
            <family val="2"/>
            <charset val="204"/>
          </rPr>
          <t xml:space="preserve">До Москвы из расчетв 32000 руб на 23 тонны
</t>
        </r>
      </text>
    </comment>
    <comment ref="X20" authorId="0">
      <text>
        <r>
          <rPr>
            <b/>
            <sz val="8"/>
            <color indexed="8"/>
            <rFont val="Tahoma"/>
            <family val="2"/>
            <charset val="204"/>
          </rPr>
          <t xml:space="preserve">До Москвы из расчетв 32000 руб на 23 тонны
</t>
        </r>
      </text>
    </comment>
    <comment ref="AA20" authorId="0">
      <text>
        <r>
          <rPr>
            <b/>
            <sz val="9"/>
            <color indexed="8"/>
            <rFont val="Tahoma"/>
            <family val="2"/>
            <charset val="204"/>
          </rPr>
          <t xml:space="preserve">Из расчета 15000 руб. на 23 тонны на Гай
</t>
        </r>
      </text>
    </comment>
    <comment ref="AB20" authorId="0">
      <text>
        <r>
          <rPr>
            <b/>
            <sz val="8"/>
            <color indexed="8"/>
            <rFont val="Tahoma"/>
            <family val="2"/>
            <charset val="204"/>
          </rPr>
          <t xml:space="preserve">998 руб - до ММК из расчета контейнера 21 тонна
</t>
        </r>
      </text>
    </comment>
    <comment ref="AC20" authorId="0">
      <text>
        <r>
          <rPr>
            <b/>
            <sz val="8"/>
            <color indexed="8"/>
            <rFont val="Tahoma"/>
            <family val="2"/>
            <charset val="204"/>
          </rPr>
          <t xml:space="preserve">До Москвы из расчетв 32000 руб на 23 тонны
</t>
        </r>
      </text>
    </comment>
    <comment ref="AD20" authorId="0">
      <text>
        <r>
          <rPr>
            <b/>
            <sz val="8"/>
            <color indexed="8"/>
            <rFont val="Tahoma"/>
            <family val="2"/>
            <charset val="204"/>
          </rPr>
          <t xml:space="preserve">До Москвы из расчетв 32000 руб на 23 тонны
</t>
        </r>
      </text>
    </comment>
    <comment ref="AE20" authorId="0">
      <text>
        <r>
          <rPr>
            <b/>
            <sz val="8"/>
            <color indexed="8"/>
            <rFont val="Tahoma"/>
            <family val="2"/>
            <charset val="204"/>
          </rPr>
          <t xml:space="preserve">До Москвы из расчетв 32000 руб на 23 тонны
</t>
        </r>
      </text>
    </comment>
    <comment ref="AG20" authorId="0">
      <text>
        <r>
          <rPr>
            <b/>
            <sz val="8"/>
            <color indexed="8"/>
            <rFont val="Tahoma"/>
            <family val="2"/>
            <charset val="204"/>
          </rPr>
          <t xml:space="preserve">До Питера 22тонны 60000руб
</t>
        </r>
      </text>
    </comment>
    <comment ref="AH20" authorId="0">
      <text>
        <r>
          <rPr>
            <b/>
            <sz val="9"/>
            <color indexed="8"/>
            <rFont val="Tahoma"/>
            <family val="2"/>
            <charset val="204"/>
          </rPr>
          <t xml:space="preserve">Из расчета 15000 руб. на 23 тонны на Гай
</t>
        </r>
      </text>
    </comment>
    <comment ref="AI20" authorId="0">
      <text>
        <r>
          <rPr>
            <b/>
            <sz val="8"/>
            <color indexed="8"/>
            <rFont val="Tahoma"/>
            <family val="2"/>
            <charset val="204"/>
          </rPr>
          <t xml:space="preserve">998 руб - до ММК из расчета контейнера 21 тонна
</t>
        </r>
      </text>
    </comment>
    <comment ref="AJ20" authorId="0">
      <text>
        <r>
          <rPr>
            <b/>
            <sz val="8"/>
            <color indexed="8"/>
            <rFont val="Tahoma"/>
            <family val="2"/>
            <charset val="204"/>
          </rPr>
          <t xml:space="preserve">До Москвы из расчетв 32000 руб на 23 тонны
</t>
        </r>
      </text>
    </comment>
    <comment ref="AK20" authorId="0">
      <text>
        <r>
          <rPr>
            <b/>
            <sz val="8"/>
            <color indexed="8"/>
            <rFont val="Tahoma"/>
            <family val="2"/>
            <charset val="204"/>
          </rPr>
          <t xml:space="preserve">До Москвы из расчетв 32000 руб на 23 тонны
</t>
        </r>
      </text>
    </comment>
    <comment ref="AL20" authorId="0">
      <text>
        <r>
          <rPr>
            <b/>
            <sz val="8"/>
            <color indexed="8"/>
            <rFont val="Tahoma"/>
            <family val="2"/>
            <charset val="204"/>
          </rPr>
          <t xml:space="preserve">До Москвы из расчетв 32000 руб на 23 тонны
</t>
        </r>
      </text>
    </comment>
    <comment ref="AO20" authorId="0">
      <text>
        <r>
          <rPr>
            <b/>
            <sz val="9"/>
            <color indexed="8"/>
            <rFont val="Tahoma"/>
            <family val="2"/>
            <charset val="204"/>
          </rPr>
          <t xml:space="preserve">Из расчета 15000 руб. на 23 тонны на Гай
</t>
        </r>
      </text>
    </comment>
    <comment ref="AP20" authorId="0">
      <text>
        <r>
          <rPr>
            <b/>
            <sz val="8"/>
            <color indexed="8"/>
            <rFont val="Tahoma"/>
            <family val="2"/>
            <charset val="204"/>
          </rPr>
          <t xml:space="preserve">998 руб - до ММК из расчета контейнера 21 тонна
</t>
        </r>
      </text>
    </comment>
    <comment ref="AQ20" authorId="0">
      <text>
        <r>
          <rPr>
            <b/>
            <sz val="8"/>
            <color indexed="8"/>
            <rFont val="Tahoma"/>
            <family val="2"/>
            <charset val="204"/>
          </rPr>
          <t xml:space="preserve">До Москвы из расчетв 32000 руб на 23 тонны
</t>
        </r>
      </text>
    </comment>
    <comment ref="AR20" authorId="0">
      <text>
        <r>
          <rPr>
            <b/>
            <sz val="8"/>
            <color indexed="8"/>
            <rFont val="Tahoma"/>
            <family val="2"/>
            <charset val="204"/>
          </rPr>
          <t xml:space="preserve">До Москвы из расчетв 32000 руб на 23 тонны
</t>
        </r>
      </text>
    </comment>
    <comment ref="AS20" authorId="0">
      <text>
        <r>
          <rPr>
            <b/>
            <sz val="8"/>
            <color indexed="8"/>
            <rFont val="Tahoma"/>
            <family val="2"/>
            <charset val="204"/>
          </rPr>
          <t xml:space="preserve">До Москвы из расчетв 32000 руб на 23 тонны
</t>
        </r>
      </text>
    </comment>
    <comment ref="AV20" authorId="0">
      <text>
        <r>
          <rPr>
            <b/>
            <sz val="9"/>
            <color indexed="8"/>
            <rFont val="Tahoma"/>
            <family val="2"/>
            <charset val="204"/>
          </rPr>
          <t xml:space="preserve">Из расчета 15000 руб. на 23 тонны на Гай
</t>
        </r>
      </text>
    </comment>
    <comment ref="AW20" authorId="0">
      <text>
        <r>
          <rPr>
            <b/>
            <sz val="8"/>
            <color indexed="8"/>
            <rFont val="Tahoma"/>
            <family val="2"/>
            <charset val="204"/>
          </rPr>
          <t xml:space="preserve">998 руб - до ММК из расчета контейнера 21 тонна
</t>
        </r>
      </text>
    </comment>
    <comment ref="AX20" authorId="0">
      <text>
        <r>
          <rPr>
            <b/>
            <sz val="8"/>
            <color indexed="8"/>
            <rFont val="Tahoma"/>
            <family val="2"/>
            <charset val="204"/>
          </rPr>
          <t xml:space="preserve">До Москвы из расчетв 32000 руб на 23 тонны
</t>
        </r>
      </text>
    </comment>
    <comment ref="AY20" authorId="0">
      <text>
        <r>
          <rPr>
            <b/>
            <sz val="8"/>
            <color indexed="8"/>
            <rFont val="Tahoma"/>
            <family val="2"/>
            <charset val="204"/>
          </rPr>
          <t xml:space="preserve">До Москвы из расчетв 32000 руб на 23 тонны
</t>
        </r>
      </text>
    </comment>
    <comment ref="AZ20" authorId="0">
      <text>
        <r>
          <rPr>
            <b/>
            <sz val="8"/>
            <color indexed="8"/>
            <rFont val="Tahoma"/>
            <family val="2"/>
            <charset val="204"/>
          </rPr>
          <t xml:space="preserve">До Москвы из расчетв 32000 руб на 23 тонны
</t>
        </r>
      </text>
    </comment>
    <comment ref="BC20" authorId="0">
      <text>
        <r>
          <rPr>
            <b/>
            <sz val="9"/>
            <color indexed="8"/>
            <rFont val="Tahoma"/>
            <family val="2"/>
            <charset val="204"/>
          </rPr>
          <t xml:space="preserve">Из расчета 15000 руб. на 23 тонны на Гай
</t>
        </r>
      </text>
    </comment>
    <comment ref="BD20" authorId="0">
      <text>
        <r>
          <rPr>
            <b/>
            <sz val="8"/>
            <color indexed="8"/>
            <rFont val="Tahoma"/>
            <family val="2"/>
            <charset val="204"/>
          </rPr>
          <t xml:space="preserve">998 руб - до ММК из расчета контейнера 21 тонна
</t>
        </r>
      </text>
    </comment>
    <comment ref="BE20" authorId="0">
      <text>
        <r>
          <rPr>
            <b/>
            <sz val="8"/>
            <color indexed="8"/>
            <rFont val="Tahoma"/>
            <family val="2"/>
            <charset val="204"/>
          </rPr>
          <t xml:space="preserve">До Москвы из расчетв 32000 руб на 23 тонны
</t>
        </r>
      </text>
    </comment>
    <comment ref="BF20" authorId="0">
      <text>
        <r>
          <rPr>
            <b/>
            <sz val="8"/>
            <color indexed="8"/>
            <rFont val="Tahoma"/>
            <family val="2"/>
            <charset val="204"/>
          </rPr>
          <t xml:space="preserve">До Москвы из расчетв 32000 руб на 23 тонны
</t>
        </r>
      </text>
    </comment>
    <comment ref="BG20" authorId="0">
      <text>
        <r>
          <rPr>
            <b/>
            <sz val="8"/>
            <color indexed="8"/>
            <rFont val="Tahoma"/>
            <family val="2"/>
            <charset val="204"/>
          </rPr>
          <t xml:space="preserve">До Москвы из расчетв 32000 руб на 23 тонны
</t>
        </r>
      </text>
    </comment>
    <comment ref="BJ20" authorId="0">
      <text>
        <r>
          <rPr>
            <b/>
            <sz val="9"/>
            <color indexed="8"/>
            <rFont val="Tahoma"/>
            <family val="2"/>
            <charset val="204"/>
          </rPr>
          <t xml:space="preserve">Из расчета 15000 руб. на 23 тонны на Гай
</t>
        </r>
      </text>
    </comment>
    <comment ref="BK20" authorId="0">
      <text>
        <r>
          <rPr>
            <b/>
            <sz val="8"/>
            <color indexed="8"/>
            <rFont val="Tahoma"/>
            <family val="2"/>
            <charset val="204"/>
          </rPr>
          <t xml:space="preserve">998 руб - до ММК из расчета контейнера 21 тонна
</t>
        </r>
      </text>
    </comment>
    <comment ref="BL20" authorId="0">
      <text>
        <r>
          <rPr>
            <b/>
            <sz val="8"/>
            <color indexed="8"/>
            <rFont val="Tahoma"/>
            <family val="2"/>
            <charset val="204"/>
          </rPr>
          <t xml:space="preserve">До Москвы из расчетв 32000 руб на 23 тонны
</t>
        </r>
      </text>
    </comment>
    <comment ref="BM20" authorId="0">
      <text>
        <r>
          <rPr>
            <b/>
            <sz val="8"/>
            <color indexed="8"/>
            <rFont val="Tahoma"/>
            <family val="2"/>
            <charset val="204"/>
          </rPr>
          <t xml:space="preserve">До Москвы из расчетв 32000 руб на 23 тонны
</t>
        </r>
      </text>
    </comment>
    <comment ref="BN20" authorId="0">
      <text>
        <r>
          <rPr>
            <b/>
            <sz val="8"/>
            <color indexed="8"/>
            <rFont val="Tahoma"/>
            <family val="2"/>
            <charset val="204"/>
          </rPr>
          <t xml:space="preserve">До Москвы из расчетв 32000 руб на 23 тонны
</t>
        </r>
      </text>
    </comment>
    <comment ref="BQ20" authorId="0">
      <text>
        <r>
          <rPr>
            <b/>
            <sz val="9"/>
            <color indexed="8"/>
            <rFont val="Tahoma"/>
            <family val="2"/>
            <charset val="204"/>
          </rPr>
          <t xml:space="preserve">Из расчета 15000 руб. на 23 тонны на Гай
</t>
        </r>
      </text>
    </comment>
    <comment ref="BR20" authorId="0">
      <text>
        <r>
          <rPr>
            <b/>
            <sz val="8"/>
            <color indexed="8"/>
            <rFont val="Tahoma"/>
            <family val="2"/>
            <charset val="204"/>
          </rPr>
          <t xml:space="preserve">998 руб - до ММК из расчета контейнера 21 тонна
</t>
        </r>
      </text>
    </comment>
    <comment ref="BS20" authorId="0">
      <text>
        <r>
          <rPr>
            <b/>
            <sz val="8"/>
            <color indexed="8"/>
            <rFont val="Tahoma"/>
            <family val="2"/>
            <charset val="204"/>
          </rPr>
          <t xml:space="preserve">До Москвы из расчетв 32000 руб на 23 тонны
</t>
        </r>
      </text>
    </comment>
    <comment ref="BT20" authorId="0">
      <text>
        <r>
          <rPr>
            <b/>
            <sz val="8"/>
            <color indexed="8"/>
            <rFont val="Tahoma"/>
            <family val="2"/>
            <charset val="204"/>
          </rPr>
          <t xml:space="preserve">До Москвы из расчетв 32000 руб на 23 тонны
</t>
        </r>
      </text>
    </comment>
    <comment ref="BU20" authorId="0">
      <text>
        <r>
          <rPr>
            <b/>
            <sz val="8"/>
            <color indexed="8"/>
            <rFont val="Tahoma"/>
            <family val="2"/>
            <charset val="204"/>
          </rPr>
          <t xml:space="preserve">До Москвы из расчетв 32000 руб на 23 тонны
</t>
        </r>
      </text>
    </comment>
    <comment ref="E23" authorId="0">
      <text>
        <r>
          <rPr>
            <sz val="8"/>
            <color indexed="8"/>
            <rFont val="Tahoma"/>
            <family val="2"/>
            <charset val="204"/>
          </rPr>
          <t xml:space="preserve">Шлак 7%
</t>
        </r>
      </text>
    </comment>
    <comment ref="F23" authorId="0">
      <text>
        <r>
          <rPr>
            <sz val="8"/>
            <color indexed="8"/>
            <rFont val="Tahoma"/>
            <family val="2"/>
            <charset val="204"/>
          </rPr>
          <t xml:space="preserve">Шлак 7%
</t>
        </r>
      </text>
    </comment>
    <comment ref="G23" authorId="0">
      <text>
        <r>
          <rPr>
            <sz val="8"/>
            <color indexed="8"/>
            <rFont val="Tahoma"/>
            <family val="2"/>
            <charset val="204"/>
          </rPr>
          <t xml:space="preserve">Шлак 7%
</t>
        </r>
      </text>
    </comment>
    <comment ref="H23" authorId="0">
      <text>
        <r>
          <rPr>
            <sz val="8"/>
            <color indexed="8"/>
            <rFont val="Tahoma"/>
            <family val="2"/>
            <charset val="204"/>
          </rPr>
          <t xml:space="preserve">Шлак 4,5%
</t>
        </r>
      </text>
    </comment>
    <comment ref="I23" authorId="0">
      <text>
        <r>
          <rPr>
            <sz val="8"/>
            <color indexed="8"/>
            <rFont val="Tahoma"/>
            <family val="2"/>
            <charset val="204"/>
          </rPr>
          <t xml:space="preserve">Шлак 4,5%
</t>
        </r>
      </text>
    </comment>
    <comment ref="J23" authorId="0">
      <text>
        <r>
          <rPr>
            <sz val="8"/>
            <color indexed="8"/>
            <rFont val="Tahoma"/>
            <family val="2"/>
            <charset val="204"/>
          </rPr>
          <t xml:space="preserve">Шлак 4,5%
</t>
        </r>
      </text>
    </comment>
    <comment ref="L23" authorId="0">
      <text>
        <r>
          <rPr>
            <sz val="8"/>
            <color indexed="8"/>
            <rFont val="Tahoma"/>
            <family val="2"/>
            <charset val="204"/>
          </rPr>
          <t xml:space="preserve">Шлак 7%
</t>
        </r>
      </text>
    </comment>
    <comment ref="M23" authorId="0">
      <text>
        <r>
          <rPr>
            <sz val="8"/>
            <color indexed="8"/>
            <rFont val="Tahoma"/>
            <family val="2"/>
            <charset val="204"/>
          </rPr>
          <t xml:space="preserve">Шлак 7%
</t>
        </r>
      </text>
    </comment>
    <comment ref="N23" authorId="0">
      <text>
        <r>
          <rPr>
            <sz val="8"/>
            <color indexed="8"/>
            <rFont val="Tahoma"/>
            <family val="2"/>
            <charset val="204"/>
          </rPr>
          <t xml:space="preserve">Шлак 7%
</t>
        </r>
      </text>
    </comment>
    <comment ref="O23" authorId="0">
      <text>
        <r>
          <rPr>
            <sz val="8"/>
            <color indexed="8"/>
            <rFont val="Tahoma"/>
            <family val="2"/>
            <charset val="204"/>
          </rPr>
          <t xml:space="preserve">Шлак 4,5%
</t>
        </r>
      </text>
    </comment>
    <comment ref="P23" authorId="0">
      <text>
        <r>
          <rPr>
            <sz val="8"/>
            <color indexed="8"/>
            <rFont val="Tahoma"/>
            <family val="2"/>
            <charset val="204"/>
          </rPr>
          <t xml:space="preserve">Шлак 4,5%
</t>
        </r>
      </text>
    </comment>
    <comment ref="Q23" authorId="0">
      <text>
        <r>
          <rPr>
            <sz val="8"/>
            <color indexed="8"/>
            <rFont val="Tahoma"/>
            <family val="2"/>
            <charset val="204"/>
          </rPr>
          <t xml:space="preserve">Шлак 4,5%
</t>
        </r>
      </text>
    </comment>
    <comment ref="S23" authorId="0">
      <text>
        <r>
          <rPr>
            <sz val="8"/>
            <color indexed="8"/>
            <rFont val="Tahoma"/>
            <family val="2"/>
            <charset val="204"/>
          </rPr>
          <t xml:space="preserve">Шлак 7%
</t>
        </r>
      </text>
    </comment>
    <comment ref="T23" authorId="0">
      <text>
        <r>
          <rPr>
            <sz val="8"/>
            <color indexed="8"/>
            <rFont val="Tahoma"/>
            <family val="2"/>
            <charset val="204"/>
          </rPr>
          <t xml:space="preserve">Шлак 7%
</t>
        </r>
      </text>
    </comment>
    <comment ref="U23" authorId="0">
      <text>
        <r>
          <rPr>
            <sz val="8"/>
            <color indexed="8"/>
            <rFont val="Tahoma"/>
            <family val="2"/>
            <charset val="204"/>
          </rPr>
          <t xml:space="preserve">Шлак 7%
</t>
        </r>
      </text>
    </comment>
    <comment ref="V23" authorId="0">
      <text>
        <r>
          <rPr>
            <sz val="8"/>
            <color indexed="8"/>
            <rFont val="Tahoma"/>
            <family val="2"/>
            <charset val="204"/>
          </rPr>
          <t xml:space="preserve">Шлак 4,5%
</t>
        </r>
      </text>
    </comment>
    <comment ref="W23" authorId="0">
      <text>
        <r>
          <rPr>
            <sz val="8"/>
            <color indexed="8"/>
            <rFont val="Tahoma"/>
            <family val="2"/>
            <charset val="204"/>
          </rPr>
          <t xml:space="preserve">Шлак 4,5%
</t>
        </r>
      </text>
    </comment>
    <comment ref="X23" authorId="0">
      <text>
        <r>
          <rPr>
            <sz val="8"/>
            <color indexed="8"/>
            <rFont val="Tahoma"/>
            <family val="2"/>
            <charset val="204"/>
          </rPr>
          <t xml:space="preserve">Шлак 4,5%
</t>
        </r>
      </text>
    </comment>
    <comment ref="Z23" authorId="0">
      <text>
        <r>
          <rPr>
            <sz val="8"/>
            <color indexed="8"/>
            <rFont val="Tahoma"/>
            <family val="2"/>
            <charset val="204"/>
          </rPr>
          <t xml:space="preserve">Шлак 7%
</t>
        </r>
      </text>
    </comment>
    <comment ref="AA23" authorId="0">
      <text>
        <r>
          <rPr>
            <sz val="8"/>
            <color indexed="8"/>
            <rFont val="Tahoma"/>
            <family val="2"/>
            <charset val="204"/>
          </rPr>
          <t xml:space="preserve">Шлак 7%
</t>
        </r>
      </text>
    </comment>
    <comment ref="AB23" authorId="0">
      <text>
        <r>
          <rPr>
            <sz val="8"/>
            <color indexed="8"/>
            <rFont val="Tahoma"/>
            <family val="2"/>
            <charset val="204"/>
          </rPr>
          <t xml:space="preserve">Шлак 7%
</t>
        </r>
      </text>
    </comment>
    <comment ref="AC23" authorId="0">
      <text>
        <r>
          <rPr>
            <sz val="8"/>
            <color indexed="8"/>
            <rFont val="Tahoma"/>
            <family val="2"/>
            <charset val="204"/>
          </rPr>
          <t xml:space="preserve">Шлак 4,5%
</t>
        </r>
      </text>
    </comment>
    <comment ref="AD23" authorId="0">
      <text>
        <r>
          <rPr>
            <sz val="8"/>
            <color indexed="8"/>
            <rFont val="Tahoma"/>
            <family val="2"/>
            <charset val="204"/>
          </rPr>
          <t xml:space="preserve">Шлак 4,5%
</t>
        </r>
      </text>
    </comment>
    <comment ref="AE23" authorId="0">
      <text>
        <r>
          <rPr>
            <sz val="8"/>
            <color indexed="8"/>
            <rFont val="Tahoma"/>
            <family val="2"/>
            <charset val="204"/>
          </rPr>
          <t xml:space="preserve">Шлак 4,5%
</t>
        </r>
      </text>
    </comment>
    <comment ref="AG23" authorId="0">
      <text>
        <r>
          <rPr>
            <sz val="8"/>
            <color indexed="8"/>
            <rFont val="Tahoma"/>
            <family val="2"/>
            <charset val="204"/>
          </rPr>
          <t xml:space="preserve">Шлак 7%
</t>
        </r>
      </text>
    </comment>
    <comment ref="AH23" authorId="0">
      <text>
        <r>
          <rPr>
            <sz val="8"/>
            <color indexed="8"/>
            <rFont val="Tahoma"/>
            <family val="2"/>
            <charset val="204"/>
          </rPr>
          <t xml:space="preserve">Шлак 7%
</t>
        </r>
      </text>
    </comment>
    <comment ref="AI23" authorId="0">
      <text>
        <r>
          <rPr>
            <sz val="8"/>
            <color indexed="8"/>
            <rFont val="Tahoma"/>
            <family val="2"/>
            <charset val="204"/>
          </rPr>
          <t xml:space="preserve">Шлак 7%
</t>
        </r>
      </text>
    </comment>
    <comment ref="AJ23" authorId="0">
      <text>
        <r>
          <rPr>
            <sz val="8"/>
            <color indexed="8"/>
            <rFont val="Tahoma"/>
            <family val="2"/>
            <charset val="204"/>
          </rPr>
          <t xml:space="preserve">Шлак 4,5%
</t>
        </r>
      </text>
    </comment>
    <comment ref="AK23" authorId="0">
      <text>
        <r>
          <rPr>
            <sz val="8"/>
            <color indexed="8"/>
            <rFont val="Tahoma"/>
            <family val="2"/>
            <charset val="204"/>
          </rPr>
          <t xml:space="preserve">Шлак 4,5%
</t>
        </r>
      </text>
    </comment>
    <comment ref="AL23" authorId="0">
      <text>
        <r>
          <rPr>
            <sz val="8"/>
            <color indexed="8"/>
            <rFont val="Tahoma"/>
            <family val="2"/>
            <charset val="204"/>
          </rPr>
          <t xml:space="preserve">Шлак 4,5%
</t>
        </r>
      </text>
    </comment>
    <comment ref="AN23" authorId="0">
      <text>
        <r>
          <rPr>
            <sz val="8"/>
            <color indexed="8"/>
            <rFont val="Tahoma"/>
            <family val="2"/>
            <charset val="204"/>
          </rPr>
          <t xml:space="preserve">Шлак 7%
</t>
        </r>
      </text>
    </comment>
    <comment ref="AO23" authorId="0">
      <text>
        <r>
          <rPr>
            <sz val="8"/>
            <color indexed="8"/>
            <rFont val="Tahoma"/>
            <family val="2"/>
            <charset val="204"/>
          </rPr>
          <t xml:space="preserve">Шлак 7%
</t>
        </r>
      </text>
    </comment>
    <comment ref="AP23" authorId="0">
      <text>
        <r>
          <rPr>
            <sz val="8"/>
            <color indexed="8"/>
            <rFont val="Tahoma"/>
            <family val="2"/>
            <charset val="204"/>
          </rPr>
          <t xml:space="preserve">Шлак 7%
</t>
        </r>
      </text>
    </comment>
    <comment ref="AQ23" authorId="0">
      <text>
        <r>
          <rPr>
            <sz val="8"/>
            <color indexed="8"/>
            <rFont val="Tahoma"/>
            <family val="2"/>
            <charset val="204"/>
          </rPr>
          <t xml:space="preserve">Шлак 4,5%
</t>
        </r>
      </text>
    </comment>
    <comment ref="AR23" authorId="0">
      <text>
        <r>
          <rPr>
            <sz val="8"/>
            <color indexed="8"/>
            <rFont val="Tahoma"/>
            <family val="2"/>
            <charset val="204"/>
          </rPr>
          <t xml:space="preserve">Шлак 4,5%
</t>
        </r>
      </text>
    </comment>
    <comment ref="AS23" authorId="0">
      <text>
        <r>
          <rPr>
            <sz val="8"/>
            <color indexed="8"/>
            <rFont val="Tahoma"/>
            <family val="2"/>
            <charset val="204"/>
          </rPr>
          <t xml:space="preserve">Шлак 4,5%
</t>
        </r>
      </text>
    </comment>
    <comment ref="AU23" authorId="0">
      <text>
        <r>
          <rPr>
            <sz val="8"/>
            <color indexed="8"/>
            <rFont val="Tahoma"/>
            <family val="2"/>
            <charset val="204"/>
          </rPr>
          <t xml:space="preserve">Шлак 7%
</t>
        </r>
      </text>
    </comment>
    <comment ref="AV23" authorId="0">
      <text>
        <r>
          <rPr>
            <sz val="8"/>
            <color indexed="8"/>
            <rFont val="Tahoma"/>
            <family val="2"/>
            <charset val="204"/>
          </rPr>
          <t xml:space="preserve">Шлак 7%
</t>
        </r>
      </text>
    </comment>
    <comment ref="AW23" authorId="0">
      <text>
        <r>
          <rPr>
            <sz val="8"/>
            <color indexed="8"/>
            <rFont val="Tahoma"/>
            <family val="2"/>
            <charset val="204"/>
          </rPr>
          <t xml:space="preserve">Шлак 7%
</t>
        </r>
      </text>
    </comment>
    <comment ref="AX23" authorId="0">
      <text>
        <r>
          <rPr>
            <sz val="8"/>
            <color indexed="8"/>
            <rFont val="Tahoma"/>
            <family val="2"/>
            <charset val="204"/>
          </rPr>
          <t xml:space="preserve">Шлак 4,5%
</t>
        </r>
      </text>
    </comment>
    <comment ref="AY23" authorId="0">
      <text>
        <r>
          <rPr>
            <sz val="8"/>
            <color indexed="8"/>
            <rFont val="Tahoma"/>
            <family val="2"/>
            <charset val="204"/>
          </rPr>
          <t xml:space="preserve">Шлак 4,5%
</t>
        </r>
      </text>
    </comment>
    <comment ref="AZ23" authorId="0">
      <text>
        <r>
          <rPr>
            <sz val="8"/>
            <color indexed="8"/>
            <rFont val="Tahoma"/>
            <family val="2"/>
            <charset val="204"/>
          </rPr>
          <t xml:space="preserve">Шлак 4,5%
</t>
        </r>
      </text>
    </comment>
    <comment ref="BB23" authorId="0">
      <text>
        <r>
          <rPr>
            <sz val="8"/>
            <color indexed="8"/>
            <rFont val="Tahoma"/>
            <family val="2"/>
            <charset val="204"/>
          </rPr>
          <t xml:space="preserve">Шлак 7%
</t>
        </r>
      </text>
    </comment>
    <comment ref="BC23" authorId="0">
      <text>
        <r>
          <rPr>
            <sz val="8"/>
            <color indexed="8"/>
            <rFont val="Tahoma"/>
            <family val="2"/>
            <charset val="204"/>
          </rPr>
          <t xml:space="preserve">Шлак 7%
</t>
        </r>
      </text>
    </comment>
    <comment ref="BD23" authorId="0">
      <text>
        <r>
          <rPr>
            <sz val="8"/>
            <color indexed="8"/>
            <rFont val="Tahoma"/>
            <family val="2"/>
            <charset val="204"/>
          </rPr>
          <t xml:space="preserve">Шлак 7%
</t>
        </r>
      </text>
    </comment>
    <comment ref="BE23" authorId="0">
      <text>
        <r>
          <rPr>
            <sz val="8"/>
            <color indexed="8"/>
            <rFont val="Tahoma"/>
            <family val="2"/>
            <charset val="204"/>
          </rPr>
          <t xml:space="preserve">Шлак 4,5%
</t>
        </r>
      </text>
    </comment>
    <comment ref="BF23" authorId="0">
      <text>
        <r>
          <rPr>
            <sz val="8"/>
            <color indexed="8"/>
            <rFont val="Tahoma"/>
            <family val="2"/>
            <charset val="204"/>
          </rPr>
          <t xml:space="preserve">Шлак 4,5%
</t>
        </r>
      </text>
    </comment>
    <comment ref="BG23" authorId="0">
      <text>
        <r>
          <rPr>
            <sz val="8"/>
            <color indexed="8"/>
            <rFont val="Tahoma"/>
            <family val="2"/>
            <charset val="204"/>
          </rPr>
          <t xml:space="preserve">Шлак 4,5%
</t>
        </r>
      </text>
    </comment>
    <comment ref="BI23" authorId="0">
      <text>
        <r>
          <rPr>
            <sz val="8"/>
            <color indexed="8"/>
            <rFont val="Tahoma"/>
            <family val="2"/>
            <charset val="204"/>
          </rPr>
          <t xml:space="preserve">Шлак 7%
</t>
        </r>
      </text>
    </comment>
    <comment ref="BJ23" authorId="0">
      <text>
        <r>
          <rPr>
            <sz val="8"/>
            <color indexed="8"/>
            <rFont val="Tahoma"/>
            <family val="2"/>
            <charset val="204"/>
          </rPr>
          <t xml:space="preserve">Шлак 7%
</t>
        </r>
      </text>
    </comment>
    <comment ref="BK23" authorId="0">
      <text>
        <r>
          <rPr>
            <sz val="8"/>
            <color indexed="8"/>
            <rFont val="Tahoma"/>
            <family val="2"/>
            <charset val="204"/>
          </rPr>
          <t xml:space="preserve">Шлак 7%
</t>
        </r>
      </text>
    </comment>
    <comment ref="BL23" authorId="0">
      <text>
        <r>
          <rPr>
            <sz val="8"/>
            <color indexed="8"/>
            <rFont val="Tahoma"/>
            <family val="2"/>
            <charset val="204"/>
          </rPr>
          <t xml:space="preserve">Шлак 4,5%
</t>
        </r>
      </text>
    </comment>
    <comment ref="BM23" authorId="0">
      <text>
        <r>
          <rPr>
            <sz val="8"/>
            <color indexed="8"/>
            <rFont val="Tahoma"/>
            <family val="2"/>
            <charset val="204"/>
          </rPr>
          <t xml:space="preserve">Шлак 4,5%
</t>
        </r>
      </text>
    </comment>
    <comment ref="BN23" authorId="0">
      <text>
        <r>
          <rPr>
            <sz val="8"/>
            <color indexed="8"/>
            <rFont val="Tahoma"/>
            <family val="2"/>
            <charset val="204"/>
          </rPr>
          <t xml:space="preserve">Шлак 4,5%
</t>
        </r>
      </text>
    </comment>
    <comment ref="BP23" authorId="0">
      <text>
        <r>
          <rPr>
            <sz val="8"/>
            <color indexed="8"/>
            <rFont val="Tahoma"/>
            <family val="2"/>
            <charset val="204"/>
          </rPr>
          <t xml:space="preserve">Шлак 7%
</t>
        </r>
      </text>
    </comment>
    <comment ref="BQ23" authorId="0">
      <text>
        <r>
          <rPr>
            <sz val="8"/>
            <color indexed="8"/>
            <rFont val="Tahoma"/>
            <family val="2"/>
            <charset val="204"/>
          </rPr>
          <t xml:space="preserve">Шлак 7%
</t>
        </r>
      </text>
    </comment>
    <comment ref="BR23" authorId="0">
      <text>
        <r>
          <rPr>
            <sz val="8"/>
            <color indexed="8"/>
            <rFont val="Tahoma"/>
            <family val="2"/>
            <charset val="204"/>
          </rPr>
          <t xml:space="preserve">Шлак 7%
</t>
        </r>
      </text>
    </comment>
    <comment ref="BS23" authorId="0">
      <text>
        <r>
          <rPr>
            <sz val="8"/>
            <color indexed="8"/>
            <rFont val="Tahoma"/>
            <family val="2"/>
            <charset val="204"/>
          </rPr>
          <t xml:space="preserve">Шлак 4,5%
</t>
        </r>
      </text>
    </comment>
    <comment ref="BT23" authorId="0">
      <text>
        <r>
          <rPr>
            <sz val="8"/>
            <color indexed="8"/>
            <rFont val="Tahoma"/>
            <family val="2"/>
            <charset val="204"/>
          </rPr>
          <t xml:space="preserve">Шлак 4,5%
</t>
        </r>
      </text>
    </comment>
    <comment ref="BU23" authorId="0">
      <text>
        <r>
          <rPr>
            <sz val="8"/>
            <color indexed="8"/>
            <rFont val="Tahoma"/>
            <family val="2"/>
            <charset val="204"/>
          </rPr>
          <t xml:space="preserve">Шлак 4,5%
</t>
        </r>
      </text>
    </comment>
    <comment ref="E24" authorId="0">
      <text>
        <r>
          <rPr>
            <b/>
            <sz val="8"/>
            <color indexed="8"/>
            <rFont val="Tahoma"/>
            <family val="2"/>
            <charset val="204"/>
          </rPr>
          <t xml:space="preserve">Fe - 4%
</t>
        </r>
      </text>
    </comment>
    <comment ref="F24" authorId="0">
      <text>
        <r>
          <rPr>
            <b/>
            <sz val="8"/>
            <color indexed="8"/>
            <rFont val="Tahoma"/>
            <family val="2"/>
            <charset val="204"/>
          </rPr>
          <t xml:space="preserve">Fe - 4%
</t>
        </r>
      </text>
    </comment>
    <comment ref="G24" authorId="0">
      <text>
        <r>
          <rPr>
            <b/>
            <sz val="8"/>
            <color indexed="8"/>
            <rFont val="Tahoma"/>
            <family val="2"/>
            <charset val="204"/>
          </rPr>
          <t xml:space="preserve">Fe - 4%
</t>
        </r>
      </text>
    </comment>
    <comment ref="H24" authorId="0">
      <text>
        <r>
          <rPr>
            <b/>
            <sz val="8"/>
            <color indexed="8"/>
            <rFont val="Tahoma"/>
            <family val="2"/>
            <charset val="204"/>
          </rPr>
          <t xml:space="preserve">Fe - 0,2%
</t>
        </r>
      </text>
    </comment>
    <comment ref="I24" authorId="0">
      <text>
        <r>
          <rPr>
            <b/>
            <sz val="8"/>
            <color indexed="8"/>
            <rFont val="Tahoma"/>
            <family val="2"/>
            <charset val="204"/>
          </rPr>
          <t xml:space="preserve">Fe - 0,2%
</t>
        </r>
      </text>
    </comment>
    <comment ref="J24" authorId="0">
      <text>
        <r>
          <rPr>
            <b/>
            <sz val="8"/>
            <color indexed="8"/>
            <rFont val="Tahoma"/>
            <family val="2"/>
            <charset val="204"/>
          </rPr>
          <t xml:space="preserve">Fe - 0,2%
</t>
        </r>
      </text>
    </comment>
    <comment ref="L24" authorId="0">
      <text>
        <r>
          <rPr>
            <b/>
            <sz val="8"/>
            <color indexed="8"/>
            <rFont val="Tahoma"/>
            <family val="2"/>
            <charset val="204"/>
          </rPr>
          <t xml:space="preserve">Fe - 4%
</t>
        </r>
      </text>
    </comment>
    <comment ref="M24" authorId="0">
      <text>
        <r>
          <rPr>
            <b/>
            <sz val="8"/>
            <color indexed="8"/>
            <rFont val="Tahoma"/>
            <family val="2"/>
            <charset val="204"/>
          </rPr>
          <t xml:space="preserve">Fe - 4%
</t>
        </r>
      </text>
    </comment>
    <comment ref="N24" authorId="0">
      <text>
        <r>
          <rPr>
            <b/>
            <sz val="8"/>
            <color indexed="8"/>
            <rFont val="Tahoma"/>
            <family val="2"/>
            <charset val="204"/>
          </rPr>
          <t xml:space="preserve">Fe - 4%
</t>
        </r>
      </text>
    </comment>
    <comment ref="O24" authorId="0">
      <text>
        <r>
          <rPr>
            <b/>
            <sz val="8"/>
            <color indexed="8"/>
            <rFont val="Tahoma"/>
            <family val="2"/>
            <charset val="204"/>
          </rPr>
          <t xml:space="preserve">Fe - 0,2%
</t>
        </r>
      </text>
    </comment>
    <comment ref="P24" authorId="0">
      <text>
        <r>
          <rPr>
            <b/>
            <sz val="8"/>
            <color indexed="8"/>
            <rFont val="Tahoma"/>
            <family val="2"/>
            <charset val="204"/>
          </rPr>
          <t xml:space="preserve">Fe - 0,2%
</t>
        </r>
      </text>
    </comment>
    <comment ref="Q24" authorId="0">
      <text>
        <r>
          <rPr>
            <b/>
            <sz val="8"/>
            <color indexed="8"/>
            <rFont val="Tahoma"/>
            <family val="2"/>
            <charset val="204"/>
          </rPr>
          <t xml:space="preserve">Fe - 0,2%
</t>
        </r>
      </text>
    </comment>
    <comment ref="S24" authorId="0">
      <text>
        <r>
          <rPr>
            <b/>
            <sz val="8"/>
            <color indexed="8"/>
            <rFont val="Tahoma"/>
            <family val="2"/>
            <charset val="204"/>
          </rPr>
          <t xml:space="preserve">Fe - 4%
</t>
        </r>
      </text>
    </comment>
    <comment ref="T24" authorId="0">
      <text>
        <r>
          <rPr>
            <b/>
            <sz val="8"/>
            <color indexed="8"/>
            <rFont val="Tahoma"/>
            <family val="2"/>
            <charset val="204"/>
          </rPr>
          <t xml:space="preserve">Fe - 4%
</t>
        </r>
      </text>
    </comment>
    <comment ref="U24" authorId="0">
      <text>
        <r>
          <rPr>
            <b/>
            <sz val="8"/>
            <color indexed="8"/>
            <rFont val="Tahoma"/>
            <family val="2"/>
            <charset val="204"/>
          </rPr>
          <t xml:space="preserve">Fe - 4%
</t>
        </r>
      </text>
    </comment>
    <comment ref="V24" authorId="0">
      <text>
        <r>
          <rPr>
            <b/>
            <sz val="8"/>
            <color indexed="8"/>
            <rFont val="Tahoma"/>
            <family val="2"/>
            <charset val="204"/>
          </rPr>
          <t xml:space="preserve">Fe - 0,2%
</t>
        </r>
      </text>
    </comment>
    <comment ref="W24" authorId="0">
      <text>
        <r>
          <rPr>
            <b/>
            <sz val="8"/>
            <color indexed="8"/>
            <rFont val="Tahoma"/>
            <family val="2"/>
            <charset val="204"/>
          </rPr>
          <t xml:space="preserve">Fe - 0,2%
</t>
        </r>
      </text>
    </comment>
    <comment ref="X24" authorId="0">
      <text>
        <r>
          <rPr>
            <b/>
            <sz val="8"/>
            <color indexed="8"/>
            <rFont val="Tahoma"/>
            <family val="2"/>
            <charset val="204"/>
          </rPr>
          <t xml:space="preserve">Fe - 0,2%
</t>
        </r>
      </text>
    </comment>
    <comment ref="Z24" authorId="0">
      <text>
        <r>
          <rPr>
            <b/>
            <sz val="8"/>
            <color indexed="8"/>
            <rFont val="Tahoma"/>
            <family val="2"/>
            <charset val="204"/>
          </rPr>
          <t xml:space="preserve">Fe - 4%
</t>
        </r>
      </text>
    </comment>
    <comment ref="AA24" authorId="0">
      <text>
        <r>
          <rPr>
            <b/>
            <sz val="8"/>
            <color indexed="8"/>
            <rFont val="Tahoma"/>
            <family val="2"/>
            <charset val="204"/>
          </rPr>
          <t xml:space="preserve">Fe - 4%
</t>
        </r>
      </text>
    </comment>
    <comment ref="AB24" authorId="0">
      <text>
        <r>
          <rPr>
            <b/>
            <sz val="8"/>
            <color indexed="8"/>
            <rFont val="Tahoma"/>
            <family val="2"/>
            <charset val="204"/>
          </rPr>
          <t xml:space="preserve">Fe - 4%
</t>
        </r>
      </text>
    </comment>
    <comment ref="AC24" authorId="0">
      <text>
        <r>
          <rPr>
            <b/>
            <sz val="8"/>
            <color indexed="8"/>
            <rFont val="Tahoma"/>
            <family val="2"/>
            <charset val="204"/>
          </rPr>
          <t xml:space="preserve">Fe - 0,2%
</t>
        </r>
      </text>
    </comment>
    <comment ref="AD24" authorId="0">
      <text>
        <r>
          <rPr>
            <b/>
            <sz val="8"/>
            <color indexed="8"/>
            <rFont val="Tahoma"/>
            <family val="2"/>
            <charset val="204"/>
          </rPr>
          <t xml:space="preserve">Fe - 0,2%
</t>
        </r>
      </text>
    </comment>
    <comment ref="AE24" authorId="0">
      <text>
        <r>
          <rPr>
            <b/>
            <sz val="8"/>
            <color indexed="8"/>
            <rFont val="Tahoma"/>
            <family val="2"/>
            <charset val="204"/>
          </rPr>
          <t xml:space="preserve">Fe - 0,2%
</t>
        </r>
      </text>
    </comment>
    <comment ref="AG24" authorId="0">
      <text>
        <r>
          <rPr>
            <b/>
            <sz val="8"/>
            <color indexed="8"/>
            <rFont val="Tahoma"/>
            <family val="2"/>
            <charset val="204"/>
          </rPr>
          <t xml:space="preserve">Fe - 4%
</t>
        </r>
      </text>
    </comment>
    <comment ref="AH24" authorId="0">
      <text>
        <r>
          <rPr>
            <b/>
            <sz val="8"/>
            <color indexed="8"/>
            <rFont val="Tahoma"/>
            <family val="2"/>
            <charset val="204"/>
          </rPr>
          <t xml:space="preserve">Fe - 4%
</t>
        </r>
      </text>
    </comment>
    <comment ref="AI24" authorId="0">
      <text>
        <r>
          <rPr>
            <b/>
            <sz val="8"/>
            <color indexed="8"/>
            <rFont val="Tahoma"/>
            <family val="2"/>
            <charset val="204"/>
          </rPr>
          <t xml:space="preserve">Fe - 4%
</t>
        </r>
      </text>
    </comment>
    <comment ref="AJ24" authorId="0">
      <text>
        <r>
          <rPr>
            <b/>
            <sz val="8"/>
            <color indexed="8"/>
            <rFont val="Tahoma"/>
            <family val="2"/>
            <charset val="204"/>
          </rPr>
          <t xml:space="preserve">Fe - 0,2%
</t>
        </r>
      </text>
    </comment>
    <comment ref="AK24" authorId="0">
      <text>
        <r>
          <rPr>
            <b/>
            <sz val="8"/>
            <color indexed="8"/>
            <rFont val="Tahoma"/>
            <family val="2"/>
            <charset val="204"/>
          </rPr>
          <t xml:space="preserve">Fe - 0,2%
</t>
        </r>
      </text>
    </comment>
    <comment ref="AL24" authorId="0">
      <text>
        <r>
          <rPr>
            <b/>
            <sz val="8"/>
            <color indexed="8"/>
            <rFont val="Tahoma"/>
            <family val="2"/>
            <charset val="204"/>
          </rPr>
          <t xml:space="preserve">Fe - 0,2%
</t>
        </r>
      </text>
    </comment>
    <comment ref="AN24" authorId="0">
      <text>
        <r>
          <rPr>
            <b/>
            <sz val="8"/>
            <color indexed="8"/>
            <rFont val="Tahoma"/>
            <family val="2"/>
            <charset val="204"/>
          </rPr>
          <t xml:space="preserve">Fe - 4%
</t>
        </r>
      </text>
    </comment>
    <comment ref="AO24" authorId="0">
      <text>
        <r>
          <rPr>
            <b/>
            <sz val="8"/>
            <color indexed="8"/>
            <rFont val="Tahoma"/>
            <family val="2"/>
            <charset val="204"/>
          </rPr>
          <t xml:space="preserve">Fe - 4%
</t>
        </r>
      </text>
    </comment>
    <comment ref="AP24" authorId="0">
      <text>
        <r>
          <rPr>
            <b/>
            <sz val="8"/>
            <color indexed="8"/>
            <rFont val="Tahoma"/>
            <family val="2"/>
            <charset val="204"/>
          </rPr>
          <t xml:space="preserve">Fe - 4%
</t>
        </r>
      </text>
    </comment>
    <comment ref="AQ24" authorId="0">
      <text>
        <r>
          <rPr>
            <b/>
            <sz val="8"/>
            <color indexed="8"/>
            <rFont val="Tahoma"/>
            <family val="2"/>
            <charset val="204"/>
          </rPr>
          <t xml:space="preserve">Fe - 0,2%
</t>
        </r>
      </text>
    </comment>
    <comment ref="AR24" authorId="0">
      <text>
        <r>
          <rPr>
            <b/>
            <sz val="8"/>
            <color indexed="8"/>
            <rFont val="Tahoma"/>
            <family val="2"/>
            <charset val="204"/>
          </rPr>
          <t xml:space="preserve">Fe - 0,2%
</t>
        </r>
      </text>
    </comment>
    <comment ref="AS24" authorId="0">
      <text>
        <r>
          <rPr>
            <b/>
            <sz val="8"/>
            <color indexed="8"/>
            <rFont val="Tahoma"/>
            <family val="2"/>
            <charset val="204"/>
          </rPr>
          <t xml:space="preserve">Fe - 0,2%
</t>
        </r>
      </text>
    </comment>
    <comment ref="AU24" authorId="0">
      <text>
        <r>
          <rPr>
            <b/>
            <sz val="8"/>
            <color indexed="8"/>
            <rFont val="Tahoma"/>
            <family val="2"/>
            <charset val="204"/>
          </rPr>
          <t xml:space="preserve">Fe - 4%
</t>
        </r>
      </text>
    </comment>
    <comment ref="AV24" authorId="0">
      <text>
        <r>
          <rPr>
            <b/>
            <sz val="8"/>
            <color indexed="8"/>
            <rFont val="Tahoma"/>
            <family val="2"/>
            <charset val="204"/>
          </rPr>
          <t xml:space="preserve">Fe - 4%
</t>
        </r>
      </text>
    </comment>
    <comment ref="AW24" authorId="0">
      <text>
        <r>
          <rPr>
            <b/>
            <sz val="8"/>
            <color indexed="8"/>
            <rFont val="Tahoma"/>
            <family val="2"/>
            <charset val="204"/>
          </rPr>
          <t xml:space="preserve">Fe - 4%
</t>
        </r>
      </text>
    </comment>
    <comment ref="AX24" authorId="0">
      <text>
        <r>
          <rPr>
            <b/>
            <sz val="8"/>
            <color indexed="8"/>
            <rFont val="Tahoma"/>
            <family val="2"/>
            <charset val="204"/>
          </rPr>
          <t xml:space="preserve">Fe - 0,2%
</t>
        </r>
      </text>
    </comment>
    <comment ref="AY24" authorId="0">
      <text>
        <r>
          <rPr>
            <b/>
            <sz val="8"/>
            <color indexed="8"/>
            <rFont val="Tahoma"/>
            <family val="2"/>
            <charset val="204"/>
          </rPr>
          <t xml:space="preserve">Fe - 0,2%
</t>
        </r>
      </text>
    </comment>
    <comment ref="AZ24" authorId="0">
      <text>
        <r>
          <rPr>
            <b/>
            <sz val="8"/>
            <color indexed="8"/>
            <rFont val="Tahoma"/>
            <family val="2"/>
            <charset val="204"/>
          </rPr>
          <t xml:space="preserve">Fe - 0,2%
</t>
        </r>
      </text>
    </comment>
    <comment ref="BB24" authorId="0">
      <text>
        <r>
          <rPr>
            <b/>
            <sz val="8"/>
            <color indexed="8"/>
            <rFont val="Tahoma"/>
            <family val="2"/>
            <charset val="204"/>
          </rPr>
          <t xml:space="preserve">Fe - 4%
</t>
        </r>
      </text>
    </comment>
    <comment ref="BC24" authorId="0">
      <text>
        <r>
          <rPr>
            <b/>
            <sz val="8"/>
            <color indexed="8"/>
            <rFont val="Tahoma"/>
            <family val="2"/>
            <charset val="204"/>
          </rPr>
          <t xml:space="preserve">Fe - 4%
</t>
        </r>
      </text>
    </comment>
    <comment ref="BD24" authorId="0">
      <text>
        <r>
          <rPr>
            <b/>
            <sz val="8"/>
            <color indexed="8"/>
            <rFont val="Tahoma"/>
            <family val="2"/>
            <charset val="204"/>
          </rPr>
          <t xml:space="preserve">Fe - 4%
</t>
        </r>
      </text>
    </comment>
    <comment ref="BE24" authorId="0">
      <text>
        <r>
          <rPr>
            <b/>
            <sz val="8"/>
            <color indexed="8"/>
            <rFont val="Tahoma"/>
            <family val="2"/>
            <charset val="204"/>
          </rPr>
          <t xml:space="preserve">Fe - 0,2%
</t>
        </r>
      </text>
    </comment>
    <comment ref="BF24" authorId="0">
      <text>
        <r>
          <rPr>
            <b/>
            <sz val="8"/>
            <color indexed="8"/>
            <rFont val="Tahoma"/>
            <family val="2"/>
            <charset val="204"/>
          </rPr>
          <t xml:space="preserve">Fe - 0,2%
</t>
        </r>
      </text>
    </comment>
    <comment ref="BG24" authorId="0">
      <text>
        <r>
          <rPr>
            <b/>
            <sz val="8"/>
            <color indexed="8"/>
            <rFont val="Tahoma"/>
            <family val="2"/>
            <charset val="204"/>
          </rPr>
          <t xml:space="preserve">Fe - 0,2%
</t>
        </r>
      </text>
    </comment>
    <comment ref="BI24" authorId="0">
      <text>
        <r>
          <rPr>
            <b/>
            <sz val="8"/>
            <color indexed="8"/>
            <rFont val="Tahoma"/>
            <family val="2"/>
            <charset val="204"/>
          </rPr>
          <t xml:space="preserve">Fe - 4%
</t>
        </r>
      </text>
    </comment>
    <comment ref="BJ24" authorId="0">
      <text>
        <r>
          <rPr>
            <b/>
            <sz val="8"/>
            <color indexed="8"/>
            <rFont val="Tahoma"/>
            <family val="2"/>
            <charset val="204"/>
          </rPr>
          <t xml:space="preserve">Fe - 4%
</t>
        </r>
      </text>
    </comment>
    <comment ref="BK24" authorId="0">
      <text>
        <r>
          <rPr>
            <b/>
            <sz val="8"/>
            <color indexed="8"/>
            <rFont val="Tahoma"/>
            <family val="2"/>
            <charset val="204"/>
          </rPr>
          <t xml:space="preserve">Fe - 4%
</t>
        </r>
      </text>
    </comment>
    <comment ref="BL24" authorId="0">
      <text>
        <r>
          <rPr>
            <b/>
            <sz val="8"/>
            <color indexed="8"/>
            <rFont val="Tahoma"/>
            <family val="2"/>
            <charset val="204"/>
          </rPr>
          <t xml:space="preserve">Fe - 0,2%
</t>
        </r>
      </text>
    </comment>
    <comment ref="BM24" authorId="0">
      <text>
        <r>
          <rPr>
            <b/>
            <sz val="8"/>
            <color indexed="8"/>
            <rFont val="Tahoma"/>
            <family val="2"/>
            <charset val="204"/>
          </rPr>
          <t xml:space="preserve">Fe - 0,2%
</t>
        </r>
      </text>
    </comment>
    <comment ref="BN24" authorId="0">
      <text>
        <r>
          <rPr>
            <b/>
            <sz val="8"/>
            <color indexed="8"/>
            <rFont val="Tahoma"/>
            <family val="2"/>
            <charset val="204"/>
          </rPr>
          <t xml:space="preserve">Fe - 0,2%
</t>
        </r>
      </text>
    </comment>
    <comment ref="BP24" authorId="0">
      <text>
        <r>
          <rPr>
            <b/>
            <sz val="8"/>
            <color indexed="8"/>
            <rFont val="Tahoma"/>
            <family val="2"/>
            <charset val="204"/>
          </rPr>
          <t xml:space="preserve">Fe - 4%
</t>
        </r>
      </text>
    </comment>
    <comment ref="BQ24" authorId="0">
      <text>
        <r>
          <rPr>
            <b/>
            <sz val="8"/>
            <color indexed="8"/>
            <rFont val="Tahoma"/>
            <family val="2"/>
            <charset val="204"/>
          </rPr>
          <t xml:space="preserve">Fe - 4%
</t>
        </r>
      </text>
    </comment>
    <comment ref="BR24" authorId="0">
      <text>
        <r>
          <rPr>
            <b/>
            <sz val="8"/>
            <color indexed="8"/>
            <rFont val="Tahoma"/>
            <family val="2"/>
            <charset val="204"/>
          </rPr>
          <t xml:space="preserve">Fe - 4%
</t>
        </r>
      </text>
    </comment>
    <comment ref="BS24" authorId="0">
      <text>
        <r>
          <rPr>
            <b/>
            <sz val="8"/>
            <color indexed="8"/>
            <rFont val="Tahoma"/>
            <family val="2"/>
            <charset val="204"/>
          </rPr>
          <t xml:space="preserve">Fe - 0,2%
</t>
        </r>
      </text>
    </comment>
    <comment ref="BT24" authorId="0">
      <text>
        <r>
          <rPr>
            <b/>
            <sz val="8"/>
            <color indexed="8"/>
            <rFont val="Tahoma"/>
            <family val="2"/>
            <charset val="204"/>
          </rPr>
          <t xml:space="preserve">Fe - 0,2%
</t>
        </r>
      </text>
    </comment>
    <comment ref="BU24" authorId="0">
      <text>
        <r>
          <rPr>
            <b/>
            <sz val="8"/>
            <color indexed="8"/>
            <rFont val="Tahoma"/>
            <family val="2"/>
            <charset val="204"/>
          </rPr>
          <t xml:space="preserve">Fe - 0,2%
</t>
        </r>
      </text>
    </comment>
  </commentList>
</comments>
</file>

<file path=xl/comments2.xml><?xml version="1.0" encoding="utf-8"?>
<comments xmlns="http://schemas.openxmlformats.org/spreadsheetml/2006/main">
  <authors>
    <author/>
  </authors>
  <commentList>
    <comment ref="M11" authorId="0">
      <text>
        <r>
          <rPr>
            <b/>
            <sz val="8"/>
            <color indexed="8"/>
            <rFont val="Tahoma"/>
            <family val="2"/>
            <charset val="204"/>
          </rPr>
          <t xml:space="preserve">для планирования из таблицы "Месячная программа"
</t>
        </r>
      </text>
    </comment>
    <comment ref="M23" authorId="0">
      <text>
        <r>
          <rPr>
            <b/>
            <sz val="8"/>
            <color indexed="8"/>
            <rFont val="Tahoma"/>
            <family val="2"/>
            <charset val="204"/>
          </rPr>
          <t xml:space="preserve">для планирования из таблицы "Месячная программа"
</t>
        </r>
      </text>
    </comment>
    <comment ref="M31" authorId="0">
      <text>
        <r>
          <rPr>
            <b/>
            <sz val="8"/>
            <color indexed="8"/>
            <rFont val="Tahoma"/>
            <family val="2"/>
            <charset val="204"/>
          </rPr>
          <t xml:space="preserve">Для планирования -Исходя из штатного расписания
</t>
        </r>
      </text>
    </comment>
    <comment ref="A40" authorId="0">
      <text>
        <r>
          <rPr>
            <b/>
            <sz val="8"/>
            <color indexed="8"/>
            <rFont val="Tahoma"/>
            <family val="2"/>
            <charset val="204"/>
          </rPr>
          <t xml:space="preserve">Амортизация ОС
</t>
        </r>
      </text>
    </comment>
  </commentList>
</comments>
</file>

<file path=xl/comments3.xml><?xml version="1.0" encoding="utf-8"?>
<comments xmlns="http://schemas.openxmlformats.org/spreadsheetml/2006/main">
  <authors>
    <author/>
  </authors>
  <commentList>
    <comment ref="A1" authorId="0">
      <text>
        <r>
          <rPr>
            <b/>
            <sz val="8"/>
            <color indexed="8"/>
            <rFont val="Tahoma"/>
            <family val="2"/>
            <charset val="204"/>
          </rPr>
          <t xml:space="preserve">Выручка, расходы (расписываю по группам), прибыль, остатки по кассам, остатки лома на базе, дебет. и кред. задолжености.
</t>
        </r>
      </text>
    </comment>
    <comment ref="A9" authorId="0">
      <text>
        <r>
          <rPr>
            <b/>
            <sz val="8"/>
            <color indexed="8"/>
            <rFont val="Tahoma"/>
            <family val="2"/>
            <charset val="204"/>
          </rPr>
          <t xml:space="preserve">для планирования из таблицы "Месячная программа"
</t>
        </r>
      </text>
    </comment>
    <comment ref="A18" authorId="0">
      <text>
        <r>
          <rPr>
            <b/>
            <sz val="8"/>
            <color indexed="8"/>
            <rFont val="Tahoma"/>
            <family val="2"/>
            <charset val="204"/>
          </rPr>
          <t xml:space="preserve">1:
</t>
        </r>
      </text>
    </comment>
    <comment ref="A21" authorId="0">
      <text>
        <r>
          <rPr>
            <b/>
            <sz val="8"/>
            <color indexed="8"/>
            <rFont val="Tahoma"/>
            <family val="2"/>
            <charset val="204"/>
          </rPr>
          <t xml:space="preserve">для планирования из таблицы "Месячная программа"
</t>
        </r>
      </text>
    </comment>
    <comment ref="H37" authorId="0">
      <text>
        <r>
          <rPr>
            <b/>
            <sz val="8"/>
            <color indexed="8"/>
            <rFont val="Tahoma"/>
            <family val="2"/>
            <charset val="204"/>
          </rPr>
          <t xml:space="preserve">Март, Апрель, Май
</t>
        </r>
      </text>
    </comment>
    <comment ref="J37" authorId="0">
      <text>
        <r>
          <rPr>
            <b/>
            <sz val="8"/>
            <color indexed="8"/>
            <rFont val="Tahoma"/>
            <family val="2"/>
            <charset val="204"/>
          </rPr>
          <t xml:space="preserve">Июнь, июль
</t>
        </r>
      </text>
    </comment>
    <comment ref="I42" authorId="0">
      <text>
        <r>
          <rPr>
            <b/>
            <sz val="8"/>
            <color indexed="8"/>
            <rFont val="Tahoma"/>
            <family val="2"/>
            <charset val="204"/>
          </rPr>
          <t xml:space="preserve">Май, июнь
</t>
        </r>
      </text>
    </comment>
    <comment ref="E54" authorId="0">
      <text>
        <r>
          <rPr>
            <sz val="8"/>
            <color indexed="8"/>
            <rFont val="Tahoma"/>
            <family val="2"/>
            <charset val="204"/>
          </rPr>
          <t xml:space="preserve">Газ через УПС
</t>
        </r>
      </text>
    </comment>
    <comment ref="D56" authorId="0">
      <text>
        <r>
          <rPr>
            <b/>
            <sz val="8"/>
            <color indexed="8"/>
            <rFont val="Tahoma"/>
            <family val="2"/>
            <charset val="204"/>
          </rPr>
          <t xml:space="preserve">Ноябрь, декабрь
</t>
        </r>
      </text>
    </comment>
    <comment ref="E56" authorId="0">
      <text>
        <r>
          <rPr>
            <b/>
            <sz val="8"/>
            <color indexed="8"/>
            <rFont val="Tahoma"/>
            <family val="2"/>
            <charset val="204"/>
          </rPr>
          <t xml:space="preserve">За Январь
</t>
        </r>
      </text>
    </comment>
    <comment ref="F56" authorId="0">
      <text>
        <r>
          <rPr>
            <b/>
            <sz val="8"/>
            <color indexed="8"/>
            <rFont val="Tahoma"/>
            <family val="2"/>
            <charset val="204"/>
          </rPr>
          <t xml:space="preserve">Февраль
</t>
        </r>
      </text>
    </comment>
    <comment ref="G56" authorId="0">
      <text>
        <r>
          <rPr>
            <b/>
            <sz val="8"/>
            <color indexed="8"/>
            <rFont val="Tahoma"/>
            <family val="2"/>
            <charset val="204"/>
          </rPr>
          <t xml:space="preserve">Март, апрель
</t>
        </r>
      </text>
    </comment>
    <comment ref="H56" authorId="0">
      <text>
        <r>
          <rPr>
            <b/>
            <sz val="8"/>
            <color indexed="8"/>
            <rFont val="Tahoma"/>
            <family val="2"/>
            <charset val="204"/>
          </rPr>
          <t xml:space="preserve">Апрель, май
</t>
        </r>
      </text>
    </comment>
    <comment ref="I56" authorId="0">
      <text>
        <r>
          <rPr>
            <b/>
            <sz val="8"/>
            <color indexed="8"/>
            <rFont val="Tahoma"/>
            <family val="2"/>
            <charset val="204"/>
          </rPr>
          <t xml:space="preserve">Май, июнь
</t>
        </r>
      </text>
    </comment>
    <comment ref="J56" authorId="0">
      <text>
        <r>
          <rPr>
            <b/>
            <sz val="8"/>
            <color indexed="8"/>
            <rFont val="Tahoma"/>
            <family val="2"/>
            <charset val="204"/>
          </rPr>
          <t xml:space="preserve">Июнь
</t>
        </r>
      </text>
    </comment>
    <comment ref="K56" authorId="0">
      <text>
        <r>
          <rPr>
            <b/>
            <sz val="8"/>
            <color indexed="8"/>
            <rFont val="Tahoma"/>
            <family val="2"/>
            <charset val="204"/>
          </rPr>
          <t xml:space="preserve">Июль
</t>
        </r>
      </text>
    </comment>
    <comment ref="L56" authorId="0">
      <text>
        <r>
          <rPr>
            <b/>
            <sz val="8"/>
            <color indexed="8"/>
            <rFont val="Tahoma"/>
            <family val="2"/>
            <charset val="204"/>
          </rPr>
          <t xml:space="preserve">Август
</t>
        </r>
      </text>
    </comment>
    <comment ref="H139" authorId="0">
      <text>
        <r>
          <rPr>
            <b/>
            <sz val="8"/>
            <color indexed="8"/>
            <rFont val="Tahoma"/>
            <family val="2"/>
            <charset val="204"/>
          </rPr>
          <t xml:space="preserve">Списаны сразу 400 пар
</t>
        </r>
      </text>
    </comment>
    <comment ref="J139" authorId="0">
      <text>
        <r>
          <rPr>
            <b/>
            <sz val="8"/>
            <color indexed="8"/>
            <rFont val="Tahoma"/>
            <family val="2"/>
            <charset val="204"/>
          </rPr>
          <t xml:space="preserve">Списано 514 пар
</t>
        </r>
      </text>
    </comment>
    <comment ref="J140" authorId="0">
      <text>
        <r>
          <rPr>
            <b/>
            <sz val="8"/>
            <color indexed="8"/>
            <rFont val="Tahoma"/>
            <family val="2"/>
            <charset val="204"/>
          </rPr>
          <t xml:space="preserve">Списано с прихода Нарукавник + фартук брезентовый
</t>
        </r>
      </text>
    </comment>
    <comment ref="F146" authorId="0">
      <text>
        <r>
          <rPr>
            <b/>
            <sz val="8"/>
            <color indexed="8"/>
            <rFont val="Tahoma"/>
            <family val="2"/>
            <charset val="204"/>
          </rPr>
          <t xml:space="preserve">Списаны сразу
</t>
        </r>
        <r>
          <rPr>
            <sz val="8"/>
            <color indexed="8"/>
            <rFont val="Tahoma"/>
            <family val="2"/>
            <charset val="204"/>
          </rPr>
          <t>15 шт</t>
        </r>
      </text>
    </comment>
    <comment ref="K146" authorId="0">
      <text>
        <r>
          <rPr>
            <b/>
            <sz val="8"/>
            <color indexed="8"/>
            <rFont val="Tahoma"/>
            <family val="2"/>
            <charset val="204"/>
          </rPr>
          <t xml:space="preserve">Списано с прихода 20 пар
</t>
        </r>
      </text>
    </comment>
  </commentList>
</comments>
</file>

<file path=xl/comments4.xml><?xml version="1.0" encoding="utf-8"?>
<comments xmlns="http://schemas.openxmlformats.org/spreadsheetml/2006/main">
  <authors>
    <author/>
    <author>Владимир</author>
  </authors>
  <commentList>
    <comment ref="A1" authorId="0">
      <text>
        <r>
          <rPr>
            <b/>
            <sz val="8"/>
            <color indexed="8"/>
            <rFont val="Tahoma"/>
            <family val="2"/>
            <charset val="204"/>
          </rPr>
          <t xml:space="preserve">Выручка, расходы (расписываю по группам), прибыль, остатки по кассам, остатки лома на базе, дебет. и кред. задолжености.
</t>
        </r>
      </text>
    </comment>
    <comment ref="F4" authorId="0">
      <text>
        <r>
          <rPr>
            <b/>
            <sz val="8"/>
            <color indexed="8"/>
            <rFont val="Tahoma"/>
            <family val="2"/>
            <charset val="204"/>
          </rPr>
          <t xml:space="preserve">С учетом метвыхода
</t>
        </r>
      </text>
    </comment>
    <comment ref="K4" authorId="0">
      <text>
        <r>
          <rPr>
            <b/>
            <sz val="8"/>
            <color indexed="8"/>
            <rFont val="Tahoma"/>
            <family val="2"/>
            <charset val="204"/>
          </rPr>
          <t xml:space="preserve">С учетом метвыхода
</t>
        </r>
      </text>
    </comment>
    <comment ref="P4" authorId="0">
      <text>
        <r>
          <rPr>
            <b/>
            <sz val="8"/>
            <color indexed="8"/>
            <rFont val="Tahoma"/>
            <family val="2"/>
            <charset val="204"/>
          </rPr>
          <t xml:space="preserve">С учетом метвыхода
</t>
        </r>
      </text>
    </comment>
    <comment ref="U4" authorId="0">
      <text>
        <r>
          <rPr>
            <b/>
            <sz val="8"/>
            <color indexed="8"/>
            <rFont val="Tahoma"/>
            <family val="2"/>
            <charset val="204"/>
          </rPr>
          <t xml:space="preserve">С учетом метвыхода
</t>
        </r>
      </text>
    </comment>
    <comment ref="Z4" authorId="0">
      <text>
        <r>
          <rPr>
            <b/>
            <sz val="8"/>
            <color indexed="8"/>
            <rFont val="Tahoma"/>
            <family val="2"/>
            <charset val="204"/>
          </rPr>
          <t xml:space="preserve">С учетом метвыхода
</t>
        </r>
      </text>
    </comment>
    <comment ref="AE4" authorId="0">
      <text>
        <r>
          <rPr>
            <b/>
            <sz val="8"/>
            <color indexed="8"/>
            <rFont val="Tahoma"/>
            <family val="2"/>
            <charset val="204"/>
          </rPr>
          <t xml:space="preserve">С учетом метвыхода
</t>
        </r>
      </text>
    </comment>
    <comment ref="AJ4" authorId="0">
      <text>
        <r>
          <rPr>
            <b/>
            <sz val="8"/>
            <color indexed="8"/>
            <rFont val="Tahoma"/>
            <family val="2"/>
            <charset val="204"/>
          </rPr>
          <t xml:space="preserve">С учетом метвыхода
</t>
        </r>
      </text>
    </comment>
    <comment ref="AO4" authorId="0">
      <text>
        <r>
          <rPr>
            <b/>
            <sz val="8"/>
            <color indexed="8"/>
            <rFont val="Tahoma"/>
            <family val="2"/>
            <charset val="204"/>
          </rPr>
          <t xml:space="preserve">С учетом метвыхода
</t>
        </r>
      </text>
    </comment>
    <comment ref="AT4" authorId="0">
      <text>
        <r>
          <rPr>
            <b/>
            <sz val="8"/>
            <color indexed="8"/>
            <rFont val="Tahoma"/>
            <family val="2"/>
            <charset val="204"/>
          </rPr>
          <t xml:space="preserve">С учетом метвыхода
</t>
        </r>
      </text>
    </comment>
    <comment ref="AY4" authorId="0">
      <text>
        <r>
          <rPr>
            <b/>
            <sz val="8"/>
            <color indexed="8"/>
            <rFont val="Tahoma"/>
            <family val="2"/>
            <charset val="204"/>
          </rPr>
          <t xml:space="preserve">С учетом метвыхода
</t>
        </r>
      </text>
    </comment>
    <comment ref="BD4" authorId="0">
      <text>
        <r>
          <rPr>
            <b/>
            <sz val="8"/>
            <color indexed="8"/>
            <rFont val="Tahoma"/>
            <family val="2"/>
            <charset val="204"/>
          </rPr>
          <t xml:space="preserve">С учетом метвыхода
</t>
        </r>
      </text>
    </comment>
    <comment ref="BI4" authorId="0">
      <text>
        <r>
          <rPr>
            <b/>
            <sz val="8"/>
            <color indexed="8"/>
            <rFont val="Tahoma"/>
            <family val="2"/>
            <charset val="204"/>
          </rPr>
          <t xml:space="preserve">С учетом метвыхода
</t>
        </r>
      </text>
    </comment>
    <comment ref="BN4" authorId="0">
      <text>
        <r>
          <rPr>
            <b/>
            <sz val="8"/>
            <color indexed="8"/>
            <rFont val="Tahoma"/>
            <family val="2"/>
            <charset val="204"/>
          </rPr>
          <t xml:space="preserve">С учетом метвыхода
</t>
        </r>
      </text>
    </comment>
    <comment ref="BU4" authorId="0">
      <text>
        <r>
          <rPr>
            <b/>
            <sz val="8"/>
            <color indexed="8"/>
            <rFont val="Tahoma"/>
            <family val="2"/>
            <charset val="204"/>
          </rPr>
          <t xml:space="preserve">С учетом метвыхода
</t>
        </r>
      </text>
    </comment>
    <comment ref="A5" authorId="0">
      <text>
        <r>
          <rPr>
            <b/>
            <sz val="8"/>
            <color indexed="8"/>
            <rFont val="Tahoma"/>
            <family val="2"/>
            <charset val="204"/>
          </rPr>
          <t>Отчет: "Себестоимость (версия2) По выпущенной номенклатуре</t>
        </r>
      </text>
    </comment>
    <comment ref="A14" authorId="0">
      <text>
        <r>
          <rPr>
            <b/>
            <sz val="8"/>
            <color indexed="8"/>
            <rFont val="Tahoma"/>
            <family val="2"/>
            <charset val="204"/>
          </rPr>
          <t>Отчет: "Себестоимость (версия2) По выпущенной номенклатуре</t>
        </r>
      </text>
    </comment>
    <comment ref="A64" authorId="0">
      <text>
        <r>
          <rPr>
            <b/>
            <sz val="8"/>
            <color indexed="8"/>
            <rFont val="Tahoma"/>
            <family val="2"/>
            <charset val="204"/>
          </rPr>
          <t xml:space="preserve">для планирования из таблицы "Месячная программа"
</t>
        </r>
      </text>
    </comment>
    <comment ref="A77" authorId="0">
      <text>
        <r>
          <rPr>
            <b/>
            <sz val="8"/>
            <color indexed="8"/>
            <rFont val="Tahoma"/>
            <family val="2"/>
            <charset val="204"/>
          </rPr>
          <t xml:space="preserve">1:
</t>
        </r>
      </text>
    </comment>
    <comment ref="A78" authorId="0">
      <text>
        <r>
          <rPr>
            <b/>
            <sz val="8"/>
            <color indexed="8"/>
            <rFont val="Tahoma"/>
            <family val="2"/>
            <charset val="204"/>
          </rPr>
          <t xml:space="preserve">для планирования из таблицы "Месячная программа"
</t>
        </r>
      </text>
    </comment>
    <comment ref="BL85" authorId="0">
      <text>
        <r>
          <rPr>
            <b/>
            <sz val="8"/>
            <color indexed="8"/>
            <rFont val="Tahoma"/>
            <family val="2"/>
            <charset val="204"/>
          </rPr>
          <t xml:space="preserve">Сумма для расчета постоянных расходов за год
</t>
        </r>
      </text>
    </comment>
    <comment ref="BS85" authorId="0">
      <text>
        <r>
          <rPr>
            <b/>
            <sz val="8"/>
            <color indexed="8"/>
            <rFont val="Tahoma"/>
            <family val="2"/>
            <charset val="204"/>
          </rPr>
          <t xml:space="preserve">Сумма для расчета постоянных расходов за год без января и февраля
</t>
        </r>
      </text>
    </comment>
    <comment ref="A86" authorId="0">
      <text>
        <r>
          <rPr>
            <b/>
            <sz val="8"/>
            <color indexed="8"/>
            <rFont val="Tahoma"/>
            <family val="2"/>
            <charset val="204"/>
          </rPr>
          <t xml:space="preserve">Для планирования -Исходя из штатного расписания
</t>
        </r>
      </text>
    </comment>
    <comment ref="BL132" authorId="0">
      <text>
        <r>
          <rPr>
            <b/>
            <sz val="8"/>
            <color indexed="8"/>
            <rFont val="Tahoma"/>
            <family val="2"/>
            <charset val="204"/>
          </rPr>
          <t xml:space="preserve">1:
</t>
        </r>
      </text>
    </comment>
    <comment ref="BL152" authorId="1">
      <text>
        <r>
          <rPr>
            <b/>
            <sz val="9"/>
            <color indexed="81"/>
            <rFont val="Tahoma"/>
            <family val="2"/>
            <charset val="204"/>
          </rPr>
          <t xml:space="preserve">Прочие цеховые расходы с учетом допприбыли
</t>
        </r>
      </text>
    </comment>
    <comment ref="C163" authorId="0">
      <text>
        <r>
          <rPr>
            <sz val="10"/>
            <rFont val="Arial"/>
            <family val="2"/>
            <charset val="204"/>
          </rPr>
          <t>Аркадис Медикал Групп от декабря</t>
        </r>
      </text>
    </comment>
  </commentList>
</comments>
</file>

<file path=xl/comments5.xml><?xml version="1.0" encoding="utf-8"?>
<comments xmlns="http://schemas.openxmlformats.org/spreadsheetml/2006/main">
  <authors>
    <author/>
  </authors>
  <commentList>
    <comment ref="A30" authorId="0">
      <text>
        <r>
          <rPr>
            <b/>
            <sz val="8"/>
            <color indexed="8"/>
            <rFont val="Tahoma"/>
            <family val="2"/>
            <charset val="204"/>
          </rPr>
          <t>Все расходы с учетом продажи отходов и без учета амортизации и базы УПС</t>
        </r>
      </text>
    </comment>
    <comment ref="B66" authorId="0">
      <text>
        <r>
          <rPr>
            <sz val="8"/>
            <color indexed="8"/>
            <rFont val="Tahoma"/>
            <family val="2"/>
            <charset val="204"/>
          </rPr>
          <t xml:space="preserve">средняя сумма расходов за текущий год
</t>
        </r>
      </text>
    </comment>
    <comment ref="B68" authorId="0">
      <text>
        <r>
          <rPr>
            <sz val="8"/>
            <color indexed="8"/>
            <rFont val="Tahoma"/>
            <family val="2"/>
            <charset val="204"/>
          </rPr>
          <t xml:space="preserve">средняя сумма расходов за текущий год
</t>
        </r>
      </text>
    </comment>
  </commentList>
</comments>
</file>

<file path=xl/comments6.xml><?xml version="1.0" encoding="utf-8"?>
<comments xmlns="http://schemas.openxmlformats.org/spreadsheetml/2006/main">
  <authors>
    <author/>
  </authors>
  <commentList>
    <comment ref="A30" authorId="0">
      <text>
        <r>
          <rPr>
            <b/>
            <sz val="8"/>
            <color indexed="8"/>
            <rFont val="Tahoma"/>
            <family val="2"/>
            <charset val="204"/>
          </rPr>
          <t>Все расходы с учетом продажи отходов и без учета амортизации и базы УПС</t>
        </r>
      </text>
    </comment>
    <comment ref="B66" authorId="0">
      <text>
        <r>
          <rPr>
            <sz val="8"/>
            <color indexed="8"/>
            <rFont val="Tahoma"/>
            <family val="2"/>
            <charset val="204"/>
          </rPr>
          <t xml:space="preserve">средняя сумма расходов без января и февраля
</t>
        </r>
      </text>
    </comment>
    <comment ref="B68" authorId="0">
      <text>
        <r>
          <rPr>
            <sz val="8"/>
            <color indexed="8"/>
            <rFont val="Tahoma"/>
            <family val="2"/>
            <charset val="204"/>
          </rPr>
          <t xml:space="preserve">средняя сумма расходов без января и февраля
</t>
        </r>
      </text>
    </comment>
  </commentList>
</comments>
</file>

<file path=xl/comments7.xml><?xml version="1.0" encoding="utf-8"?>
<comments xmlns="http://schemas.openxmlformats.org/spreadsheetml/2006/main">
  <authors>
    <author/>
  </authors>
  <commentList>
    <comment ref="A30" authorId="0">
      <text>
        <r>
          <rPr>
            <b/>
            <sz val="8"/>
            <color indexed="8"/>
            <rFont val="Tahoma"/>
            <family val="2"/>
            <charset val="204"/>
          </rPr>
          <t>Все расходы с учетом продажи отходов и без учета амортизации и базы УПС</t>
        </r>
      </text>
    </comment>
    <comment ref="B66" authorId="0">
      <text>
        <r>
          <rPr>
            <sz val="8"/>
            <color indexed="8"/>
            <rFont val="Tahoma"/>
            <family val="2"/>
            <charset val="204"/>
          </rPr>
          <t xml:space="preserve">средняя сумма расходов за предыдущий месяц
</t>
        </r>
      </text>
    </comment>
    <comment ref="B68" authorId="0">
      <text>
        <r>
          <rPr>
            <sz val="8"/>
            <color indexed="8"/>
            <rFont val="Tahoma"/>
            <family val="2"/>
            <charset val="204"/>
          </rPr>
          <t xml:space="preserve">средняя сумма расходов за предыдущий месяц
</t>
        </r>
      </text>
    </comment>
  </commentList>
</comments>
</file>

<file path=xl/comments8.xml><?xml version="1.0" encoding="utf-8"?>
<comments xmlns="http://schemas.openxmlformats.org/spreadsheetml/2006/main">
  <authors>
    <author/>
  </authors>
  <commentList>
    <comment ref="A30" authorId="0">
      <text>
        <r>
          <rPr>
            <b/>
            <sz val="8"/>
            <color indexed="8"/>
            <rFont val="Tahoma"/>
            <family val="2"/>
            <charset val="204"/>
          </rPr>
          <t>Все расходы с учетом продажи отходов и без учета амортизации и базы УПС</t>
        </r>
      </text>
    </comment>
    <comment ref="D55" authorId="0">
      <text>
        <r>
          <rPr>
            <b/>
            <sz val="9"/>
            <color indexed="8"/>
            <rFont val="Tahoma"/>
            <family val="2"/>
            <charset val="204"/>
          </rPr>
          <t xml:space="preserve">Владимир: </t>
        </r>
        <r>
          <rPr>
            <sz val="9"/>
            <color indexed="8"/>
            <rFont val="Tahoma"/>
            <family val="2"/>
            <charset val="204"/>
          </rPr>
          <t xml:space="preserve">Если учитывать обеспечение (от 20000 до 35000), то процент будет равен примерно 2,3%
</t>
        </r>
      </text>
    </comment>
    <comment ref="B66" authorId="0">
      <text>
        <r>
          <rPr>
            <sz val="8"/>
            <color indexed="8"/>
            <rFont val="Tahoma"/>
            <family val="2"/>
            <charset val="204"/>
          </rPr>
          <t xml:space="preserve">средняя сумма расходов без января и февраля
</t>
        </r>
      </text>
    </comment>
    <comment ref="B68" authorId="0">
      <text>
        <r>
          <rPr>
            <sz val="8"/>
            <color indexed="8"/>
            <rFont val="Tahoma"/>
            <family val="2"/>
            <charset val="204"/>
          </rPr>
          <t xml:space="preserve">средняя сумма расходов без января и февраля
</t>
        </r>
      </text>
    </comment>
  </commentList>
</comments>
</file>

<file path=xl/comments9.xml><?xml version="1.0" encoding="utf-8"?>
<comments xmlns="http://schemas.openxmlformats.org/spreadsheetml/2006/main">
  <authors>
    <author/>
  </authors>
  <commentList>
    <comment ref="A30" authorId="0">
      <text>
        <r>
          <rPr>
            <b/>
            <sz val="8"/>
            <color indexed="8"/>
            <rFont val="Tahoma"/>
            <family val="2"/>
            <charset val="204"/>
          </rPr>
          <t>Все расходы с учетом продажи отходов и без учета амортизации и базы УПС</t>
        </r>
      </text>
    </comment>
    <comment ref="B66" authorId="0">
      <text>
        <r>
          <rPr>
            <sz val="8"/>
            <color indexed="8"/>
            <rFont val="Tahoma"/>
            <family val="2"/>
            <charset val="204"/>
          </rPr>
          <t xml:space="preserve">средняя сумма расходов за текущий год
Расходы по УПС + транспорт город = 350000р.
</t>
        </r>
      </text>
    </comment>
    <comment ref="B68" authorId="0">
      <text>
        <r>
          <rPr>
            <sz val="8"/>
            <color indexed="8"/>
            <rFont val="Tahoma"/>
            <family val="2"/>
            <charset val="204"/>
          </rPr>
          <t xml:space="preserve">средняя сумма расходов за текущий год
</t>
        </r>
      </text>
    </comment>
  </commentList>
</comments>
</file>

<file path=xl/sharedStrings.xml><?xml version="1.0" encoding="utf-8"?>
<sst xmlns="http://schemas.openxmlformats.org/spreadsheetml/2006/main" count="4462" uniqueCount="1115">
  <si>
    <t>Январь</t>
  </si>
  <si>
    <t>Февраль</t>
  </si>
  <si>
    <t>Март</t>
  </si>
  <si>
    <t>Апрель</t>
  </si>
  <si>
    <t>Май</t>
  </si>
  <si>
    <t>Июнь</t>
  </si>
  <si>
    <t>Июль</t>
  </si>
  <si>
    <t>Август</t>
  </si>
  <si>
    <t>Сентябрь</t>
  </si>
  <si>
    <t>Октябрь</t>
  </si>
  <si>
    <t>Ноябрь</t>
  </si>
  <si>
    <t>Декабрь</t>
  </si>
  <si>
    <t>ИТОГО</t>
  </si>
  <si>
    <t>Сумма</t>
  </si>
  <si>
    <t>% расходов от выручки текущего месяца</t>
  </si>
  <si>
    <t>% расходов от выручки предыдущего месяца</t>
  </si>
  <si>
    <t>% расходов от выручки за год</t>
  </si>
  <si>
    <t>% расходов от прибыли за год</t>
  </si>
  <si>
    <t>Рублей на тонну выпуска</t>
  </si>
  <si>
    <t>% расходов от выручки за мес.</t>
  </si>
  <si>
    <t>Выпуск продукции</t>
  </si>
  <si>
    <t>ВЫРУЧКА</t>
  </si>
  <si>
    <t>Планируемая выручка</t>
  </si>
  <si>
    <t>Себестоимость</t>
  </si>
  <si>
    <t>Лом</t>
  </si>
  <si>
    <t>Зарплата (Переменная часть)</t>
  </si>
  <si>
    <t>Газ природный</t>
  </si>
  <si>
    <t xml:space="preserve">РАСХОДЫ </t>
  </si>
  <si>
    <t>Коммерческие расходы ( на продажу)</t>
  </si>
  <si>
    <t>Таможенные расходы</t>
  </si>
  <si>
    <t>Транспортные расходы</t>
  </si>
  <si>
    <t>Комиссия банка по продаже валюты</t>
  </si>
  <si>
    <t>Управленческие расходы</t>
  </si>
  <si>
    <t>Переменные расходы</t>
  </si>
  <si>
    <t>Постоянные расходы</t>
  </si>
  <si>
    <t>Зарплата (Окладная часть)</t>
  </si>
  <si>
    <t>Аренда</t>
  </si>
  <si>
    <t>Налоги с ФОТ</t>
  </si>
  <si>
    <t>Прочие общецеховые расходы</t>
  </si>
  <si>
    <t>Пропан, кислород</t>
  </si>
  <si>
    <t>Ремонт и обслуживание</t>
  </si>
  <si>
    <t>Малоценный инструмент</t>
  </si>
  <si>
    <t>Связь (телефон, интернет)</t>
  </si>
  <si>
    <t>Прочие управленческие расходы</t>
  </si>
  <si>
    <t>Канцтовары</t>
  </si>
  <si>
    <t>Ремонт ТС</t>
  </si>
  <si>
    <t>Тара (бэги)</t>
  </si>
  <si>
    <t>Электроэнергия, бытовки (Валконт)</t>
  </si>
  <si>
    <t>РКО (Банковские расходы)</t>
  </si>
  <si>
    <t>Прочие Цеховые расходы</t>
  </si>
  <si>
    <t>1-я группа Прочие Цеховые расходы</t>
  </si>
  <si>
    <t>Спецодежда</t>
  </si>
  <si>
    <t>Лицензирование, поверки</t>
  </si>
  <si>
    <t>Расходы по ИТ</t>
  </si>
  <si>
    <t>Транспортные расходы УПС (город)</t>
  </si>
  <si>
    <t>2-я группа Прочие Цеховые расходы</t>
  </si>
  <si>
    <t>Компенсация расходов по базе УПС</t>
  </si>
  <si>
    <t>Прочие расходы</t>
  </si>
  <si>
    <t>Отрицательная курсовая разница</t>
  </si>
  <si>
    <t>Списание ценностей в эксплуатации</t>
  </si>
  <si>
    <t>Доплаты за сортировку меди</t>
  </si>
  <si>
    <t>Списание потерь</t>
  </si>
  <si>
    <t>ИТОГО РАСХОДЫ (ВСЕ):</t>
  </si>
  <si>
    <t>ПРИБЫЛЬ</t>
  </si>
  <si>
    <t>От чего планировать</t>
  </si>
  <si>
    <t>ИТОГО Факт</t>
  </si>
  <si>
    <t>2012г.</t>
  </si>
  <si>
    <t>Среднее значение за год</t>
  </si>
  <si>
    <t>на 1 тн. Выпуска (жидкое), руб.</t>
  </si>
  <si>
    <t>на 1 тн. продаж, руб.</t>
  </si>
  <si>
    <t>% от общих расходов</t>
  </si>
  <si>
    <t>% от выручки</t>
  </si>
  <si>
    <t>Описание расходов</t>
  </si>
  <si>
    <t>Критерии планирования</t>
  </si>
  <si>
    <t>По средней закупочной цене</t>
  </si>
  <si>
    <t>ПЕРЕМЕННЫЕ РАСХОДЫ</t>
  </si>
  <si>
    <t>Группа, которая включает в себя все переменные расходы, расчитывается как сумма по строкам 5=6+17+21</t>
  </si>
  <si>
    <t>Расчет = тоннаж * ставка</t>
  </si>
  <si>
    <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t>
    </r>
  </si>
  <si>
    <t>Группа, которая включает в себя все переменные расходы, связанные с продажами расчитывается как сумма по строкам 6=7+9+12+14</t>
  </si>
  <si>
    <t>Расчет = норматив на тонну*тоннаж*цену</t>
  </si>
  <si>
    <t>Группа, которая включает в себя все переменные расходы, связанные с таможенным оформлением, расчитывается как сумма по строкам 7=8+9+10</t>
  </si>
  <si>
    <t xml:space="preserve">Расходы, связанные с таможенным оформлением продаж </t>
  </si>
  <si>
    <t>Расчитывается исходя из таможенных пошлин и тарифов на таможенное оформление и плана продаж</t>
  </si>
  <si>
    <t>Декларант</t>
  </si>
  <si>
    <t>Услуги декларанта</t>
  </si>
  <si>
    <t>Прочие таможенные расходы</t>
  </si>
  <si>
    <t>Прочие расходы, связанные с внешнеэкономической деятельностью</t>
  </si>
  <si>
    <t>Транспортные расходы (межгород)</t>
  </si>
  <si>
    <t>Транспортные расходы, связанные с продажами (расчитываются как сумма по строкам 11=12+15)</t>
  </si>
  <si>
    <t>Расходы по автотранспорту</t>
  </si>
  <si>
    <t>Транспортные расходы по автотранспорту (расчитываются как разница между расходами и доходами от грузоперевозок 12=13-14)</t>
  </si>
  <si>
    <t xml:space="preserve">Примерно 3,4% от цены контракта за тонну. </t>
  </si>
  <si>
    <t>Расходы по доставке продукции покупателям автомобильным транспортом + доступ в АТИ)</t>
  </si>
  <si>
    <r>
      <t>Автомобильные</t>
    </r>
    <r>
      <rPr>
        <sz val="8"/>
        <rFont val="Arial"/>
        <family val="2"/>
        <charset val="204"/>
      </rPr>
      <t xml:space="preserve"> перевозки расчитываются индивидуально, под каждый заключенный контракт исходя из: 1) объема продаж по контракту; 2)грузоподъемности транспортного средства; 3) километража до покупателя (туда и обратно); 4) суммы расходов на 1 км пути. Расчетная сумма берется из таблицы "Месячная программа"</t>
    </r>
    <r>
      <rPr>
        <b/>
        <sz val="8"/>
        <rFont val="Arial"/>
        <family val="2"/>
        <charset val="204"/>
      </rPr>
      <t>Автомобильные</t>
    </r>
    <r>
      <rPr>
        <sz val="8"/>
        <rFont val="Arial"/>
        <family val="2"/>
        <charset val="204"/>
      </rPr>
      <t xml:space="preserve"> перевозки расчитываются индивидуально, под каждый заключенный контракт исходя из: 1) объема продаж по контракту; 2)грузоподъемности транспортного средства; 3) километража до покупателя (туда и обратно); 4) суммы расходов на 1 км пути. Расчетная сумма берется из таблицы "Месячная программа"</t>
    </r>
    <r>
      <rPr>
        <b/>
        <sz val="8"/>
        <rFont val="Arial"/>
        <family val="2"/>
        <charset val="204"/>
      </rPr>
      <t>Автомобильные</t>
    </r>
    <r>
      <rPr>
        <sz val="8"/>
        <rFont val="Arial"/>
        <family val="2"/>
        <charset val="204"/>
      </rPr>
      <t xml:space="preserve"> перевозки расчитываются индивидуально, под каждый заключенный контракт исходя из: 1) объема продаж по контракту; 2)грузоподъемности транспортного средства; 3) километража до покупателя (туда и обратно); 4) суммы расходов на 1 км пути. Расчетная сумма берется из таблицы "Месячная программа"</t>
    </r>
    <r>
      <rPr>
        <b/>
        <sz val="8"/>
        <rFont val="Arial"/>
        <family val="2"/>
        <charset val="204"/>
      </rPr>
      <t>Автомобильные</t>
    </r>
    <r>
      <rPr>
        <sz val="8"/>
        <rFont val="Arial"/>
        <family val="2"/>
        <charset val="204"/>
      </rPr>
      <t xml:space="preserve"> перевозки расчитываются индивидуально, под каждый заключенный контракт исходя из: 1) объема продаж по контракту; 2)грузоподъемности транспортного средства; 3) километража до покупателя (туда и обратно); 4) суммы расходов на 1 км пути. Расчетная сумма берется из таблицы "Месячная программа"</t>
    </r>
  </si>
  <si>
    <t>Доходы по межгороду (обратные рейсы)</t>
  </si>
  <si>
    <t>Доходы от грузоперевозок по обратным рейсам</t>
  </si>
  <si>
    <t>Расчитываются индивидуально под каждый заключенный контракт исходя и средней стоимости обратного рейса и плана продаж</t>
  </si>
  <si>
    <t>Расходы по контейнерам</t>
  </si>
  <si>
    <t>Расходы по доставке продукции покупателям контейнерами</t>
  </si>
  <si>
    <t xml:space="preserve">Контейнерные перевозки планируются исходя из заключенных контрактов с грузоперевозчиками и плана продаж.   </t>
  </si>
  <si>
    <t>Пока валюты нет</t>
  </si>
  <si>
    <t>Комиссия банка по продаже валюты (для случая экспорта)</t>
  </si>
  <si>
    <t>Расчитывается исходя из тарифов банка по продаже валюты</t>
  </si>
  <si>
    <t>Исходя из окладов, штатного состава и графика</t>
  </si>
  <si>
    <t>Курсовая разница</t>
  </si>
  <si>
    <t>Курсовая разница (итоговая), расчитывается как разница между отрицательной и положительной курсовыми разницами 18=19-20</t>
  </si>
  <si>
    <t>Постоянная</t>
  </si>
  <si>
    <t>Расходы появляются только при экспорте. Запланировать какая будет разница (отрицательная или положительная) а так же величину будет затруднительно. Предложение в план не включать а по факту рассматривать как дополнительный расход или доход.</t>
  </si>
  <si>
    <t>??????????</t>
  </si>
  <si>
    <t>Положительная курсовая разница</t>
  </si>
  <si>
    <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t>
    </r>
  </si>
  <si>
    <t>Группа, которая включает в себя все переменные расходы, связанные с производством и зависящим от объема выпуска продукции (21=22+23)</t>
  </si>
  <si>
    <t>% от …???</t>
  </si>
  <si>
    <t>Переменная часть заработной платы Плавильщиков, которая зависит от объема выпуска (плавильные + бригадирские + премия плавильщиков). Данные расходы по 1С включаются в себесотимость выпуска продукции.</t>
  </si>
  <si>
    <t>Расчитывается исходя из плана выпуска продукции и ставок по оплате.</t>
  </si>
  <si>
    <t>Все расходы, связанные с газом, получаемым "на печь" (Стоимость потребленного газа ("НОВОТЭК") + транспортировка газа ("ЧелябинскГорГаз") + ведение коммерческого учета газа ("Константа")).  Данные расходы по 1С включаются в себесотимость выпуска продукции пропорционально весу выпущенной продукции.</t>
  </si>
  <si>
    <t>Расчитывается исходя из плана выпуска продукции и норматива потребления и цен на газ, транспортировку и услуг по учету газа</t>
  </si>
  <si>
    <r>
      <t xml:space="preserve">ПРОЧИЕ ПЕРЕМЕННЫЕ РАСХОДЫ                                                       </t>
    </r>
    <r>
      <rPr>
        <i/>
        <sz val="8"/>
        <rFont val="Arial"/>
        <family val="2"/>
        <charset val="204"/>
      </rPr>
      <t>(зависят от выпуска продукции)ПРОЧИЕ ПЕРЕМЕННЫЕ РАСХОДЫ                                                       (зависят от выпуска продукции)ПРОЧИЕ ПЕРЕМЕННЫЕ РАСХОДЫ                                                       (зависят от выпуска продукции)</t>
    </r>
  </si>
  <si>
    <t>Прочие переменные расходы, зависящие от объема выпуска продукции и не вошедшие в предыдущие группы</t>
  </si>
  <si>
    <t xml:space="preserve">% от …??? </t>
  </si>
  <si>
    <t>Резервные графы. При необходимости будут заполнятся</t>
  </si>
  <si>
    <t>ПОСТОЯННЫЕ РАСХОДЫ</t>
  </si>
  <si>
    <t xml:space="preserve">Группа, которая включает в себя все постоянные расходы, расчитывается как сумма по строкам 29=30+51 </t>
  </si>
  <si>
    <t>ЦЕХОВЫЕ ПОСТОЯННЫЕ РАСХОДЫ</t>
  </si>
  <si>
    <t>Постоянные расходы, связанные с работой цеха. Расчитывается как сумма строк 30=31+32+35+36+37+40+41+42+43+46+47+48+49+50</t>
  </si>
  <si>
    <t>% от …??? + постоянные</t>
  </si>
  <si>
    <t xml:space="preserve">Постоянная часть заработной платы Сотрудников, которая не зависит от объема выпуска (Оклады + почасовая оплата + больничные и ремонтные плавильщиков). </t>
  </si>
  <si>
    <t>Расчитывается исходя из текущего штатного расписания, размера окладов и графика работы</t>
  </si>
  <si>
    <t>Расчитывается как сумма 32=33+34</t>
  </si>
  <si>
    <t>Аренда цеха</t>
  </si>
  <si>
    <t>Расходы, связанные с арендой цеха</t>
  </si>
  <si>
    <t>Стоимость Аренды по договору</t>
  </si>
  <si>
    <t>Расходы по электроэнергии и аренде бытовок</t>
  </si>
  <si>
    <r>
      <t xml:space="preserve">1) Электроэнергия Валконт - </t>
    </r>
    <r>
      <rPr>
        <sz val="8"/>
        <color indexed="10"/>
        <rFont val="Arial"/>
        <family val="2"/>
        <charset val="204"/>
      </rPr>
      <t xml:space="preserve">в осенне-зимний период 38000-40000 руб по лету 35000-36000руб. </t>
    </r>
    <r>
      <rPr>
        <sz val="8"/>
        <rFont val="Arial"/>
        <family val="2"/>
        <charset val="204"/>
      </rPr>
      <t xml:space="preserve">2)Бытовки Валконт - </t>
    </r>
    <r>
      <rPr>
        <b/>
        <sz val="8"/>
        <color indexed="12"/>
        <rFont val="Arial"/>
        <family val="2"/>
        <charset val="204"/>
      </rPr>
      <t xml:space="preserve">30000 руб., Телефон - 2500-2900руб1) Электроэнергия Валконт - </t>
    </r>
    <r>
      <rPr>
        <sz val="8"/>
        <color indexed="10"/>
        <rFont val="Arial"/>
        <family val="2"/>
        <charset val="204"/>
      </rPr>
      <t xml:space="preserve">в осенне-зимний период 38000-40000 руб по лету 35000-36000руб. </t>
    </r>
    <r>
      <rPr>
        <sz val="8"/>
        <rFont val="Arial"/>
        <family val="2"/>
        <charset val="204"/>
      </rPr>
      <t xml:space="preserve">2)Бытовки Валконт - </t>
    </r>
    <r>
      <rPr>
        <b/>
        <sz val="8"/>
        <color indexed="12"/>
        <rFont val="Arial"/>
        <family val="2"/>
        <charset val="204"/>
      </rPr>
      <t xml:space="preserve">30000 руб., Телефон - 2500-2900руб1) Электроэнергия Валконт - </t>
    </r>
    <r>
      <rPr>
        <sz val="8"/>
        <color indexed="10"/>
        <rFont val="Arial"/>
        <family val="2"/>
        <charset val="204"/>
      </rPr>
      <t xml:space="preserve">в осенне-зимний период 38000-40000 руб по лету 35000-36000руб. </t>
    </r>
    <r>
      <rPr>
        <sz val="8"/>
        <rFont val="Arial"/>
        <family val="2"/>
        <charset val="204"/>
      </rPr>
      <t xml:space="preserve">2)Бытовки Валконт - </t>
    </r>
    <r>
      <rPr>
        <b/>
        <sz val="8"/>
        <color indexed="12"/>
        <rFont val="Arial"/>
        <family val="2"/>
        <charset val="204"/>
      </rPr>
      <t>30000 руб., Телефон - 2500-2900руб</t>
    </r>
  </si>
  <si>
    <t>Расходы по налогам</t>
  </si>
  <si>
    <r>
      <t>Усредненная за год среднемесячная сумма расходов. (</t>
    </r>
    <r>
      <rPr>
        <b/>
        <sz val="8"/>
        <color indexed="12"/>
        <rFont val="Arial"/>
        <family val="2"/>
        <charset val="204"/>
      </rPr>
      <t>на текущий момент в районе 64000 руб.</t>
    </r>
    <r>
      <rPr>
        <b/>
        <sz val="8"/>
        <rFont val="Arial"/>
        <family val="2"/>
        <charset val="204"/>
      </rPr>
      <t>)Усредненная за год среднемесячная сумма расходов. (</t>
    </r>
    <r>
      <rPr>
        <b/>
        <sz val="8"/>
        <color indexed="12"/>
        <rFont val="Arial"/>
        <family val="2"/>
        <charset val="204"/>
      </rPr>
      <t>на текущий момент в районе 64000 руб.</t>
    </r>
    <r>
      <rPr>
        <b/>
        <sz val="8"/>
        <rFont val="Arial"/>
        <family val="2"/>
        <charset val="204"/>
      </rPr>
      <t>)</t>
    </r>
  </si>
  <si>
    <t>Расходы УПС, связанные с внутригородскими поездками, а так же прочие постоянные расходы УПС, относящиеся к транспорту.</t>
  </si>
  <si>
    <r>
      <t xml:space="preserve">Усредненная за год среднемесячная сумма расходов. </t>
    </r>
    <r>
      <rPr>
        <b/>
        <sz val="8"/>
        <color indexed="12"/>
        <rFont val="Arial"/>
        <family val="2"/>
        <charset val="204"/>
      </rPr>
      <t>(на текущий момент в районе 215 000 руб.)Усредненная за год среднемесячная сумма расходов. (на текущий момент в районе 215 000 руб.)</t>
    </r>
  </si>
  <si>
    <t>Все расходы по базе УПС за минусом доходов</t>
  </si>
  <si>
    <t>Расходы УПС</t>
  </si>
  <si>
    <t>Расходы по базе УПС (за исключением фин услуг)</t>
  </si>
  <si>
    <t>на текущий момент в районе 600 000 руб.</t>
  </si>
  <si>
    <t>Доходы УПС</t>
  </si>
  <si>
    <t>Доходы УПС от продаж ломов за минусом фин услуг</t>
  </si>
  <si>
    <t>В плане не учитываются. Только по факту, как дополнительный доход</t>
  </si>
  <si>
    <t>Расходы, связанные с ремонтом погрузчиков</t>
  </si>
  <si>
    <r>
      <t xml:space="preserve">Усредненная за год среднемесячная сумма расходов. </t>
    </r>
    <r>
      <rPr>
        <b/>
        <sz val="8"/>
        <color indexed="12"/>
        <rFont val="Arial"/>
        <family val="2"/>
        <charset val="204"/>
      </rPr>
      <t>(на текущий момент в районе 26000 руб.)Усредненная за год среднемесячная сумма расходов. (на текущий момент в районе 26000 руб.)</t>
    </r>
  </si>
  <si>
    <t>???????????</t>
  </si>
  <si>
    <t xml:space="preserve">Расходы, связанные с покупкой и доставкой пропана и кислорода, покупка бензина на погрузчик и генератор, прочие доставки товаров. </t>
  </si>
  <si>
    <r>
      <t>Усредненная за год среднемесячная сумма расходов. (</t>
    </r>
    <r>
      <rPr>
        <sz val="8"/>
        <color indexed="12"/>
        <rFont val="Arial"/>
        <family val="2"/>
        <charset val="204"/>
      </rPr>
      <t xml:space="preserve">на текущий момент: 1)Пропан ~9000-10000руб; 2)Доставка ~2400руб.; 3)Кислород ~1700 руб.один раз в 2 месяца;   </t>
    </r>
    <r>
      <rPr>
        <b/>
        <sz val="8"/>
        <color indexed="12"/>
        <rFont val="Arial"/>
        <family val="2"/>
        <charset val="204"/>
      </rPr>
      <t>ИТОГО - ~21000 руб. в месяцУсредненная за год среднемесячная сумма расходов. (</t>
    </r>
    <r>
      <rPr>
        <sz val="8"/>
        <color indexed="12"/>
        <rFont val="Arial"/>
        <family val="2"/>
        <charset val="204"/>
      </rPr>
      <t xml:space="preserve">на текущий момент: 1)Пропан ~9000-10000руб; 2)Доставка ~2400руб.; 3)Кислород ~1700 руб.один раз в 2 месяца;   </t>
    </r>
    <r>
      <rPr>
        <b/>
        <sz val="8"/>
        <color indexed="12"/>
        <rFont val="Arial"/>
        <family val="2"/>
        <charset val="204"/>
      </rPr>
      <t>ИТОГО - ~21000 руб. в месяц</t>
    </r>
  </si>
  <si>
    <t>Упаковка, маркировка продукции</t>
  </si>
  <si>
    <t>Расходы, связанные с преобретением Бэгов, стрэтч пленки, ПВХ ленты и т.п.</t>
  </si>
  <si>
    <t>Группа прочих управленчески расходов. Расчитывается как сумма строк 43=44+45</t>
  </si>
  <si>
    <t>Вода</t>
  </si>
  <si>
    <t>Расходы по доставке воды</t>
  </si>
  <si>
    <t>????????</t>
  </si>
  <si>
    <t>Бэк-Офис</t>
  </si>
  <si>
    <t>Расходы по услугам Бэк-Офиса</t>
  </si>
  <si>
    <t>??????</t>
  </si>
  <si>
    <t>Расходы по банку (комиссии и т.п.)</t>
  </si>
  <si>
    <r>
      <t xml:space="preserve">Усредненная за год среднемесячная сумма расходов. </t>
    </r>
    <r>
      <rPr>
        <b/>
        <sz val="8"/>
        <color indexed="12"/>
        <rFont val="Arial"/>
        <family val="2"/>
        <charset val="204"/>
      </rPr>
      <t>(на текущий момент в районе 2500-3000 руб.)Усредненная за год среднемесячная сумма расходов. (на текущий момент в районе 2500-3000 руб.)</t>
    </r>
  </si>
  <si>
    <t>Доплаты сотрудникам за отсортированную медь и латунь.</t>
  </si>
  <si>
    <r>
      <t xml:space="preserve">Усредненная за год среднемесячная сумма расходов. </t>
    </r>
    <r>
      <rPr>
        <b/>
        <sz val="8"/>
        <color indexed="12"/>
        <rFont val="Arial"/>
        <family val="2"/>
        <charset val="204"/>
      </rPr>
      <t>(в районе 15000-20000 руб.)Усредненная за год среднемесячная сумма расходов. (в районе 15000-20000 руб.)</t>
    </r>
  </si>
  <si>
    <t>Расходы, связанные с телефонией и интернетом</t>
  </si>
  <si>
    <r>
      <t xml:space="preserve">Интернет 3000 руб + оплата мобильного интернета ~200 руб.(по необхдимости) + телефон Валконт ~3500 руб +  сотовый ВП 800 руб. </t>
    </r>
    <r>
      <rPr>
        <b/>
        <sz val="8"/>
        <color indexed="12"/>
        <rFont val="Arial"/>
        <family val="2"/>
        <charset val="204"/>
      </rPr>
      <t>ИТОГО ~ 7300 руб.Интернет 3000 руб + оплата мобильного интернета ~200 руб.(по необхдимости) + телефон Валконт ~3500 руб +  сотовый ВП 800 руб. ИТОГО ~ 7300 руб.</t>
    </r>
  </si>
  <si>
    <t>Страхование ОПО</t>
  </si>
  <si>
    <t>Расходы по страхованию ОПО</t>
  </si>
  <si>
    <t>Обслуживание газового хозяйства</t>
  </si>
  <si>
    <t>Расходы по обслуживанию газового хозяйства.</t>
  </si>
  <si>
    <t>ПРОЧИЕ ЦЕХОВЫЕ РАСХОДЫ (разовые)</t>
  </si>
  <si>
    <t>Группа прочих цеховых расходов, не попавших в предыдущие группы и статьи. Расчитывается как сумма строк 51=52+53+54+55+56+57+58+59+60</t>
  </si>
  <si>
    <t>Расходы, связанные с различными ремонтами оборудования цеха, а так же расходы по приобретению запасных частей к оборудованию и различных материалов для ремонта. Так же в данную статью включаются расходы сторонних организаций по ремонту и обслуживанию оборудования цеха</t>
  </si>
  <si>
    <r>
      <t xml:space="preserve">Усредненная за год среднемесячная сумма расходов. </t>
    </r>
    <r>
      <rPr>
        <b/>
        <sz val="8"/>
        <color indexed="12"/>
        <rFont val="Arial"/>
        <family val="2"/>
        <charset val="204"/>
      </rPr>
      <t>(на текущий момент в районе 30000-33000 руб.)</t>
    </r>
  </si>
  <si>
    <t xml:space="preserve">Расходы, связанные с текущим обеспечением деятельности цеха, в т.ч. Мелкий инструмент, расходные материалы и т.п. </t>
  </si>
  <si>
    <r>
      <t>Усредненная за год среднемесячная сумма расходов.</t>
    </r>
    <r>
      <rPr>
        <b/>
        <sz val="8"/>
        <color indexed="12"/>
        <rFont val="Arial"/>
        <family val="2"/>
        <charset val="204"/>
      </rPr>
      <t xml:space="preserve"> (на текущий момент в районе 30000-32000 руб.)</t>
    </r>
  </si>
  <si>
    <t>Прочие разовые расходы</t>
  </si>
  <si>
    <t xml:space="preserve">Расходы, не попавшие в другие группы </t>
  </si>
  <si>
    <r>
      <t xml:space="preserve">Вода </t>
    </r>
    <r>
      <rPr>
        <sz val="8"/>
        <rFont val="Arial"/>
        <family val="2"/>
        <charset val="204"/>
      </rPr>
      <t xml:space="preserve">- текущая цена - по 100руб.: 1) лето от 45 руб до 60 бутылей; 2)осень - зима ~37-47 бутылей. </t>
    </r>
    <r>
      <rPr>
        <sz val="8"/>
        <color indexed="12"/>
        <rFont val="Arial"/>
        <family val="2"/>
        <charset val="204"/>
      </rPr>
      <t xml:space="preserve">Итого примерно: лето - 4500-6000руб, зима - 3700-4700руб.    Бэк-Офис - 10000 руб ежемесячно. </t>
    </r>
    <r>
      <rPr>
        <sz val="8"/>
        <color indexed="10"/>
        <rFont val="Arial"/>
        <family val="2"/>
        <charset val="204"/>
      </rPr>
      <t xml:space="preserve">Остальные разовые расходы трудно запланировать. </t>
    </r>
    <r>
      <rPr>
        <b/>
        <sz val="8"/>
        <color indexed="12"/>
        <rFont val="Arial"/>
        <family val="2"/>
        <charset val="204"/>
      </rPr>
      <t>Итого: ~ 13700-14700 руб. на осенне-зимний период + прочие расходы</t>
    </r>
  </si>
  <si>
    <t xml:space="preserve">Расходы, связанные с приобретением спецодежды. </t>
  </si>
  <si>
    <r>
      <t xml:space="preserve">Усредненная за год среднемесячная сумма расходов. </t>
    </r>
    <r>
      <rPr>
        <b/>
        <sz val="8"/>
        <color indexed="12"/>
        <rFont val="Arial"/>
        <family val="2"/>
        <charset val="204"/>
      </rPr>
      <t>(на текущий момент в районе 6800 руб.)</t>
    </r>
  </si>
  <si>
    <t>Расходы по канцелярии</t>
  </si>
  <si>
    <r>
      <t xml:space="preserve">Усредненная за год среднемесячная сумма расходов. </t>
    </r>
    <r>
      <rPr>
        <b/>
        <sz val="8"/>
        <color indexed="12"/>
        <rFont val="Arial"/>
        <family val="2"/>
        <charset val="204"/>
      </rPr>
      <t>(на текущий момент в районе 3700 руб.)</t>
    </r>
  </si>
  <si>
    <t>Расходы, связанные с полученим различного рода лицензий, страховками, поверками оборудования и т.п.</t>
  </si>
  <si>
    <r>
      <t xml:space="preserve">В настоящий момент ежеквартальный платеж </t>
    </r>
    <r>
      <rPr>
        <b/>
        <sz val="8"/>
        <color indexed="12"/>
        <rFont val="Arial"/>
        <family val="2"/>
        <charset val="204"/>
      </rPr>
      <t xml:space="preserve">за страховку 58225руб. </t>
    </r>
    <r>
      <rPr>
        <sz val="8"/>
        <color indexed="10"/>
        <rFont val="Arial"/>
        <family val="2"/>
        <charset val="204"/>
      </rPr>
      <t>Остальные расходы пока планировать затруднительно</t>
    </r>
  </si>
  <si>
    <t>Расходы, связанные с покупкой, ремонтом и обслуживанием компьютерной и офисной техники и програмного обеспечения.</t>
  </si>
  <si>
    <t>Разовые расходы - планировать затруднительно</t>
  </si>
  <si>
    <t>Списание дорогостоящего инструмента, материалов и т.п. находящихся (числищехся) в эксплуатации (на складе) и пришедших в негодность.</t>
  </si>
  <si>
    <r>
      <t xml:space="preserve">Усредненная за год среднемесячная сумма расходов. </t>
    </r>
    <r>
      <rPr>
        <b/>
        <sz val="8"/>
        <color indexed="12"/>
        <rFont val="Arial"/>
        <family val="2"/>
        <charset val="204"/>
      </rPr>
      <t>(на текущий момент в районе 200-300 руб.)</t>
    </r>
  </si>
  <si>
    <t>Расходы по списанию различного мусора, недостач и т.п.</t>
  </si>
  <si>
    <r>
      <t>Усредненная за год среднемесячная сумма расходов.</t>
    </r>
    <r>
      <rPr>
        <b/>
        <sz val="8"/>
        <color indexed="12"/>
        <rFont val="Arial"/>
        <family val="2"/>
        <charset val="204"/>
      </rPr>
      <t xml:space="preserve"> (на текущий момент в районе 500-700 руб.)</t>
    </r>
  </si>
  <si>
    <t>ИТОГО:</t>
  </si>
  <si>
    <t>Среднее</t>
  </si>
  <si>
    <t>Группа, которая включает в себя все переменные расходы, расчитывается как сумма по строкам 5=6+15+19</t>
  </si>
  <si>
    <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t>
    </r>
  </si>
  <si>
    <t>Группа, которая включает в себя все переменные расходы, связанные с продажами расчитывается как сумма по строкам 6=7+8+11+12</t>
  </si>
  <si>
    <t>Расходы, связанные с таможенным оформлением продаж + услуги декларанта + прочие расходы, связанные с внешнеэкономической деятельностью</t>
  </si>
  <si>
    <t>Пошлина</t>
  </si>
  <si>
    <t>Прочие таможенные</t>
  </si>
  <si>
    <t>Транспортные расходы, связанные с продажами (расчитываются как разница между расходами и доходами от грузоперевозок 8=9-10)</t>
  </si>
  <si>
    <t>Расходы по межгороду</t>
  </si>
  <si>
    <t>Транспортные расходы, связанные с продажами (услуги транспортных компаний при экспорте + расходы по доставке продукции покупателям автомобильным транспортом + доступ в АТИ)</t>
  </si>
  <si>
    <t>Доходы по межгороду</t>
  </si>
  <si>
    <t>Курсовая разница (итоговая), расчитывается как разница между отрицательной и положительной курсовыми разницами 12=13-14</t>
  </si>
  <si>
    <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t>
    </r>
  </si>
  <si>
    <t>Группа, которая включает в себя все постоянные расходы, связанные с производством и зависящим от объема выпуска продукции (15=17+18)</t>
  </si>
  <si>
    <t>Плавильные + Бригадирские</t>
  </si>
  <si>
    <t>Премия</t>
  </si>
  <si>
    <t>Поставка газа</t>
  </si>
  <si>
    <t>Транспортировка газа</t>
  </si>
  <si>
    <t>Коммерческий Учет газа</t>
  </si>
  <si>
    <r>
      <t xml:space="preserve">ПРОЧИЕ ПЕРЕМЕННЫЕ РАСХОДЫ                                               </t>
    </r>
    <r>
      <rPr>
        <i/>
        <sz val="8"/>
        <rFont val="Arial"/>
        <family val="2"/>
        <charset val="204"/>
      </rPr>
      <t>(зависят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продукции)ПРОЧИЕ ПЕРЕМЕННЫЕ РАСХОДЫ                                               (зависят от выпуска продукции)</t>
    </r>
  </si>
  <si>
    <t xml:space="preserve">Группа, которая включает в себя все постоянные расходы, расчитывается как сумма по строкам 24=25+41+51. </t>
  </si>
  <si>
    <t>Постоянные расходы, связанные с работой цеха. Расчитывается как сумма строк 25=26+27+28+29</t>
  </si>
  <si>
    <t>Электроэнергия Валконт</t>
  </si>
  <si>
    <t>Бытовки Валконт</t>
  </si>
  <si>
    <t xml:space="preserve">Налоги </t>
  </si>
  <si>
    <t>Тел. ВП</t>
  </si>
  <si>
    <t>Телефон 262-17-16 (Валконт)</t>
  </si>
  <si>
    <t>Интернет Бенет</t>
  </si>
  <si>
    <t>Транспорт УПС Город</t>
  </si>
  <si>
    <t>Доходы УПС (дох-обн)</t>
  </si>
  <si>
    <t>Расходы СМ</t>
  </si>
  <si>
    <t>Расходы НП</t>
  </si>
  <si>
    <t>Пропан, кислород, ГСМ</t>
  </si>
  <si>
    <t xml:space="preserve">Расходы, связанные с покупкой и доставкой пропана и кислорода, покупка бензина на погрузчик и генератор, компенсации по бензину Филипенко, прочие доставки товаров. </t>
  </si>
  <si>
    <t>Газ пропан в баллонах</t>
  </si>
  <si>
    <t>Доставка пропана</t>
  </si>
  <si>
    <t>Бензин Филипенко</t>
  </si>
  <si>
    <t>Кислород с доставкой</t>
  </si>
  <si>
    <t>Бензин для электростанции</t>
  </si>
  <si>
    <r>
      <t xml:space="preserve">Расходы, связанные с текущим обеспечением деятельности цеха, в т.ч. Мелкий инструмент, расходные материалы и т.п. </t>
    </r>
    <r>
      <rPr>
        <b/>
        <sz val="7"/>
        <color indexed="10"/>
        <rFont val="Arial"/>
        <family val="2"/>
        <charset val="204"/>
      </rPr>
      <t>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t>
    </r>
  </si>
  <si>
    <t>Лента, пряжка</t>
  </si>
  <si>
    <t>Кисти, краска</t>
  </si>
  <si>
    <t>Пленка стретч</t>
  </si>
  <si>
    <t>Расходы, не попавшие в другие группы (расходы по питьевой воде, услуги Бэк-Офиса и прочие разовые расходы)</t>
  </si>
  <si>
    <t>Вода питьевая</t>
  </si>
  <si>
    <t>Услуги Бэк-Офис</t>
  </si>
  <si>
    <t>РКО банка</t>
  </si>
  <si>
    <t>Доплаты за сортировку</t>
  </si>
  <si>
    <t>ПРОЧИЕ ЦЕХОВЫЕ РАСХОДЫ ("Разовые")</t>
  </si>
  <si>
    <t>Группа прочих цеховых расходов, не попавших в предыдущие группы и статьи. Расчитывается как сумма строк 41=42+47</t>
  </si>
  <si>
    <t>Ремонт электродвигателя на шибер</t>
  </si>
  <si>
    <t>Доска обрезная</t>
  </si>
  <si>
    <t>Тележка под пост газорезки</t>
  </si>
  <si>
    <t>Ремонт весов</t>
  </si>
  <si>
    <t>Вентилятор</t>
  </si>
  <si>
    <t>Асбокартон, асбошнур, асботкань</t>
  </si>
  <si>
    <t>Обслуживание газового оборудования (Промарсенал - 1 раз в квартал)</t>
  </si>
  <si>
    <t>Патрубок входной к горелке</t>
  </si>
  <si>
    <t>Детали для Папуаса, ремонт спектрометра</t>
  </si>
  <si>
    <t>Плиты чугунные на 2 печь</t>
  </si>
  <si>
    <t>Блок управления к печи</t>
  </si>
  <si>
    <t>Детали к поворотным столам</t>
  </si>
  <si>
    <t>Железо на поворотные столы</t>
  </si>
  <si>
    <t>Железо на банки, стол, инструмент</t>
  </si>
  <si>
    <r>
      <t xml:space="preserve">Расходы, связанные с текущим обеспечением деятельности цеха, в т.ч. Мелкий инструмент, расходные материалы и т.п. </t>
    </r>
    <r>
      <rPr>
        <b/>
        <sz val="7"/>
        <color indexed="10"/>
        <rFont val="Arial"/>
        <family val="2"/>
        <charset val="204"/>
      </rPr>
      <t>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запасов.Расходы, связанные с текущим обеспечением деятельности цеха, в т.ч. Мелкий инструмент, расходные материалы и т.п. Дорогостоящий инструмент не списывается, а оприходуется на склад. Списание его происходит по мере выхода из строя. А до момента сисания числится на складе в составе запасов.</t>
    </r>
  </si>
  <si>
    <t>Лопаты</t>
  </si>
  <si>
    <t>Натяжитель Р-390</t>
  </si>
  <si>
    <t>Этикетки</t>
  </si>
  <si>
    <t>Шлифмашинка</t>
  </si>
  <si>
    <t>Метизы</t>
  </si>
  <si>
    <t>Шлифшкурка, сверла</t>
  </si>
  <si>
    <t>Заправка катриджа</t>
  </si>
  <si>
    <t>Пакеты для мусора</t>
  </si>
  <si>
    <t>Инструмент</t>
  </si>
  <si>
    <t>Резак</t>
  </si>
  <si>
    <t>Медикаменты в аптечку</t>
  </si>
  <si>
    <t>Изготовление ключей</t>
  </si>
  <si>
    <t>Шланг, штуцер, лента фум</t>
  </si>
  <si>
    <t>Тиски верстачные</t>
  </si>
  <si>
    <t>Электрика</t>
  </si>
  <si>
    <t>Батарейки</t>
  </si>
  <si>
    <t>Ведро. Ершик в душевую</t>
  </si>
  <si>
    <t>Перчатки, рукавицы</t>
  </si>
  <si>
    <t>Круг алмазный</t>
  </si>
  <si>
    <t>Сантехизделия</t>
  </si>
  <si>
    <t xml:space="preserve">Доска отрезная </t>
  </si>
  <si>
    <t>Бэги</t>
  </si>
  <si>
    <t>Петля</t>
  </si>
  <si>
    <t>Болгарка</t>
  </si>
  <si>
    <t>Алкотестер</t>
  </si>
  <si>
    <t>Цепь</t>
  </si>
  <si>
    <t>Метлы</t>
  </si>
  <si>
    <t>Шкаф одежный</t>
  </si>
  <si>
    <t>Электроды к лаборатории</t>
  </si>
  <si>
    <t>Щетка, веник, пакет</t>
  </si>
  <si>
    <t>Защелка межкомнатная в душевую</t>
  </si>
  <si>
    <t>Калькулятор</t>
  </si>
  <si>
    <t>Кувалда</t>
  </si>
  <si>
    <t>Респиратор</t>
  </si>
  <si>
    <t>Экспресс почта</t>
  </si>
  <si>
    <t>Представительские</t>
  </si>
  <si>
    <t>Видеонаблюдение - монтажные работы</t>
  </si>
  <si>
    <t>Прочие Доставки (лес, тележка)</t>
  </si>
  <si>
    <t>Ремонт баллона</t>
  </si>
  <si>
    <t>Такси (ночные вызовы)</t>
  </si>
  <si>
    <t>Телефон ИНСИС</t>
  </si>
  <si>
    <t>Модем Билайн</t>
  </si>
  <si>
    <t>Тел. Шев.</t>
  </si>
  <si>
    <t>Моб. Интернет МТС</t>
  </si>
  <si>
    <t>Интернет УРАЛ-НЭТ</t>
  </si>
  <si>
    <t>Расходы, связанные с приобретением спецодежды. При этом расходы по спецодежде (оплата за спецодежду) списывается на расходы месяца следующим образом: 1) "малоценная" спецодежда (лепестки и т.п.) списывается на затраты сразу же в момент оприходования; 2) Остальная часть оприходуется на склад и числится в составе запасов на складах (в расходы  текущего месяца попадает только в том случае, если выдана сотрудникам в "эксплуатацию", т.е. спецодежда может быть оплачена в одно месяце, получена в следующем месяце, а на расходы списана в третьем месяце, когда выдана в эксплуатацию.</t>
  </si>
  <si>
    <t>Перчатки х/б</t>
  </si>
  <si>
    <t>Фартук брезентовый</t>
  </si>
  <si>
    <t>Саоги кирзовые</t>
  </si>
  <si>
    <t>Рукавицы суконные</t>
  </si>
  <si>
    <t>Экран защитный для маски плавильщика</t>
  </si>
  <si>
    <t>Держатель для маски</t>
  </si>
  <si>
    <t>Ботинки суконные ПМ</t>
  </si>
  <si>
    <t>Вачеги</t>
  </si>
  <si>
    <t>Костюм х/б</t>
  </si>
  <si>
    <t>Ботинки кожа</t>
  </si>
  <si>
    <t>Полуботинки</t>
  </si>
  <si>
    <t>Химанализ ЧТЗ</t>
  </si>
  <si>
    <t>Печать документов</t>
  </si>
  <si>
    <t>Испытания</t>
  </si>
  <si>
    <t>Спасатели</t>
  </si>
  <si>
    <t>Клавиатура в лабораторию</t>
  </si>
  <si>
    <t>Ботинки кожа б/у</t>
  </si>
  <si>
    <t>Железо</t>
  </si>
  <si>
    <t>Сборка</t>
  </si>
  <si>
    <t>Мусор</t>
  </si>
  <si>
    <t>Сумма всех расходов 55=5+24</t>
  </si>
  <si>
    <t>2016г</t>
  </si>
  <si>
    <t>Янв</t>
  </si>
  <si>
    <t>Фев</t>
  </si>
  <si>
    <t>Мар</t>
  </si>
  <si>
    <t>Апр</t>
  </si>
  <si>
    <t>Авг</t>
  </si>
  <si>
    <t>Сен</t>
  </si>
  <si>
    <t>Окт</t>
  </si>
  <si>
    <t>Ноя</t>
  </si>
  <si>
    <t>Дек</t>
  </si>
  <si>
    <t>ИТОГО (без января и февраля)</t>
  </si>
  <si>
    <t>Факт</t>
  </si>
  <si>
    <t xml:space="preserve">Данные по производству </t>
  </si>
  <si>
    <t>Кол-во, кг</t>
  </si>
  <si>
    <t>Кол-во по жидкому (печь), кг</t>
  </si>
  <si>
    <t>Метвыход (по жидкому)</t>
  </si>
  <si>
    <t>Себ-сть сырья на 1 тн жидкого, руб</t>
  </si>
  <si>
    <t>Слитки АК5М2</t>
  </si>
  <si>
    <t>Чушка АК12М2</t>
  </si>
  <si>
    <t>Чушка АВ-87</t>
  </si>
  <si>
    <t>Пирамидка АВ 87</t>
  </si>
  <si>
    <t>Чушка АК5М2</t>
  </si>
  <si>
    <t>Чушка АД31</t>
  </si>
  <si>
    <t>Чушка 2 сорт</t>
  </si>
  <si>
    <t>Кол-во</t>
  </si>
  <si>
    <t>Сумма, руб</t>
  </si>
  <si>
    <t>Цена ломов</t>
  </si>
  <si>
    <t>Кол-во ломов без подклада</t>
  </si>
  <si>
    <t>Расход ломов (на выпуск продукции) ФАКТ</t>
  </si>
  <si>
    <t>На слитки АК5М2</t>
  </si>
  <si>
    <t>На чушку АК12М2</t>
  </si>
  <si>
    <t>На чушку АВ-87</t>
  </si>
  <si>
    <t>На чушку АК5М2</t>
  </si>
  <si>
    <t>На чушку 2 сорт</t>
  </si>
  <si>
    <t>Метвыход:</t>
  </si>
  <si>
    <t>Данные по продажам</t>
  </si>
  <si>
    <t>Количество, кг</t>
  </si>
  <si>
    <t>Себест-сть продаж, руб.</t>
  </si>
  <si>
    <t>Цена руб/тн</t>
  </si>
  <si>
    <t>Средняя цена контракта, руб/тн</t>
  </si>
  <si>
    <t>ПРОДАЖИ</t>
  </si>
  <si>
    <t>Продажи Слитков АК5М2</t>
  </si>
  <si>
    <t>Продажи Чушки АК12М2</t>
  </si>
  <si>
    <t>Продажи Чушки АВ-87</t>
  </si>
  <si>
    <t>Продажи Пирамидки АВ-88</t>
  </si>
  <si>
    <t>Продажи Чушки АК5М2</t>
  </si>
  <si>
    <t xml:space="preserve"> Продажа Чушки АД31</t>
  </si>
  <si>
    <t>Продажи шлака</t>
  </si>
  <si>
    <t>Продажи железа</t>
  </si>
  <si>
    <t>Прочие продажи</t>
  </si>
  <si>
    <t>Данные по энергоносителям</t>
  </si>
  <si>
    <t>ГАЗ</t>
  </si>
  <si>
    <t>Расход газа в мес. (факт), тыс. м3</t>
  </si>
  <si>
    <t>Расход газа в мес. (коммерч. учет), тыс. м3</t>
  </si>
  <si>
    <t>Цена за поставку газа, руб/тыс. м3</t>
  </si>
  <si>
    <t>Цена за транспортировку газа, руб/тыс. м3</t>
  </si>
  <si>
    <t>Сумма по газу в мес., тыс. м3</t>
  </si>
  <si>
    <t>Расход газа на 1 тонну жидкого, м3</t>
  </si>
  <si>
    <t>Расход газа на 1 тонну жидкого, руб  ($)</t>
  </si>
  <si>
    <t>Электроэнергия</t>
  </si>
  <si>
    <t>Расход Электроэнергии в мес., КВт</t>
  </si>
  <si>
    <t>Цена Электроэнергии, руб/КВт</t>
  </si>
  <si>
    <t>Сумма по Электроэнергии в мес., КВт</t>
  </si>
  <si>
    <t>Расход Электроэнергии на 1 тонну жидкого, КВт</t>
  </si>
  <si>
    <t>Расход Электроэнергии на 1 тонну жидкого, руб. ($)</t>
  </si>
  <si>
    <t>на 1 тн. выпуска, руб.</t>
  </si>
  <si>
    <r>
      <t xml:space="preserve">КОММЕРЧЕСКИЕ РАСХОДЫ                                     ( </t>
    </r>
    <r>
      <rPr>
        <i/>
        <sz val="8"/>
        <rFont val="Arial"/>
        <family val="2"/>
        <charset val="204"/>
      </rPr>
      <t>зависят от продаж</t>
    </r>
    <r>
      <rPr>
        <b/>
        <sz val="8"/>
        <rFont val="Arial"/>
        <family val="2"/>
        <charset val="204"/>
      </rPr>
      <t>)</t>
    </r>
  </si>
  <si>
    <t>Таможенные расходы (Пошлина)</t>
  </si>
  <si>
    <t>Таможенные расходы (Декларант)</t>
  </si>
  <si>
    <t>Прочие таможенные расходы (МСИС)</t>
  </si>
  <si>
    <t>ПЛАТОН</t>
  </si>
  <si>
    <t>Комиссия банка по валютному контролю</t>
  </si>
  <si>
    <t>Курсовая разница (Дополнительный доход/расход)</t>
  </si>
  <si>
    <r>
      <t>ПРОИЗВОДСТВЕННЫЕ РАСХОДЫ                            (</t>
    </r>
    <r>
      <rPr>
        <sz val="8"/>
        <rFont val="Arial"/>
        <family val="2"/>
        <charset val="204"/>
      </rPr>
      <t>зависят от выпуска продукции</t>
    </r>
    <r>
      <rPr>
        <b/>
        <sz val="8"/>
        <rFont val="Arial"/>
        <family val="2"/>
        <charset val="204"/>
      </rPr>
      <t>)</t>
    </r>
  </si>
  <si>
    <t>Зарплата (Переменная часть Плавильщики)</t>
  </si>
  <si>
    <r>
      <t xml:space="preserve">ПРОЧИЕ ПЕРЕМЕННЫЕ РАСХОДЫ                                               </t>
    </r>
    <r>
      <rPr>
        <i/>
        <sz val="8"/>
        <rFont val="Arial"/>
        <family val="2"/>
        <charset val="204"/>
      </rPr>
      <t>(зависят от выпуска продукции)</t>
    </r>
  </si>
  <si>
    <t>ЗП Производство</t>
  </si>
  <si>
    <t>Штрафы Сотрудников Производства</t>
  </si>
  <si>
    <t>ЗП ТД ЦМА</t>
  </si>
  <si>
    <t>ЗП Офис</t>
  </si>
  <si>
    <t>ЗП Грузовики</t>
  </si>
  <si>
    <t>Аренда базы ТД ЦМА</t>
  </si>
  <si>
    <t>Аренда Офис</t>
  </si>
  <si>
    <t>Стоянка Офис</t>
  </si>
  <si>
    <t>Налоги Никпром</t>
  </si>
  <si>
    <t>Налоги ЦМА</t>
  </si>
  <si>
    <t>Налоги ИП</t>
  </si>
  <si>
    <t>Ремонт и обслуживание Погрузчиков</t>
  </si>
  <si>
    <t>Погрузчик Производство</t>
  </si>
  <si>
    <t>Погрузчик ТД ЦМА</t>
  </si>
  <si>
    <t>Ремонт и обслуживание Грузовиков</t>
  </si>
  <si>
    <t>Расходы по СМ (Бензин+тел.)</t>
  </si>
  <si>
    <t>Дизтопливо</t>
  </si>
  <si>
    <t>Дизтопливо Производство</t>
  </si>
  <si>
    <t>Дизтопливо ТД ЦМА</t>
  </si>
  <si>
    <t>Дизтопливо Грузовики</t>
  </si>
  <si>
    <t>Пропан, кислород, доставка (Производство)</t>
  </si>
  <si>
    <t>Вода Производство</t>
  </si>
  <si>
    <t>Хозрасходы ТД ЦМА</t>
  </si>
  <si>
    <t>Хозрасходы Офис</t>
  </si>
  <si>
    <t>РКО Никпром</t>
  </si>
  <si>
    <t>РКО ТД ЦМА</t>
  </si>
  <si>
    <t>РКО ИП</t>
  </si>
  <si>
    <t>Связь (телефон, интернет) Производство</t>
  </si>
  <si>
    <t>Связь (телефон, интернет) ТД ЦМА</t>
  </si>
  <si>
    <t>Связь (телефон, интернет) Офис</t>
  </si>
  <si>
    <t>Ремонт и обслуживание оборудования Производства</t>
  </si>
  <si>
    <t>Малоценный инструмент и хозматериалы Производства</t>
  </si>
  <si>
    <t>Спецодежда (Производство)</t>
  </si>
  <si>
    <t>Спецодежда (ТД ЦМА)</t>
  </si>
  <si>
    <t>Канцтовары (Производство)</t>
  </si>
  <si>
    <t>Лицензирование и поверки</t>
  </si>
  <si>
    <t>Лицензирование и поверки (Производство)</t>
  </si>
  <si>
    <t>Лицензирование и поверки (ТД ЦМА)</t>
  </si>
  <si>
    <t>Расходы по ИТ (Производство)</t>
  </si>
  <si>
    <t>Расходы по ИТ (Офис)</t>
  </si>
  <si>
    <t>Расходы РО</t>
  </si>
  <si>
    <t>Прочие доходы</t>
  </si>
  <si>
    <t>Проценты к получению</t>
  </si>
  <si>
    <t>Возврат НДС</t>
  </si>
  <si>
    <t>Оприходование запасов</t>
  </si>
  <si>
    <t>Допприбыль при покупке за нал</t>
  </si>
  <si>
    <t>Корректировка</t>
  </si>
  <si>
    <t>Доходы и расходы ПРОЧИЕ (не включаемые в расчет прибыли)</t>
  </si>
  <si>
    <t>Линлайн</t>
  </si>
  <si>
    <t>Клиника "Кармель"</t>
  </si>
  <si>
    <t>Личные расходы НН</t>
  </si>
  <si>
    <t>Валовая прибыль</t>
  </si>
  <si>
    <t>РАСЧЕТ ПРИБЫЛИ ПРИ ЗАДАННЫХ ПАРАМЕТРАХ</t>
  </si>
  <si>
    <t>Средняя</t>
  </si>
  <si>
    <t>Общая программа выпускарограмма выпуска на месяц</t>
  </si>
  <si>
    <t xml:space="preserve">сумма </t>
  </si>
  <si>
    <t>Программа выпуска на месяц на 1 печи</t>
  </si>
  <si>
    <t xml:space="preserve">ИТОГО </t>
  </si>
  <si>
    <t>Расходы</t>
  </si>
  <si>
    <t>Программа выпуска на месяц на 2 печи</t>
  </si>
  <si>
    <t>Наименование</t>
  </si>
  <si>
    <t xml:space="preserve"> расходов</t>
  </si>
  <si>
    <t>1-я печь:</t>
  </si>
  <si>
    <t>на</t>
  </si>
  <si>
    <t>2-я печь:</t>
  </si>
  <si>
    <t>(ФАКТ)</t>
  </si>
  <si>
    <t>на 1 тн</t>
  </si>
  <si>
    <t>1 тн</t>
  </si>
  <si>
    <t>1 тонну</t>
  </si>
  <si>
    <t>Выпуск продукции, тн</t>
  </si>
  <si>
    <t>Цена контракта, $/тн.</t>
  </si>
  <si>
    <t>Курс</t>
  </si>
  <si>
    <t>Цена контракта, руб/тн.</t>
  </si>
  <si>
    <t xml:space="preserve"> +%</t>
  </si>
  <si>
    <t>Цена лома, руб/тн.</t>
  </si>
  <si>
    <t>Моторка</t>
  </si>
  <si>
    <t>Электротех</t>
  </si>
  <si>
    <t>Профиль</t>
  </si>
  <si>
    <t>Пищевка</t>
  </si>
  <si>
    <t>АМГ</t>
  </si>
  <si>
    <t>Кремний</t>
  </si>
  <si>
    <t>Медь</t>
  </si>
  <si>
    <t>Метвыход, %</t>
  </si>
  <si>
    <t>Расход ломов на 1 тн. Годного, тн</t>
  </si>
  <si>
    <t>Потребность в ломах на месяц, тн</t>
  </si>
  <si>
    <t>Выручка ИТОГО:</t>
  </si>
  <si>
    <t>%</t>
  </si>
  <si>
    <t>цена, руб/тн</t>
  </si>
  <si>
    <t>Продукция</t>
  </si>
  <si>
    <t>Шлак</t>
  </si>
  <si>
    <t>Стоимость сырья</t>
  </si>
  <si>
    <t>Себестоимость лома (с учетом метвыхода)</t>
  </si>
  <si>
    <t>Маржа</t>
  </si>
  <si>
    <t xml:space="preserve">Переменные расходы </t>
  </si>
  <si>
    <t>Расходы по производству (переменные)</t>
  </si>
  <si>
    <t>Чушка</t>
  </si>
  <si>
    <t>Слит.</t>
  </si>
  <si>
    <t xml:space="preserve">Зарплата плавильщиков </t>
  </si>
  <si>
    <t>1 печь плавильные</t>
  </si>
  <si>
    <t>2 печь плавильные</t>
  </si>
  <si>
    <t>Премия плавильщиков</t>
  </si>
  <si>
    <t>1 печь</t>
  </si>
  <si>
    <t>2 печь</t>
  </si>
  <si>
    <t>Километраж (туда-обратно), км</t>
  </si>
  <si>
    <t>Расходы на километр, руб</t>
  </si>
  <si>
    <r>
      <t>Гркзоподъемность, тн (</t>
    </r>
    <r>
      <rPr>
        <b/>
        <i/>
        <sz val="8"/>
        <color indexed="10"/>
        <rFont val="Arial"/>
        <family val="2"/>
        <charset val="204"/>
      </rPr>
      <t>кол-во конт</t>
    </r>
    <r>
      <rPr>
        <i/>
        <sz val="8"/>
        <color indexed="10"/>
        <rFont val="Arial"/>
        <family val="2"/>
        <charset val="204"/>
      </rPr>
      <t>)Гркзоподъемность, тн (</t>
    </r>
    <r>
      <rPr>
        <b/>
        <i/>
        <sz val="8"/>
        <color indexed="10"/>
        <rFont val="Arial"/>
        <family val="2"/>
        <charset val="204"/>
      </rPr>
      <t>кол-во конт</t>
    </r>
    <r>
      <rPr>
        <i/>
        <sz val="8"/>
        <color indexed="10"/>
        <rFont val="Arial"/>
        <family val="2"/>
        <charset val="204"/>
      </rPr>
      <t>)</t>
    </r>
  </si>
  <si>
    <t>Стоимость обратной ходки, руб</t>
  </si>
  <si>
    <t>Количество контейнеров</t>
  </si>
  <si>
    <t>Стоимость контейнера</t>
  </si>
  <si>
    <t>"Валовая прибыль" , руб</t>
  </si>
  <si>
    <t>"Валовая прибыль" , %</t>
  </si>
  <si>
    <t>Процент распределения постоянных</t>
  </si>
  <si>
    <t xml:space="preserve">Постоянные расходы </t>
  </si>
  <si>
    <t>Прибыль 1</t>
  </si>
  <si>
    <t xml:space="preserve">Разовые расходы </t>
  </si>
  <si>
    <t>ЧИСТАЯ ПРИБЫЛЬ</t>
  </si>
  <si>
    <t>Дельта</t>
  </si>
  <si>
    <t>АК5М2</t>
  </si>
  <si>
    <t>АК12М2</t>
  </si>
  <si>
    <t>АВ87</t>
  </si>
  <si>
    <t>Номер месяца:</t>
  </si>
  <si>
    <t>РАСЧЕТ ДОПОЛНИТЕЛЬНОГО ОБЪЕМА</t>
  </si>
  <si>
    <t>ЧИСТАЯ ПРИБЫЛЬ с 1 тонны</t>
  </si>
  <si>
    <t>Постоянные</t>
  </si>
  <si>
    <t>Дата</t>
  </si>
  <si>
    <t>Остаток на начало</t>
  </si>
  <si>
    <t>Приход</t>
  </si>
  <si>
    <t>Расход</t>
  </si>
  <si>
    <t>Примечание</t>
  </si>
  <si>
    <t>Остаток на конец</t>
  </si>
  <si>
    <t>Статья в 1С</t>
  </si>
  <si>
    <t>Приход от НН на ЗП</t>
  </si>
  <si>
    <t>Приход от НН на цеховые</t>
  </si>
  <si>
    <t>Приход от НН на Декларанта</t>
  </si>
  <si>
    <t>Выплата ЗП</t>
  </si>
  <si>
    <t>Доплата за сортировку</t>
  </si>
  <si>
    <t>Тел</t>
  </si>
  <si>
    <t>Приход от НН на Авансы</t>
  </si>
  <si>
    <t>Терморегулятор</t>
  </si>
  <si>
    <t>МЦ</t>
  </si>
  <si>
    <t>ТЭН умывальник</t>
  </si>
  <si>
    <t>Анкер</t>
  </si>
  <si>
    <t>Ремонт ИБП</t>
  </si>
  <si>
    <t>Ремонт и обсл.</t>
  </si>
  <si>
    <t>Подшипник</t>
  </si>
  <si>
    <t>Втулка бронза</t>
  </si>
  <si>
    <t>Веники</t>
  </si>
  <si>
    <t>ГСМ</t>
  </si>
  <si>
    <t>Антифриз</t>
  </si>
  <si>
    <t>Аптечка</t>
  </si>
  <si>
    <t>Бензин для А/п</t>
  </si>
  <si>
    <t>Перчатки резиновые</t>
  </si>
  <si>
    <t>Ошейник</t>
  </si>
  <si>
    <t>карабин</t>
  </si>
  <si>
    <t>Выплата Аванса</t>
  </si>
  <si>
    <t>Возврат страховой</t>
  </si>
  <si>
    <t>Сумма возвращена НН</t>
  </si>
  <si>
    <t>Приход от НН на Облако</t>
  </si>
  <si>
    <t>Приход от НН на тел</t>
  </si>
  <si>
    <t>Облако</t>
  </si>
  <si>
    <t>Приход от НН на Экспресс-почту</t>
  </si>
  <si>
    <t>Приход от НН на штрафы</t>
  </si>
  <si>
    <t>оплата штрафов</t>
  </si>
  <si>
    <t>Почта</t>
  </si>
  <si>
    <t>Приход от НН на Почту</t>
  </si>
  <si>
    <t>Остаток с карты</t>
  </si>
  <si>
    <t>Приход от НН на сортировку меди</t>
  </si>
  <si>
    <t>Приход от НН на облако</t>
  </si>
  <si>
    <t>Оплата облака</t>
  </si>
  <si>
    <t>Приход от НН на почту</t>
  </si>
  <si>
    <t>почта</t>
  </si>
  <si>
    <t>Приход от НН на ЗП (ЕП)</t>
  </si>
  <si>
    <t>Выдача ЗП</t>
  </si>
  <si>
    <t>Выдача Аванса</t>
  </si>
  <si>
    <t>Приход от НН на флешку</t>
  </si>
  <si>
    <t>Флешка</t>
  </si>
  <si>
    <t>Товар</t>
  </si>
  <si>
    <t>Отгружено</t>
  </si>
  <si>
    <t>Покупатель</t>
  </si>
  <si>
    <t>№</t>
  </si>
  <si>
    <t>Количество</t>
  </si>
  <si>
    <t>Сумма продаж</t>
  </si>
  <si>
    <t>% прибыли</t>
  </si>
  <si>
    <t>приложения</t>
  </si>
  <si>
    <t>РТЦ</t>
  </si>
  <si>
    <t>1 машина Январь</t>
  </si>
  <si>
    <t>Латунь</t>
  </si>
  <si>
    <t>УПС</t>
  </si>
  <si>
    <t>Нержавейка</t>
  </si>
  <si>
    <t>Свинец</t>
  </si>
  <si>
    <t>Сотрудники</t>
  </si>
  <si>
    <t>Реметалл-С</t>
  </si>
  <si>
    <t>Слиток АК5М2</t>
  </si>
  <si>
    <t>2 машина Январь</t>
  </si>
  <si>
    <t>3 машина Январь</t>
  </si>
  <si>
    <t>4 машина Январь</t>
  </si>
  <si>
    <t>Чушка АВ</t>
  </si>
  <si>
    <t>1 машина Февраль</t>
  </si>
  <si>
    <t>2 машина Февраль</t>
  </si>
  <si>
    <t>УЗЦМ</t>
  </si>
  <si>
    <t>3 машина Февраль</t>
  </si>
  <si>
    <t>4 машина Февраль</t>
  </si>
  <si>
    <t>5 машина Февраль</t>
  </si>
  <si>
    <t>1 машина март</t>
  </si>
  <si>
    <t>2 машина март</t>
  </si>
  <si>
    <t>Приемка</t>
  </si>
  <si>
    <t>3 машина март</t>
  </si>
  <si>
    <t>4 машина март</t>
  </si>
  <si>
    <t>5 машина март</t>
  </si>
  <si>
    <t>6 машина март</t>
  </si>
  <si>
    <t>7 машина март</t>
  </si>
  <si>
    <t>ММК</t>
  </si>
  <si>
    <t>Прилож.3 (1/6)</t>
  </si>
  <si>
    <t>Прилож.3 (2/6)</t>
  </si>
  <si>
    <t>Прилож.3 (3/6)</t>
  </si>
  <si>
    <t>Прилож.3 (4/6)</t>
  </si>
  <si>
    <t>Прилож.3 (5/6)</t>
  </si>
  <si>
    <t>Прилож.3 (6/6)</t>
  </si>
  <si>
    <t>Прилож.4 (1/6)</t>
  </si>
  <si>
    <t>Прилож.4 (2/6)</t>
  </si>
  <si>
    <t>1 машина Апрель</t>
  </si>
  <si>
    <t>Прилож.4 (3/6)</t>
  </si>
  <si>
    <t>2 машина Апрель</t>
  </si>
  <si>
    <t>Прилож.4 (4/6)</t>
  </si>
  <si>
    <t>Прилож.4 (5/6)</t>
  </si>
  <si>
    <t>3 машина Апрель</t>
  </si>
  <si>
    <t>4 машина Апрель</t>
  </si>
  <si>
    <t>Прилож.5 (1/12)</t>
  </si>
  <si>
    <t>Прилож.4 (6/6)</t>
  </si>
  <si>
    <t>Прилож.5 (2/12)</t>
  </si>
  <si>
    <t>Прилож.5 (3/12)</t>
  </si>
  <si>
    <t>Прилож.5 (4/12)</t>
  </si>
  <si>
    <t>Прилож.5 (5/12)</t>
  </si>
  <si>
    <t>Прилож.5 (6/12)</t>
  </si>
  <si>
    <t>Прилож.5 (7/12)</t>
  </si>
  <si>
    <t>Прилож.5 (8/12)</t>
  </si>
  <si>
    <t>Прилож.5 (9/12)</t>
  </si>
  <si>
    <t>Прилож.5 (10/12)</t>
  </si>
  <si>
    <t>Прилож.5 (11/12)</t>
  </si>
  <si>
    <t>Прилож.5 (12/12)</t>
  </si>
  <si>
    <t>Прилож.6 (1/8)</t>
  </si>
  <si>
    <t>Прилож.6 (2/8)</t>
  </si>
  <si>
    <t>Прилож.6 (3/8)</t>
  </si>
  <si>
    <t>Прилож.6 (4/8)</t>
  </si>
  <si>
    <t>Прилож.6 (5/8)</t>
  </si>
  <si>
    <t>Прилож.6 (6/8)</t>
  </si>
  <si>
    <t>Оксид</t>
  </si>
  <si>
    <t>Прилож.6 (7/8)</t>
  </si>
  <si>
    <t>Прилож.6 (8/8)</t>
  </si>
  <si>
    <t>Прилож.7 (1/2)</t>
  </si>
  <si>
    <t>Прилож.7 (2/2)</t>
  </si>
  <si>
    <t>Прилож.8 (1/9)</t>
  </si>
  <si>
    <t>Прилож.8 (2/9)</t>
  </si>
  <si>
    <t>Прилож.8 (3/9)</t>
  </si>
  <si>
    <t>Прилож.8 (4/9)</t>
  </si>
  <si>
    <t>Прилож.8 (5/9)</t>
  </si>
  <si>
    <t>Прилож.8 (6/9)</t>
  </si>
  <si>
    <t>Прилож.8 (7/9)</t>
  </si>
  <si>
    <t>Прилож.8 (8/9)</t>
  </si>
  <si>
    <t>Прилож.8 (9/9)</t>
  </si>
  <si>
    <t>Прилож.9 (1/4)</t>
  </si>
  <si>
    <t>Прилож.9 (2/4)</t>
  </si>
  <si>
    <t>Прилож.9 (3/4)</t>
  </si>
  <si>
    <t>Прилож.9 (4/4)</t>
  </si>
  <si>
    <t>Прилож.10 (1/4)</t>
  </si>
  <si>
    <t>Продажа АМГ</t>
  </si>
  <si>
    <t>Возвраты</t>
  </si>
  <si>
    <t>Прилож.10 (2/4)</t>
  </si>
  <si>
    <t>Прилож.10 (3/4)</t>
  </si>
  <si>
    <t>Прилож.10 (4/4)</t>
  </si>
  <si>
    <t>Прилож.11 (1/8)</t>
  </si>
  <si>
    <t>Прилож.11 (2/8)</t>
  </si>
  <si>
    <t>Прилож.11 (3/8)</t>
  </si>
  <si>
    <t>Прилож.11 (4/8)</t>
  </si>
  <si>
    <t>Прилож.11 (5/8)</t>
  </si>
  <si>
    <t>Прилож.11 (6/8)</t>
  </si>
  <si>
    <t>Прилож.11 (7/8)</t>
  </si>
  <si>
    <t>Прилож.11 (8/8)</t>
  </si>
  <si>
    <t>Прилож.12 (1/4)</t>
  </si>
  <si>
    <t>Прилож.12 (2/4)</t>
  </si>
  <si>
    <t>Прилож.12 (3/4)</t>
  </si>
  <si>
    <t>Прилож.12 (4/4)</t>
  </si>
  <si>
    <t>Прилож.13 (1/4)</t>
  </si>
  <si>
    <t>Прилож.13 (2/4)</t>
  </si>
  <si>
    <t>На Оксид</t>
  </si>
  <si>
    <t>Прилож.13 (3/4)</t>
  </si>
  <si>
    <t>Прилож.13 (4/4)</t>
  </si>
  <si>
    <t>Прилож.14 (1/4)</t>
  </si>
  <si>
    <t>Прилож.14 (2/4)</t>
  </si>
  <si>
    <t>Прилож.14 (3/4)</t>
  </si>
  <si>
    <t>Прилож.14 (4/4)</t>
  </si>
  <si>
    <t>Прилож.15 (1/6)</t>
  </si>
  <si>
    <t>РИФАР</t>
  </si>
  <si>
    <t>1 машина</t>
  </si>
  <si>
    <t>Прилож.15 (2/6)</t>
  </si>
  <si>
    <t>Прилож.15 (3/6)</t>
  </si>
  <si>
    <t>2 машина</t>
  </si>
  <si>
    <t>Прилож.15 (4/6)</t>
  </si>
  <si>
    <t>Прилож.15 (5/6)</t>
  </si>
  <si>
    <t>Прилож.15 (6/6)</t>
  </si>
  <si>
    <t>Прилож.16 (1/4)</t>
  </si>
  <si>
    <t>Прилож.16 (2/4)</t>
  </si>
  <si>
    <t>Прилож.16 (3/4)</t>
  </si>
  <si>
    <t>Прилож.16 (4/4)</t>
  </si>
  <si>
    <t>Прилож.17 (1/4)</t>
  </si>
  <si>
    <t>3 машина</t>
  </si>
  <si>
    <t>Прилож.17 (2/4)</t>
  </si>
  <si>
    <t>Прилож.17 (3/4)</t>
  </si>
  <si>
    <t>Прилож.17 (4/4)</t>
  </si>
  <si>
    <t>4 машина</t>
  </si>
  <si>
    <t>Прилож.18 (1/4)</t>
  </si>
  <si>
    <t>Прилож.18 (2/4)</t>
  </si>
  <si>
    <t>Прилож.18 (3/4)</t>
  </si>
  <si>
    <t>Прилож.18 (4/4)</t>
  </si>
  <si>
    <t>Прилож.19 (1/4)</t>
  </si>
  <si>
    <t>Прилож.19 (3/4)</t>
  </si>
  <si>
    <t>Прилож.19 (2/4)</t>
  </si>
  <si>
    <t>Прилож.19 (4/4)</t>
  </si>
  <si>
    <t>Прилож.20 (1/8)</t>
  </si>
  <si>
    <t>Прилож.20 (2/4)</t>
  </si>
  <si>
    <t>Прилож.20 (3/8)</t>
  </si>
  <si>
    <t>Прилож.20 (4/8)</t>
  </si>
  <si>
    <t>Прилож.20 (5/8)</t>
  </si>
  <si>
    <t>Прилож.20 (6/8)</t>
  </si>
  <si>
    <t>Прилож.20 (7/8)</t>
  </si>
  <si>
    <t>Прилож.20 (8/8)</t>
  </si>
  <si>
    <t>Прилож.21 (1/4)</t>
  </si>
  <si>
    <t>Прилож.21 (2/4)</t>
  </si>
  <si>
    <t>Прилож.21 (3/4)</t>
  </si>
  <si>
    <t>Прилож.21 (4/4)</t>
  </si>
  <si>
    <t>Прилож.22 (1/4)</t>
  </si>
  <si>
    <t>Прилож.22 (2/4)</t>
  </si>
  <si>
    <t>Прилож.22 (4/4)</t>
  </si>
  <si>
    <t>Прилож.23 (1/4)</t>
  </si>
  <si>
    <t>Прилож.22 (3/4)</t>
  </si>
  <si>
    <t>Прилож.23 (2/4)</t>
  </si>
  <si>
    <t>Прилож.23 (3/4)</t>
  </si>
  <si>
    <t>Прилож.23 (4/4)</t>
  </si>
  <si>
    <t>Прилож.24 (1/4)</t>
  </si>
  <si>
    <t>Прилож.24 (2/4)</t>
  </si>
  <si>
    <t>Прилож.24 (3/4)</t>
  </si>
  <si>
    <t>Прилож.24 (4/4)</t>
  </si>
  <si>
    <t>Прилож.25 (1/10)</t>
  </si>
  <si>
    <t>Прилож.25 (2/10)</t>
  </si>
  <si>
    <t>Прилож.25 (3/10)</t>
  </si>
  <si>
    <t>Прилож.25 (4/10)</t>
  </si>
  <si>
    <t>Прилож.25 (5/10)</t>
  </si>
  <si>
    <t>Прилож.25 (6/10)</t>
  </si>
  <si>
    <t>Прилож.25 (7/10)</t>
  </si>
  <si>
    <t>Прилож.25 (8/10)</t>
  </si>
  <si>
    <t>Прилож.25 (9/10)</t>
  </si>
  <si>
    <t>Прилож.25 (10/10)</t>
  </si>
  <si>
    <t>Прилож.26 (1/6)</t>
  </si>
  <si>
    <t>Прилож.26 (2/6)</t>
  </si>
  <si>
    <t>Прилож.26 (3/6)</t>
  </si>
  <si>
    <t>Прилож.26 (4/6)</t>
  </si>
  <si>
    <t>Прилож.26 (5/6)</t>
  </si>
  <si>
    <t>Прилож.26 (6/6)</t>
  </si>
  <si>
    <t>Продест</t>
  </si>
  <si>
    <t>1 машина (1/2) Прилож.1</t>
  </si>
  <si>
    <t>2 машина (2/2) Прилож.1</t>
  </si>
  <si>
    <t>1 машина (1/2) Прилож.2</t>
  </si>
  <si>
    <t>2 машина (2/2) Прилож.2</t>
  </si>
  <si>
    <t>1 машина (1/2) Прилож.3</t>
  </si>
  <si>
    <t>2 машина (2/2) Прилож.3</t>
  </si>
  <si>
    <t>1 машина (1/4) Прилож.4</t>
  </si>
  <si>
    <t>2 машина (2/4) Прилож.4</t>
  </si>
  <si>
    <t>3 машина (3/4) Прилож.4</t>
  </si>
  <si>
    <t>4 машина (3/4) Прилож.4</t>
  </si>
  <si>
    <t>1 машина (1/2) Прилож.5</t>
  </si>
  <si>
    <t>2 машина (2/2) Прилож.5</t>
  </si>
  <si>
    <t>РОВЕКС</t>
  </si>
  <si>
    <t>Магний</t>
  </si>
  <si>
    <t>1 машина (1/4) Прилож.6</t>
  </si>
  <si>
    <t>2 машина (2/4) Прилож.6</t>
  </si>
  <si>
    <t>3 машина (3/4) Прилож.6</t>
  </si>
  <si>
    <t>4 машина (4/4) Прилож.6</t>
  </si>
  <si>
    <t>1 машина (1/4) Прилож.7,</t>
  </si>
  <si>
    <t>2 машина (2/4) Прилож.7,</t>
  </si>
  <si>
    <t>3 машина (3/4) Прилож.7,</t>
  </si>
  <si>
    <t>1 машина Март</t>
  </si>
  <si>
    <t>4 машина (4/4) Прилож.7,</t>
  </si>
  <si>
    <t>2 машина Март</t>
  </si>
  <si>
    <t>1 машина (1/4) Прилож.8,</t>
  </si>
  <si>
    <t>2 машина (2/4) Прилож.8,</t>
  </si>
  <si>
    <t>3 машина (3/4) Прилож.8,</t>
  </si>
  <si>
    <t>3 машина Март</t>
  </si>
  <si>
    <t>4 машина (4/4) Прилож.8,</t>
  </si>
  <si>
    <t>1 машина (1/2) Прилож.9,</t>
  </si>
  <si>
    <t>2 машина (2/2) Прилож.9,</t>
  </si>
  <si>
    <t>1 машина (1/2) Прилож.10,</t>
  </si>
  <si>
    <t>2 машина (2/2) Прилож.10,</t>
  </si>
  <si>
    <t>1 машина (1/2) Прилож.11,</t>
  </si>
  <si>
    <t>2 машина (2/2) Прилож.11,</t>
  </si>
  <si>
    <t>1 машина апрель</t>
  </si>
  <si>
    <t>1 машина (1/2) Прилож.12,</t>
  </si>
  <si>
    <t>2 машина (2/2) Прилож.12,</t>
  </si>
  <si>
    <t>1 машина (1/2) Прилож.13,</t>
  </si>
  <si>
    <t>2 машина (2/2) Прилож.13,</t>
  </si>
  <si>
    <t>1 машина (1/4) Прилож.14</t>
  </si>
  <si>
    <t>2 машина (2/4) Прилож.14</t>
  </si>
  <si>
    <t>3 машина (3/4) Прилож.14</t>
  </si>
  <si>
    <t>4 машина (4/4) Прилож.14</t>
  </si>
  <si>
    <t>1 машина (1/2) Прилож.15</t>
  </si>
  <si>
    <t>2 машина апрель</t>
  </si>
  <si>
    <t>2 машина (2/2) Прилож.15</t>
  </si>
  <si>
    <t>1 машина (1/10) Прилож.17</t>
  </si>
  <si>
    <t>3 машина апрель</t>
  </si>
  <si>
    <t>2 машина (2/10) Прилож.17</t>
  </si>
  <si>
    <t>1 контейнер (1/2) Прилож.16</t>
  </si>
  <si>
    <t>2 контейнер (2/2) Прилож.16</t>
  </si>
  <si>
    <t>3 машина (3/10) Прилож.17</t>
  </si>
  <si>
    <t>1 контейнер (1/2) Прилож.18</t>
  </si>
  <si>
    <t>2 контейнер (2/2) Прилож.18</t>
  </si>
  <si>
    <t>1 машина май</t>
  </si>
  <si>
    <t>4 машина (4/10) Прилож.17</t>
  </si>
  <si>
    <t>5 машина (5/10) Прилож.17</t>
  </si>
  <si>
    <t>6 машина (6/10) Прилож.17</t>
  </si>
  <si>
    <t>7 машина (7/10) Прилож.17</t>
  </si>
  <si>
    <t>9 машина (8/10) Прилож.17</t>
  </si>
  <si>
    <t>1 конт (1/2) Прилож.20</t>
  </si>
  <si>
    <t>2 конт (2/2) Прилож.20</t>
  </si>
  <si>
    <t>8 машина (9/10) Прилож.17</t>
  </si>
  <si>
    <t>2 машина май</t>
  </si>
  <si>
    <t>10 машина (10/10) Прилож.17</t>
  </si>
  <si>
    <t>1 конт (1/2) Прилож.19</t>
  </si>
  <si>
    <t>2 конт (2/2) Прилож.19</t>
  </si>
  <si>
    <t>3 машина май</t>
  </si>
  <si>
    <t>Цинк</t>
  </si>
  <si>
    <t>Уралинвестмет</t>
  </si>
  <si>
    <t>1 машина (1/5) Прилож.22</t>
  </si>
  <si>
    <t>2 машина (2/5) Прилож.22</t>
  </si>
  <si>
    <t>3 машина (3/5) Прилож.22</t>
  </si>
  <si>
    <t>4 машина (4/5) Прилож.22</t>
  </si>
  <si>
    <t>5 машина (5/5) Прилож.22</t>
  </si>
  <si>
    <t>1 машина июнь</t>
  </si>
  <si>
    <t>1 конт (1/4) Прилож.21</t>
  </si>
  <si>
    <t>2 конт (2/4) Прилож.21</t>
  </si>
  <si>
    <t>2 машина июнь</t>
  </si>
  <si>
    <t>3 машина июнь</t>
  </si>
  <si>
    <t>3 конт (3/4) Прилож.21</t>
  </si>
  <si>
    <t>4 конт (4/4) Прилож.21</t>
  </si>
  <si>
    <t>1 конт (1/2) Прилож.23</t>
  </si>
  <si>
    <t>2 конт (2/2) Прилож.23</t>
  </si>
  <si>
    <t>4 машина июнь</t>
  </si>
  <si>
    <t>1 конт (1/4) Прилож.24</t>
  </si>
  <si>
    <t>2 конт (2/4) Прилож.24</t>
  </si>
  <si>
    <t>3 конт (3/4) Прилож.24</t>
  </si>
  <si>
    <t>4 конт (4/4) Прилож.24</t>
  </si>
  <si>
    <t>1 конт (1/4) Прилож.25</t>
  </si>
  <si>
    <t>2 конт (2/4) Прилож.25</t>
  </si>
  <si>
    <t>1 машина июль</t>
  </si>
  <si>
    <t>3 конт (3/4) Прилож.25</t>
  </si>
  <si>
    <t>4 конт (4/4) Прилож.25</t>
  </si>
  <si>
    <t>2 машина июль</t>
  </si>
  <si>
    <t>3 машина июль</t>
  </si>
  <si>
    <t>NRM</t>
  </si>
  <si>
    <t>1 конт (Приложение 1)</t>
  </si>
  <si>
    <t>2 конт (Приложение 1)</t>
  </si>
  <si>
    <t>3 конт (Приложение 1)</t>
  </si>
  <si>
    <t>4 конт (Приложение 1)</t>
  </si>
  <si>
    <t>Нистерчук</t>
  </si>
  <si>
    <t>1 конт (Приложение 2)</t>
  </si>
  <si>
    <t>2 конт (Приложение 2)</t>
  </si>
  <si>
    <t>3 конт (Приложение 2)</t>
  </si>
  <si>
    <t>4 конт (Приложение 2)</t>
  </si>
  <si>
    <t>1 машина Август</t>
  </si>
  <si>
    <t>2 машина Август</t>
  </si>
  <si>
    <t>1 конт (Приложение 3)</t>
  </si>
  <si>
    <t>2 конт (Приложение 3)</t>
  </si>
  <si>
    <t>1 машина Сентябрь</t>
  </si>
  <si>
    <t>2 машина Сентябрь</t>
  </si>
  <si>
    <t>1 конт (Приложение 4)</t>
  </si>
  <si>
    <t>2 конт (Приложение 4)</t>
  </si>
  <si>
    <t>Савой</t>
  </si>
  <si>
    <t>1 конт (Приложение 40)</t>
  </si>
  <si>
    <t>2 конт (Приложение 40)</t>
  </si>
  <si>
    <t>3 машина Сентябрь</t>
  </si>
  <si>
    <t>1 конт (Приложение 41)</t>
  </si>
  <si>
    <t>2 конт (Приложение 41)</t>
  </si>
  <si>
    <t>Валконт</t>
  </si>
  <si>
    <t>1 конт (Приложение 42)</t>
  </si>
  <si>
    <t>2 конт (Приложение 42)</t>
  </si>
  <si>
    <t>1 конт (Приложение 43)</t>
  </si>
  <si>
    <t>2 конт (Приложение 43)</t>
  </si>
  <si>
    <t>1 машина октябрь</t>
  </si>
  <si>
    <t>2 машина октябрь</t>
  </si>
  <si>
    <t>1 конт (Приложение 44)</t>
  </si>
  <si>
    <t>2 конт (Приложение 44)</t>
  </si>
  <si>
    <t>3 конт (Приложение 44)</t>
  </si>
  <si>
    <t>4 конт (Приложение 44)</t>
  </si>
  <si>
    <t>1 конт (Приложение 45)</t>
  </si>
  <si>
    <t>2 конт (Приложение 45)</t>
  </si>
  <si>
    <t>1 конт (Приложение 46)</t>
  </si>
  <si>
    <t>2 конт (Приложение 46)</t>
  </si>
  <si>
    <t>Пышма</t>
  </si>
  <si>
    <t>1 конт (Приложение 47)</t>
  </si>
  <si>
    <t>2 конт (Приложение 47)</t>
  </si>
  <si>
    <t>1 конт (Приложение 16)</t>
  </si>
  <si>
    <t>2 конт (Приложение 16)</t>
  </si>
  <si>
    <t>3 конт (Приложение 16)</t>
  </si>
  <si>
    <t>4 конт (Приложение 16)</t>
  </si>
  <si>
    <t>1 конт (Приложение 49)</t>
  </si>
  <si>
    <t>2 конт (Приложение 49)</t>
  </si>
  <si>
    <t>3 конт (Приложение 49)</t>
  </si>
  <si>
    <t>4 конт (Приложение 49)</t>
  </si>
  <si>
    <t>1 конт (Приложение 51)</t>
  </si>
  <si>
    <t>2 конт (Приложение 51)</t>
  </si>
  <si>
    <t>1 конт (Приложение 52)</t>
  </si>
  <si>
    <t>2 конт (Приложение 52)</t>
  </si>
  <si>
    <t>3 конт (Приложение 52)</t>
  </si>
  <si>
    <t>4 конт (Приложение 52)</t>
  </si>
  <si>
    <t>1 конт (Приложение 17)</t>
  </si>
  <si>
    <t>2 конт (Приложение 17)</t>
  </si>
  <si>
    <t>3 конт (Приложение 17)</t>
  </si>
  <si>
    <t>4 конт (Приложение 17)</t>
  </si>
  <si>
    <t>1 конт (Приложение 58)</t>
  </si>
  <si>
    <t>2 конт (Приложение 58)</t>
  </si>
  <si>
    <t>3 конт (Приложение 58)</t>
  </si>
  <si>
    <t>4 конт (Приложение 58)</t>
  </si>
  <si>
    <t>1 конт (Приложение 18)</t>
  </si>
  <si>
    <t>2 конт (Приложение 18)</t>
  </si>
  <si>
    <t>3 конт (Приложение 18)</t>
  </si>
  <si>
    <t>4 конт (Приложение 18)</t>
  </si>
  <si>
    <t>1 конт (Приложение 61)</t>
  </si>
  <si>
    <t>2 конт (Приложение 61)</t>
  </si>
  <si>
    <t>3 конт (Приложение 61)</t>
  </si>
  <si>
    <t>4 конт (Приложение 61)</t>
  </si>
  <si>
    <t>1 конт (Приложение 63)</t>
  </si>
  <si>
    <t>2 конт (Приложение 63)</t>
  </si>
  <si>
    <t>3 конт (Приложение 63)</t>
  </si>
  <si>
    <t>4 конт (Приложение 63)</t>
  </si>
  <si>
    <t>1 конт (Приложение 19)</t>
  </si>
  <si>
    <t>2 конт (Приложение 19)</t>
  </si>
  <si>
    <t>3 конт (Приложение 19)</t>
  </si>
  <si>
    <t>4 конт (Приложение 19)</t>
  </si>
  <si>
    <t>1 конт (Приложение 66)</t>
  </si>
  <si>
    <t>2 конт (Приложение 66)</t>
  </si>
  <si>
    <t>3 конт (Приложение 66)</t>
  </si>
  <si>
    <t>4 конт (Приложение 66)</t>
  </si>
  <si>
    <t>1 конт (Приложение 68)</t>
  </si>
  <si>
    <t>2 конт (Приложение 68)</t>
  </si>
  <si>
    <t>3 конт (Приложение 68)</t>
  </si>
  <si>
    <t>4 конт (Приложение 68)</t>
  </si>
  <si>
    <t>1 конт (Приложение 69)</t>
  </si>
  <si>
    <t>2 конт (Приложение 69)</t>
  </si>
  <si>
    <t>3 конт (Приложение 69)</t>
  </si>
  <si>
    <t>4 конт (Приложение 69)</t>
  </si>
  <si>
    <t>1 конт (Приложение 72)</t>
  </si>
  <si>
    <t>2 конт (Приложение 72)</t>
  </si>
  <si>
    <t>3 конт (Приложение 72)</t>
  </si>
  <si>
    <t>4 конт (Приложение 72)</t>
  </si>
  <si>
    <t>1 конт (Приложение 74)</t>
  </si>
  <si>
    <t>2 конт (Приложение 74)</t>
  </si>
  <si>
    <t>3 конт (Приложение 74)</t>
  </si>
  <si>
    <t>1 конт (Приложение 75)</t>
  </si>
  <si>
    <t>2 конт (Приложение 75)</t>
  </si>
  <si>
    <t>3 конт (Приложение 75)</t>
  </si>
  <si>
    <t>4 конт (Приложение 75)</t>
  </si>
  <si>
    <t>4 конт (Приложение 74)</t>
  </si>
  <si>
    <t>1 конт (Приложение 78)</t>
  </si>
  <si>
    <t>2 конт (Приложение 78)</t>
  </si>
  <si>
    <t>3 конт (Приложение 78)</t>
  </si>
  <si>
    <t>4 конт (Приложение 78)</t>
  </si>
  <si>
    <t>1 конт (Приложение 79)</t>
  </si>
  <si>
    <t>2 конт (Приложение 79)</t>
  </si>
  <si>
    <t>3 конт (Приложение 79)</t>
  </si>
  <si>
    <t>4 конт (Приложение 79)</t>
  </si>
  <si>
    <t>5 конт (Приложение 79)</t>
  </si>
  <si>
    <t>6 конт (Приложение 79)</t>
  </si>
  <si>
    <t>7 конт (Приложение 79)</t>
  </si>
  <si>
    <t>8 конт (Приложение 79)</t>
  </si>
  <si>
    <t>1 конт (Приложение 80)</t>
  </si>
  <si>
    <t>2 конт (Приложение 80)</t>
  </si>
  <si>
    <t>3 конт (Приложение 80)</t>
  </si>
  <si>
    <t>4 конт (Приложение 80)</t>
  </si>
  <si>
    <t>1 конт (Приложение 82)</t>
  </si>
  <si>
    <t>2 конт (Приложение 82)</t>
  </si>
  <si>
    <t>3 конт (Приложение 82)</t>
  </si>
  <si>
    <t>4 конт (Приложение 82)</t>
  </si>
  <si>
    <t>Уфа</t>
  </si>
  <si>
    <t>1 конт (Приложение 83)</t>
  </si>
  <si>
    <t>2 конт (Приложение 83)</t>
  </si>
  <si>
    <t>3 конт (Приложение 83)</t>
  </si>
  <si>
    <t>4 конт (Приложение 83)</t>
  </si>
  <si>
    <t>1 конт (Приложение 84)</t>
  </si>
  <si>
    <t>2 конт (Приложение 84)</t>
  </si>
  <si>
    <t>3 конт (Приложение 84)</t>
  </si>
  <si>
    <t>4 конт (Приложение 84)</t>
  </si>
  <si>
    <t>Пирамидка АВ87</t>
  </si>
  <si>
    <t>31.06.2015</t>
  </si>
  <si>
    <t>3 конт (Приложение 3)</t>
  </si>
  <si>
    <t>4 конт (Приложение 3)</t>
  </si>
  <si>
    <t>3 конт (Приложение 4)</t>
  </si>
  <si>
    <t>4 конт (Приложение 4)</t>
  </si>
  <si>
    <t>1 маш (Приложение 1) Литва</t>
  </si>
  <si>
    <t>2 маш (Приложение 1) Литва</t>
  </si>
  <si>
    <t>3 маш (Приложение 1) Литва</t>
  </si>
  <si>
    <t>4 маш (Приложение 1) Литва</t>
  </si>
  <si>
    <t>5 маш (Приложение 1) Литва</t>
  </si>
  <si>
    <t>1 конт (Приложение 5)</t>
  </si>
  <si>
    <t>2 конт (Приложение 5)</t>
  </si>
  <si>
    <t>3 конт (Приложение 5)</t>
  </si>
  <si>
    <t>4 конт (Приложение 5)</t>
  </si>
  <si>
    <t>6 маш (Приложение 1) Литва</t>
  </si>
  <si>
    <t>7 маш (Приложение 1) Литва</t>
  </si>
  <si>
    <t>8 маш (Приложение 1) Литва</t>
  </si>
  <si>
    <t>9 маш (Приложение 1) Литва</t>
  </si>
  <si>
    <t>10 маш (Приложение 1) Литва</t>
  </si>
  <si>
    <t>1 конт (Приложение 6)</t>
  </si>
  <si>
    <t>2 конт (Приложение 6)</t>
  </si>
  <si>
    <t>3 конт (Приложение 6)</t>
  </si>
  <si>
    <t>4 конт (Приложение 6)</t>
  </si>
  <si>
    <t>1 конт (Приложение 20)</t>
  </si>
  <si>
    <t>2 конт (Приложение 20)</t>
  </si>
  <si>
    <t>3 конт (Приложение 21)</t>
  </si>
  <si>
    <t>4 конт (Приложение 21)</t>
  </si>
  <si>
    <t>1 конт (Приложение 9)</t>
  </si>
  <si>
    <t>2 конт (Приложение 9)</t>
  </si>
  <si>
    <t>3 конт (Приложение 9)</t>
  </si>
  <si>
    <t>4 конт (Приложение 9)</t>
  </si>
  <si>
    <t>1 конт (Приложение 12)</t>
  </si>
  <si>
    <t>2 конт (Приложение 12)</t>
  </si>
  <si>
    <t>3 конт (Приложение 12)</t>
  </si>
  <si>
    <t>4 конт (Приложение 12)</t>
  </si>
  <si>
    <t>1 конт (Приложение 22)</t>
  </si>
  <si>
    <t>1 конт (Приложение 11)</t>
  </si>
  <si>
    <t>2 конт (Приложение 11)</t>
  </si>
  <si>
    <t>3 конт (Приложение 11)</t>
  </si>
  <si>
    <t>2 конт (Приложение 22)</t>
  </si>
  <si>
    <t>3 конт (Приложение 22)</t>
  </si>
  <si>
    <t>4 конт (Приложение 22)</t>
  </si>
  <si>
    <t>4 конт (Приложение 11)</t>
  </si>
  <si>
    <t>1 Вагон Приложение 1 Литва</t>
  </si>
  <si>
    <t>1 Машина Приложение 1 Литва</t>
  </si>
  <si>
    <t>2 Машина Приложение 1 Литва</t>
  </si>
  <si>
    <t>1 конт (Приложение 24)</t>
  </si>
  <si>
    <t>1 конт (Приложение 23)</t>
  </si>
  <si>
    <t>2 конт (Приложение 23)</t>
  </si>
  <si>
    <t>2 конт (Приложение 24)</t>
  </si>
  <si>
    <t>Аккорд</t>
  </si>
  <si>
    <t>1 Вагон Приложение 2 Литва</t>
  </si>
  <si>
    <t>2 Вагон Приложение 2 Литва</t>
  </si>
  <si>
    <t>1 Машина Приложение 2 Литва</t>
  </si>
  <si>
    <t>2 Машина Приложение 2 Литва</t>
  </si>
  <si>
    <t>1 конт (Приложение 25)</t>
  </si>
  <si>
    <t>2 конт (Приложение 25)</t>
  </si>
  <si>
    <t>Радиаторы</t>
  </si>
  <si>
    <t>ЦМА</t>
  </si>
  <si>
    <t>1 конт (Приложение 29)</t>
  </si>
  <si>
    <t>2 конт (Приложение 29)</t>
  </si>
  <si>
    <t>3 конт (Приложение 29)</t>
  </si>
  <si>
    <t>4 конт (Приложение 29)</t>
  </si>
  <si>
    <t>1 конт (Приложение 14)</t>
  </si>
  <si>
    <t>2 конт (Приложение 14)</t>
  </si>
  <si>
    <t>3 конт (Приложение 14)</t>
  </si>
  <si>
    <t>4 конт (Приложение 14)</t>
  </si>
  <si>
    <t>1 конт (Приложение 26)</t>
  </si>
  <si>
    <t>2 конт (Приложение 26)</t>
  </si>
  <si>
    <t>3 вагон</t>
  </si>
  <si>
    <t>Тримет</t>
  </si>
  <si>
    <t>Сортировка Меди и Латуни</t>
  </si>
  <si>
    <t>Наименование бригады</t>
  </si>
  <si>
    <t>Начислено</t>
  </si>
  <si>
    <t>Округление</t>
  </si>
  <si>
    <t xml:space="preserve">Итого </t>
  </si>
  <si>
    <t>Подпись</t>
  </si>
  <si>
    <t xml:space="preserve">Частичная </t>
  </si>
  <si>
    <t>Вес</t>
  </si>
  <si>
    <t>сумма</t>
  </si>
  <si>
    <t>бригадира</t>
  </si>
  <si>
    <t>выплата</t>
  </si>
  <si>
    <t>Сортировщики 1</t>
  </si>
  <si>
    <t>Сортировщики 2</t>
  </si>
  <si>
    <t>Бейников</t>
  </si>
  <si>
    <t>Шарафутдинов</t>
  </si>
  <si>
    <t>Сидоров</t>
  </si>
  <si>
    <t>Борисов</t>
  </si>
  <si>
    <t>Кузьмин</t>
  </si>
  <si>
    <t>Март-Апрель-Май</t>
  </si>
  <si>
    <t>Захаров</t>
  </si>
  <si>
    <t>Выпуск АК5М2 в тоннах</t>
  </si>
  <si>
    <t>Норматив на 1 тонну</t>
  </si>
  <si>
    <t>Выпуск продукции, тонна</t>
  </si>
  <si>
    <t>Расход ломов на 1тн годного</t>
  </si>
  <si>
    <r>
      <t xml:space="preserve">КОММЕРЧЕСКИЕ РАСХОДЫ                                     ( </t>
    </r>
    <r>
      <rPr>
        <i/>
        <sz val="8"/>
        <rFont val="Arial"/>
        <family val="2"/>
        <charset val="204"/>
      </rPr>
      <t>зависят от продаж</t>
    </r>
    <r>
      <rPr>
        <b/>
        <sz val="8"/>
        <rFont val="Arial"/>
        <family val="2"/>
        <charset val="204"/>
      </rPr>
      <t xml:space="preserve">)КОММЕРЧЕСКИЕ РАСХОДЫ                                     ( </t>
    </r>
    <r>
      <rPr>
        <i/>
        <sz val="8"/>
        <rFont val="Arial"/>
        <family val="2"/>
        <charset val="204"/>
      </rPr>
      <t>зависят от продаж</t>
    </r>
    <r>
      <rPr>
        <b/>
        <sz val="8"/>
        <rFont val="Arial"/>
        <family val="2"/>
        <charset val="204"/>
      </rPr>
      <t>)</t>
    </r>
  </si>
  <si>
    <r>
      <t>ПРОИЗВОДСТВЕННЫЕ РАСХОДЫ                            (</t>
    </r>
    <r>
      <rPr>
        <sz val="8"/>
        <rFont val="Arial"/>
        <family val="2"/>
        <charset val="204"/>
      </rPr>
      <t>зависят от выпуска продукции</t>
    </r>
    <r>
      <rPr>
        <b/>
        <sz val="8"/>
        <rFont val="Arial"/>
        <family val="2"/>
        <charset val="204"/>
      </rPr>
      <t>)ПРОИЗВОДСТВЕННЫЕ РАСХОДЫ                            (</t>
    </r>
    <r>
      <rPr>
        <sz val="8"/>
        <rFont val="Arial"/>
        <family val="2"/>
        <charset val="204"/>
      </rPr>
      <t>зависят от выпуска продукции</t>
    </r>
    <r>
      <rPr>
        <b/>
        <sz val="8"/>
        <rFont val="Arial"/>
        <family val="2"/>
        <charset val="204"/>
      </rPr>
      <t>)</t>
    </r>
  </si>
  <si>
    <t>Лома на выпуск</t>
  </si>
  <si>
    <t>Выпуск продукции в тн:</t>
  </si>
  <si>
    <t>150 тонн</t>
  </si>
  <si>
    <t>160 тонн</t>
  </si>
  <si>
    <t>170 тонн</t>
  </si>
  <si>
    <t>180 тонн</t>
  </si>
  <si>
    <t>190 тонн</t>
  </si>
  <si>
    <t>200 тонн</t>
  </si>
  <si>
    <t>210 тонн</t>
  </si>
  <si>
    <t>260 тонн</t>
  </si>
  <si>
    <t>АД31</t>
  </si>
  <si>
    <t>DIN226</t>
  </si>
  <si>
    <t>АК12</t>
  </si>
  <si>
    <t>ЗАТРАТЫ ПО СЫРЬЮ (на 1 тн. годного)</t>
  </si>
  <si>
    <t>Стоимость лома (с учетом метвыхода)</t>
  </si>
  <si>
    <t>Титан</t>
  </si>
  <si>
    <t>Газ природный (на печь)</t>
  </si>
  <si>
    <t>МАРЖА 1 (Цена - сырье) на 1 тн.</t>
  </si>
  <si>
    <t>МАРЖА 2 (Цена - все переменные расходы) на 1 тн.</t>
  </si>
  <si>
    <t>Транспортные расходы (доставка до покупателя)</t>
  </si>
  <si>
    <t>МАРЖА 3 (Цена - переменные и коммерческие расходы) на 1 тн.</t>
  </si>
  <si>
    <t>ПРОЧИЕ ДОХОДЫ (Продажа отходов)</t>
  </si>
  <si>
    <t>Цена</t>
  </si>
  <si>
    <t>Шлак (7%выхода по цене 630$/тн курс 29,2)</t>
  </si>
  <si>
    <t>НДС</t>
  </si>
  <si>
    <t xml:space="preserve">МАРЖА 4 (Цена - переменные и коммерческие расходы+проч. доходы) </t>
  </si>
  <si>
    <t>Прочие расходы 1-й группы (без базы УПС)</t>
  </si>
  <si>
    <t>Прочие расходы 2-й группы (база УПС)</t>
  </si>
</sst>
</file>

<file path=xl/styles.xml><?xml version="1.0" encoding="utf-8"?>
<styleSheet xmlns="http://schemas.openxmlformats.org/spreadsheetml/2006/main">
  <numFmts count="16">
    <numFmt numFmtId="165" formatCode="#,##0&quot;р.&quot;;[Red]\-#,##0&quot;р.&quot;"/>
    <numFmt numFmtId="167" formatCode="#,##0.00&quot;р.&quot;;[Red]\-#,##0.00&quot;р.&quot;"/>
    <numFmt numFmtId="172" formatCode="#,##0.00;[Red]\-#,##0.00"/>
    <numFmt numFmtId="173" formatCode="#,##0;[Red]\-#,##0"/>
    <numFmt numFmtId="174" formatCode="[$$-409]#,##0_ ;[Red]\-[$$-409]#,##0\ "/>
    <numFmt numFmtId="175" formatCode="#,##0.00_р_."/>
    <numFmt numFmtId="176" formatCode="#,##0.0000_ ;[Red]\-#,##0.0000\ "/>
    <numFmt numFmtId="177" formatCode="#,##0_ ;[Red]\-#,##0\ "/>
    <numFmt numFmtId="178" formatCode="#,##0.000_ ;[Red]\-#,##0.000\ "/>
    <numFmt numFmtId="179" formatCode="0.000_ ;[Red]\-0.000\ "/>
    <numFmt numFmtId="180" formatCode="#,##0.00_ ;[Red]\-#,##0.00\ "/>
    <numFmt numFmtId="181" formatCode="[$$-409]#,##0.00_ ;[Red]\-[$$-409]#,##0.00\ "/>
    <numFmt numFmtId="182" formatCode="0_ ;[Red]\-0\ "/>
    <numFmt numFmtId="183" formatCode="#,##0_р_."/>
    <numFmt numFmtId="184" formatCode="#,##0.000"/>
    <numFmt numFmtId="185" formatCode="0.000"/>
  </numFmts>
  <fonts count="107">
    <font>
      <sz val="10"/>
      <name val="Arial"/>
      <family val="2"/>
      <charset val="204"/>
    </font>
    <font>
      <sz val="8"/>
      <name val="Arial"/>
      <family val="2"/>
      <charset val="1"/>
    </font>
    <font>
      <sz val="10"/>
      <name val="Arial Cyr"/>
      <family val="2"/>
      <charset val="204"/>
    </font>
    <font>
      <sz val="10"/>
      <color indexed="12"/>
      <name val="Arial Cyr"/>
      <family val="2"/>
      <charset val="204"/>
    </font>
    <font>
      <sz val="10"/>
      <color indexed="60"/>
      <name val="Arial Cyr"/>
      <family val="2"/>
      <charset val="204"/>
    </font>
    <font>
      <b/>
      <sz val="10"/>
      <name val="Arial Cyr"/>
      <family val="2"/>
      <charset val="204"/>
    </font>
    <font>
      <b/>
      <sz val="10"/>
      <color indexed="60"/>
      <name val="Arial Cyr"/>
      <family val="2"/>
      <charset val="204"/>
    </font>
    <font>
      <b/>
      <sz val="10"/>
      <color indexed="12"/>
      <name val="Arial Cyr"/>
      <family val="2"/>
      <charset val="204"/>
    </font>
    <font>
      <b/>
      <sz val="8"/>
      <name val="Arial Cyr"/>
      <family val="2"/>
      <charset val="204"/>
    </font>
    <font>
      <b/>
      <sz val="8"/>
      <color indexed="12"/>
      <name val="Arial Cyr"/>
      <family val="2"/>
      <charset val="204"/>
    </font>
    <font>
      <b/>
      <sz val="8"/>
      <color indexed="60"/>
      <name val="Arial Cyr"/>
      <family val="2"/>
      <charset val="204"/>
    </font>
    <font>
      <b/>
      <sz val="10"/>
      <name val="Arial"/>
      <family val="2"/>
      <charset val="204"/>
    </font>
    <font>
      <b/>
      <sz val="10"/>
      <color indexed="12"/>
      <name val="Arial"/>
      <family val="2"/>
      <charset val="204"/>
    </font>
    <font>
      <b/>
      <sz val="10"/>
      <color indexed="60"/>
      <name val="Arial"/>
      <family val="2"/>
      <charset val="204"/>
    </font>
    <font>
      <b/>
      <sz val="8"/>
      <name val="Arial"/>
      <family val="2"/>
      <charset val="204"/>
    </font>
    <font>
      <sz val="8"/>
      <color indexed="12"/>
      <name val="Arial"/>
      <family val="2"/>
      <charset val="204"/>
    </font>
    <font>
      <sz val="8"/>
      <color indexed="60"/>
      <name val="Arial"/>
      <family val="2"/>
      <charset val="204"/>
    </font>
    <font>
      <sz val="8"/>
      <name val="Arial"/>
      <family val="2"/>
      <charset val="204"/>
    </font>
    <font>
      <b/>
      <sz val="8"/>
      <color indexed="60"/>
      <name val="Arial"/>
      <family val="2"/>
      <charset val="204"/>
    </font>
    <font>
      <b/>
      <sz val="8"/>
      <color indexed="12"/>
      <name val="Arial"/>
      <family val="2"/>
      <charset val="204"/>
    </font>
    <font>
      <b/>
      <sz val="8"/>
      <color indexed="8"/>
      <name val="Tahoma"/>
      <family val="2"/>
      <charset val="204"/>
    </font>
    <font>
      <b/>
      <sz val="8"/>
      <color indexed="16"/>
      <name val="Arial"/>
      <family val="2"/>
      <charset val="204"/>
    </font>
    <font>
      <b/>
      <sz val="12"/>
      <name val="Arial"/>
      <family val="2"/>
      <charset val="204"/>
    </font>
    <font>
      <i/>
      <sz val="8"/>
      <name val="Arial"/>
      <family val="2"/>
      <charset val="204"/>
    </font>
    <font>
      <sz val="8"/>
      <name val="Arial Cyr"/>
      <family val="2"/>
      <charset val="204"/>
    </font>
    <font>
      <b/>
      <sz val="8"/>
      <color indexed="57"/>
      <name val="Arial"/>
      <family val="2"/>
      <charset val="204"/>
    </font>
    <font>
      <sz val="8"/>
      <color indexed="10"/>
      <name val="Arial"/>
      <family val="2"/>
      <charset val="204"/>
    </font>
    <font>
      <b/>
      <sz val="8"/>
      <color indexed="10"/>
      <name val="Arial"/>
      <family val="2"/>
      <charset val="204"/>
    </font>
    <font>
      <sz val="7"/>
      <name val="Arial"/>
      <family val="2"/>
      <charset val="204"/>
    </font>
    <font>
      <i/>
      <u/>
      <sz val="8"/>
      <name val="Arial"/>
      <family val="2"/>
      <charset val="204"/>
    </font>
    <font>
      <i/>
      <u/>
      <sz val="7"/>
      <name val="Arial"/>
      <family val="2"/>
      <charset val="204"/>
    </font>
    <font>
      <b/>
      <sz val="8"/>
      <color indexed="17"/>
      <name val="Arial"/>
      <family val="2"/>
      <charset val="204"/>
    </font>
    <font>
      <b/>
      <sz val="7"/>
      <name val="Arial"/>
      <family val="2"/>
      <charset val="204"/>
    </font>
    <font>
      <b/>
      <sz val="10"/>
      <color indexed="16"/>
      <name val="Arial"/>
      <family val="2"/>
      <charset val="204"/>
    </font>
    <font>
      <sz val="8"/>
      <color indexed="16"/>
      <name val="Arial"/>
      <family val="2"/>
      <charset val="204"/>
    </font>
    <font>
      <sz val="8"/>
      <color indexed="12"/>
      <name val="Arial Cyr"/>
      <family val="2"/>
      <charset val="204"/>
    </font>
    <font>
      <sz val="8"/>
      <color indexed="16"/>
      <name val="Arial Cyr"/>
      <family val="2"/>
      <charset val="204"/>
    </font>
    <font>
      <sz val="8"/>
      <color indexed="8"/>
      <name val="Tahoma"/>
      <family val="2"/>
      <charset val="204"/>
    </font>
    <font>
      <b/>
      <sz val="7"/>
      <color indexed="10"/>
      <name val="Arial"/>
      <family val="2"/>
      <charset val="204"/>
    </font>
    <font>
      <sz val="7"/>
      <color indexed="16"/>
      <name val="Arial"/>
      <family val="2"/>
      <charset val="204"/>
    </font>
    <font>
      <sz val="8"/>
      <color indexed="18"/>
      <name val="Arial"/>
      <family val="2"/>
      <charset val="204"/>
    </font>
    <font>
      <sz val="8"/>
      <color indexed="20"/>
      <name val="Arial"/>
      <family val="2"/>
      <charset val="204"/>
    </font>
    <font>
      <b/>
      <sz val="14"/>
      <name val="Arial"/>
      <family val="2"/>
      <charset val="204"/>
    </font>
    <font>
      <b/>
      <sz val="8"/>
      <color indexed="18"/>
      <name val="Arial"/>
      <family val="2"/>
      <charset val="204"/>
    </font>
    <font>
      <b/>
      <sz val="8"/>
      <color indexed="20"/>
      <name val="Arial"/>
      <family val="2"/>
      <charset val="204"/>
    </font>
    <font>
      <b/>
      <sz val="10"/>
      <color indexed="20"/>
      <name val="Arial"/>
      <family val="2"/>
      <charset val="204"/>
    </font>
    <font>
      <sz val="8"/>
      <color indexed="17"/>
      <name val="Arial"/>
      <family val="2"/>
      <charset val="204"/>
    </font>
    <font>
      <sz val="10"/>
      <color indexed="16"/>
      <name val="Arial"/>
      <family val="2"/>
      <charset val="204"/>
    </font>
    <font>
      <sz val="10"/>
      <color indexed="12"/>
      <name val="Arial"/>
      <family val="2"/>
      <charset val="204"/>
    </font>
    <font>
      <b/>
      <sz val="10"/>
      <color indexed="17"/>
      <name val="Arial"/>
      <family val="2"/>
      <charset val="204"/>
    </font>
    <font>
      <sz val="10"/>
      <color indexed="17"/>
      <name val="Arial"/>
      <family val="2"/>
      <charset val="204"/>
    </font>
    <font>
      <b/>
      <sz val="10"/>
      <color indexed="18"/>
      <name val="Arial"/>
      <family val="2"/>
      <charset val="204"/>
    </font>
    <font>
      <sz val="10"/>
      <color indexed="60"/>
      <name val="Arial"/>
      <family val="2"/>
      <charset val="204"/>
    </font>
    <font>
      <sz val="10"/>
      <color indexed="18"/>
      <name val="Arial"/>
      <family val="2"/>
      <charset val="204"/>
    </font>
    <font>
      <b/>
      <sz val="8"/>
      <color indexed="62"/>
      <name val="Arial"/>
      <family val="2"/>
      <charset val="204"/>
    </font>
    <font>
      <b/>
      <sz val="10"/>
      <color indexed="62"/>
      <name val="Arial"/>
      <family val="2"/>
      <charset val="204"/>
    </font>
    <font>
      <b/>
      <sz val="8"/>
      <color indexed="58"/>
      <name val="Arial"/>
      <family val="2"/>
      <charset val="204"/>
    </font>
    <font>
      <sz val="8"/>
      <color indexed="58"/>
      <name val="Arial"/>
      <family val="2"/>
      <charset val="204"/>
    </font>
    <font>
      <b/>
      <sz val="10"/>
      <color indexed="58"/>
      <name val="Arial"/>
      <family val="2"/>
      <charset val="204"/>
    </font>
    <font>
      <sz val="10"/>
      <color indexed="58"/>
      <name val="Arial"/>
      <family val="2"/>
      <charset val="204"/>
    </font>
    <font>
      <b/>
      <sz val="11"/>
      <color indexed="12"/>
      <name val="Arial Cyr"/>
      <family val="2"/>
      <charset val="204"/>
    </font>
    <font>
      <i/>
      <sz val="9"/>
      <name val="Arial Cyr"/>
      <family val="2"/>
      <charset val="204"/>
    </font>
    <font>
      <i/>
      <sz val="10"/>
      <color indexed="16"/>
      <name val="Arial Cyr"/>
      <family val="2"/>
      <charset val="204"/>
    </font>
    <font>
      <b/>
      <sz val="11"/>
      <color indexed="16"/>
      <name val="Arial Cyr"/>
      <family val="2"/>
      <charset val="204"/>
    </font>
    <font>
      <b/>
      <i/>
      <sz val="9"/>
      <name val="Arial Cyr"/>
      <family val="2"/>
      <charset val="204"/>
    </font>
    <font>
      <b/>
      <i/>
      <sz val="10"/>
      <color indexed="16"/>
      <name val="Arial Cyr"/>
      <family val="2"/>
      <charset val="204"/>
    </font>
    <font>
      <b/>
      <sz val="10"/>
      <color indexed="58"/>
      <name val="Arial Cyr"/>
      <family val="2"/>
      <charset val="204"/>
    </font>
    <font>
      <b/>
      <i/>
      <sz val="9"/>
      <color indexed="58"/>
      <name val="Arial Cyr"/>
      <family val="2"/>
      <charset val="204"/>
    </font>
    <font>
      <b/>
      <i/>
      <sz val="9"/>
      <color indexed="12"/>
      <name val="Arial Cyr"/>
      <family val="2"/>
      <charset val="204"/>
    </font>
    <font>
      <b/>
      <i/>
      <sz val="9"/>
      <color indexed="16"/>
      <name val="Arial Cyr"/>
      <family val="2"/>
      <charset val="204"/>
    </font>
    <font>
      <i/>
      <sz val="8"/>
      <name val="Arial Cyr"/>
      <family val="2"/>
      <charset val="204"/>
    </font>
    <font>
      <i/>
      <sz val="8"/>
      <color indexed="16"/>
      <name val="Arial Cyr"/>
      <family val="2"/>
      <charset val="204"/>
    </font>
    <font>
      <b/>
      <i/>
      <sz val="11"/>
      <color indexed="16"/>
      <name val="Arial Cyr"/>
      <family val="2"/>
      <charset val="204"/>
    </font>
    <font>
      <b/>
      <i/>
      <sz val="11"/>
      <color indexed="38"/>
      <name val="Arial Cyr"/>
      <family val="2"/>
      <charset val="204"/>
    </font>
    <font>
      <i/>
      <sz val="9"/>
      <color indexed="16"/>
      <name val="Arial Cyr"/>
      <family val="2"/>
      <charset val="204"/>
    </font>
    <font>
      <b/>
      <i/>
      <sz val="8"/>
      <color indexed="16"/>
      <name val="Arial Cyr"/>
      <family val="2"/>
      <charset val="204"/>
    </font>
    <font>
      <b/>
      <sz val="10"/>
      <color indexed="16"/>
      <name val="Arial Cyr"/>
      <family val="2"/>
      <charset val="204"/>
    </font>
    <font>
      <sz val="10"/>
      <color indexed="16"/>
      <name val="Arial Cyr"/>
      <family val="2"/>
      <charset val="204"/>
    </font>
    <font>
      <b/>
      <i/>
      <sz val="10"/>
      <color indexed="12"/>
      <name val="Arial Cyr"/>
      <family val="2"/>
      <charset val="204"/>
    </font>
    <font>
      <i/>
      <sz val="9"/>
      <color indexed="12"/>
      <name val="Arial Cyr"/>
      <family val="2"/>
      <charset val="204"/>
    </font>
    <font>
      <i/>
      <sz val="10"/>
      <color indexed="12"/>
      <name val="Arial Cyr"/>
      <family val="2"/>
      <charset val="204"/>
    </font>
    <font>
      <b/>
      <i/>
      <sz val="8"/>
      <color indexed="12"/>
      <name val="Arial Cyr"/>
      <family val="2"/>
      <charset val="204"/>
    </font>
    <font>
      <b/>
      <i/>
      <sz val="8"/>
      <color indexed="60"/>
      <name val="Arial Cyr"/>
      <family val="2"/>
      <charset val="204"/>
    </font>
    <font>
      <b/>
      <i/>
      <sz val="9"/>
      <color indexed="60"/>
      <name val="Arial Cyr"/>
      <family val="2"/>
      <charset val="204"/>
    </font>
    <font>
      <b/>
      <i/>
      <sz val="10"/>
      <color indexed="60"/>
      <name val="Arial Cyr"/>
      <family val="2"/>
      <charset val="204"/>
    </font>
    <font>
      <i/>
      <sz val="8"/>
      <color indexed="56"/>
      <name val="Arial Cyr"/>
      <family val="2"/>
      <charset val="204"/>
    </font>
    <font>
      <i/>
      <sz val="8"/>
      <color indexed="12"/>
      <name val="Arial Cyr"/>
      <family val="2"/>
      <charset val="204"/>
    </font>
    <font>
      <b/>
      <i/>
      <sz val="8"/>
      <color indexed="16"/>
      <name val="Arial"/>
      <family val="2"/>
      <charset val="204"/>
    </font>
    <font>
      <i/>
      <sz val="8"/>
      <color indexed="12"/>
      <name val="Arial"/>
      <family val="2"/>
      <charset val="204"/>
    </font>
    <font>
      <sz val="8"/>
      <color indexed="10"/>
      <name val="Arial Cyr"/>
      <family val="2"/>
      <charset val="204"/>
    </font>
    <font>
      <i/>
      <sz val="8"/>
      <color indexed="10"/>
      <name val="Arial"/>
      <family val="2"/>
      <charset val="204"/>
    </font>
    <font>
      <sz val="10"/>
      <color indexed="10"/>
      <name val="Arial Cyr"/>
      <family val="2"/>
      <charset val="204"/>
    </font>
    <font>
      <i/>
      <sz val="9"/>
      <color indexed="10"/>
      <name val="Arial Cyr"/>
      <family val="2"/>
      <charset val="204"/>
    </font>
    <font>
      <b/>
      <sz val="10"/>
      <color indexed="10"/>
      <name val="Arial Cyr"/>
      <family val="2"/>
      <charset val="204"/>
    </font>
    <font>
      <b/>
      <i/>
      <sz val="10"/>
      <color indexed="10"/>
      <name val="Arial Cyr"/>
      <family val="2"/>
      <charset val="204"/>
    </font>
    <font>
      <b/>
      <i/>
      <sz val="8"/>
      <color indexed="10"/>
      <name val="Arial"/>
      <family val="2"/>
      <charset val="204"/>
    </font>
    <font>
      <sz val="8"/>
      <color indexed="60"/>
      <name val="Arial Cyr"/>
      <family val="2"/>
      <charset val="204"/>
    </font>
    <font>
      <i/>
      <sz val="10"/>
      <color indexed="60"/>
      <name val="Arial Cyr"/>
      <family val="2"/>
      <charset val="204"/>
    </font>
    <font>
      <b/>
      <sz val="9"/>
      <color indexed="8"/>
      <name val="Tahoma"/>
      <family val="2"/>
      <charset val="204"/>
    </font>
    <font>
      <sz val="9"/>
      <color indexed="8"/>
      <name val="Tahoma"/>
      <family val="2"/>
      <charset val="204"/>
    </font>
    <font>
      <b/>
      <sz val="12"/>
      <name val="Arial Cyr"/>
      <family val="2"/>
      <charset val="204"/>
    </font>
    <font>
      <sz val="12"/>
      <name val="Arial Cyr"/>
      <family val="2"/>
      <charset val="204"/>
    </font>
    <font>
      <b/>
      <sz val="11"/>
      <color indexed="58"/>
      <name val="Arial Cyr"/>
      <family val="2"/>
      <charset val="204"/>
    </font>
    <font>
      <sz val="11"/>
      <name val="Arial Cyr"/>
      <family val="2"/>
      <charset val="204"/>
    </font>
    <font>
      <b/>
      <i/>
      <sz val="11"/>
      <color indexed="12"/>
      <name val="Arial Cyr"/>
      <family val="2"/>
      <charset val="204"/>
    </font>
    <font>
      <i/>
      <sz val="10"/>
      <color indexed="16"/>
      <name val="Arial"/>
      <family val="2"/>
      <charset val="204"/>
    </font>
    <font>
      <b/>
      <sz val="9"/>
      <color indexed="81"/>
      <name val="Tahoma"/>
      <family val="2"/>
      <charset val="204"/>
    </font>
  </fonts>
  <fills count="29">
    <fill>
      <patternFill patternType="none"/>
    </fill>
    <fill>
      <patternFill patternType="gray125"/>
    </fill>
    <fill>
      <patternFill patternType="solid">
        <fgColor indexed="50"/>
        <bgColor indexed="19"/>
      </patternFill>
    </fill>
    <fill>
      <patternFill patternType="solid">
        <fgColor indexed="51"/>
        <bgColor indexed="34"/>
      </patternFill>
    </fill>
    <fill>
      <patternFill patternType="solid">
        <fgColor indexed="42"/>
        <bgColor indexed="27"/>
      </patternFill>
    </fill>
    <fill>
      <patternFill patternType="solid">
        <fgColor indexed="60"/>
        <bgColor indexed="61"/>
      </patternFill>
    </fill>
    <fill>
      <patternFill patternType="solid">
        <fgColor indexed="43"/>
        <bgColor indexed="26"/>
      </patternFill>
    </fill>
    <fill>
      <patternFill patternType="solid">
        <fgColor indexed="27"/>
        <bgColor indexed="41"/>
      </patternFill>
    </fill>
    <fill>
      <patternFill patternType="solid">
        <fgColor indexed="44"/>
        <bgColor indexed="31"/>
      </patternFill>
    </fill>
    <fill>
      <patternFill patternType="solid">
        <fgColor indexed="35"/>
        <bgColor indexed="59"/>
      </patternFill>
    </fill>
    <fill>
      <patternFill patternType="solid">
        <fgColor indexed="34"/>
        <bgColor indexed="51"/>
      </patternFill>
    </fill>
    <fill>
      <patternFill patternType="solid">
        <fgColor indexed="15"/>
        <bgColor indexed="40"/>
      </patternFill>
    </fill>
    <fill>
      <patternFill patternType="solid">
        <fgColor indexed="40"/>
        <bgColor indexed="49"/>
      </patternFill>
    </fill>
    <fill>
      <patternFill patternType="solid">
        <fgColor indexed="45"/>
        <bgColor indexed="29"/>
      </patternFill>
    </fill>
    <fill>
      <patternFill patternType="solid">
        <fgColor indexed="46"/>
        <bgColor indexed="29"/>
      </patternFill>
    </fill>
    <fill>
      <patternFill patternType="solid">
        <fgColor indexed="17"/>
        <bgColor indexed="38"/>
      </patternFill>
    </fill>
    <fill>
      <patternFill patternType="solid">
        <fgColor indexed="13"/>
        <bgColor indexed="51"/>
      </patternFill>
    </fill>
    <fill>
      <patternFill patternType="solid">
        <fgColor indexed="29"/>
        <bgColor indexed="45"/>
      </patternFill>
    </fill>
    <fill>
      <patternFill patternType="solid">
        <fgColor indexed="8"/>
        <bgColor indexed="58"/>
      </patternFill>
    </fill>
    <fill>
      <patternFill patternType="solid">
        <fgColor indexed="31"/>
        <bgColor indexed="22"/>
      </patternFill>
    </fill>
    <fill>
      <patternFill patternType="solid">
        <fgColor indexed="26"/>
        <bgColor indexed="9"/>
      </patternFill>
    </fill>
    <fill>
      <patternFill patternType="solid">
        <fgColor indexed="52"/>
        <bgColor indexed="53"/>
      </patternFill>
    </fill>
    <fill>
      <patternFill patternType="solid">
        <fgColor indexed="21"/>
        <bgColor indexed="57"/>
      </patternFill>
    </fill>
    <fill>
      <patternFill patternType="solid">
        <fgColor indexed="11"/>
        <bgColor indexed="21"/>
      </patternFill>
    </fill>
    <fill>
      <patternFill patternType="solid">
        <fgColor indexed="19"/>
        <bgColor indexed="50"/>
      </patternFill>
    </fill>
    <fill>
      <patternFill patternType="solid">
        <fgColor indexed="47"/>
        <bgColor indexed="22"/>
      </patternFill>
    </fill>
    <fill>
      <patternFill patternType="solid">
        <fgColor indexed="41"/>
        <bgColor indexed="27"/>
      </patternFill>
    </fill>
    <fill>
      <patternFill patternType="solid">
        <fgColor rgb="FF66FFFF"/>
        <bgColor indexed="29"/>
      </patternFill>
    </fill>
    <fill>
      <patternFill patternType="solid">
        <fgColor rgb="FFFF99FF"/>
        <bgColor indexed="29"/>
      </patternFill>
    </fill>
  </fills>
  <borders count="82">
    <border>
      <left/>
      <right/>
      <top/>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bottom/>
      <diagonal/>
    </border>
    <border>
      <left style="thin">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medium">
        <color indexed="8"/>
      </bottom>
      <diagonal/>
    </border>
    <border>
      <left style="medium">
        <color indexed="8"/>
      </left>
      <right/>
      <top style="thin">
        <color indexed="8"/>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bottom style="thin">
        <color indexed="8"/>
      </bottom>
      <diagonal/>
    </border>
    <border>
      <left style="medium">
        <color indexed="8"/>
      </left>
      <right style="thin">
        <color indexed="8"/>
      </right>
      <top style="thin">
        <color indexed="8"/>
      </top>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style="thin">
        <color indexed="8"/>
      </bottom>
      <diagonal/>
    </border>
    <border>
      <left style="medium">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diagonal/>
    </border>
    <border>
      <left/>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top/>
      <bottom/>
      <diagonal/>
    </border>
    <border>
      <left style="medium">
        <color indexed="8"/>
      </left>
      <right style="thin">
        <color indexed="8"/>
      </right>
      <top/>
      <bottom/>
      <diagonal/>
    </border>
    <border>
      <left style="thin">
        <color indexed="8"/>
      </left>
      <right style="medium">
        <color indexed="8"/>
      </right>
      <top/>
      <bottom/>
      <diagonal/>
    </border>
    <border>
      <left/>
      <right style="medium">
        <color indexed="8"/>
      </right>
      <top/>
      <bottom/>
      <diagonal/>
    </border>
    <border>
      <left/>
      <right/>
      <top/>
      <bottom style="thin">
        <color indexed="8"/>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style="thin">
        <color indexed="60"/>
      </left>
      <right style="thin">
        <color indexed="60"/>
      </right>
      <top style="thin">
        <color indexed="60"/>
      </top>
      <bottom style="thin">
        <color indexed="60"/>
      </bottom>
      <diagonal/>
    </border>
  </borders>
  <cellStyleXfs count="3">
    <xf numFmtId="0" fontId="0" fillId="0" borderId="0"/>
    <xf numFmtId="0" fontId="2" fillId="0" borderId="0"/>
    <xf numFmtId="0" fontId="1" fillId="0" borderId="0"/>
  </cellStyleXfs>
  <cellXfs count="1655">
    <xf numFmtId="0" fontId="0" fillId="0" borderId="0" xfId="0"/>
    <xf numFmtId="0" fontId="2" fillId="0" borderId="0" xfId="1"/>
    <xf numFmtId="172" fontId="3" fillId="0" borderId="0" xfId="1" applyNumberFormat="1" applyFont="1" applyAlignment="1">
      <alignment horizontal="right" vertical="center"/>
    </xf>
    <xf numFmtId="172" fontId="4" fillId="0" borderId="0" xfId="1" applyNumberFormat="1" applyFont="1" applyAlignment="1">
      <alignment horizontal="right" vertical="center"/>
    </xf>
    <xf numFmtId="172" fontId="2" fillId="0" borderId="0" xfId="1" applyNumberFormat="1" applyAlignment="1">
      <alignment horizontal="right" vertical="center"/>
    </xf>
    <xf numFmtId="172" fontId="5" fillId="0" borderId="0" xfId="1" applyNumberFormat="1" applyFont="1" applyAlignment="1">
      <alignment horizontal="right" vertical="center"/>
    </xf>
    <xf numFmtId="172" fontId="6" fillId="0" borderId="0" xfId="1" applyNumberFormat="1" applyFont="1" applyAlignment="1">
      <alignment horizontal="right" vertical="center"/>
    </xf>
    <xf numFmtId="173" fontId="7" fillId="0" borderId="0" xfId="1" applyNumberFormat="1" applyFont="1" applyAlignment="1">
      <alignment horizontal="right" vertical="center"/>
    </xf>
    <xf numFmtId="0" fontId="2" fillId="0" borderId="0" xfId="1" applyAlignment="1">
      <alignment horizontal="center"/>
    </xf>
    <xf numFmtId="172" fontId="3" fillId="0" borderId="2" xfId="1" applyNumberFormat="1" applyFont="1" applyBorder="1" applyAlignment="1">
      <alignment horizontal="center" vertical="center"/>
    </xf>
    <xf numFmtId="172" fontId="4" fillId="0" borderId="3" xfId="1" applyNumberFormat="1" applyFont="1" applyBorder="1" applyAlignment="1">
      <alignment horizontal="center" vertical="center"/>
    </xf>
    <xf numFmtId="172" fontId="2" fillId="0" borderId="3" xfId="1" applyNumberFormat="1" applyBorder="1" applyAlignment="1">
      <alignment horizontal="center" vertical="center"/>
    </xf>
    <xf numFmtId="172" fontId="7" fillId="0" borderId="2" xfId="1" applyNumberFormat="1" applyFont="1" applyBorder="1" applyAlignment="1">
      <alignment horizontal="center" vertical="center"/>
    </xf>
    <xf numFmtId="172" fontId="6" fillId="0" borderId="3" xfId="1" applyNumberFormat="1" applyFont="1" applyBorder="1" applyAlignment="1">
      <alignment horizontal="center" vertical="center"/>
    </xf>
    <xf numFmtId="172" fontId="5" fillId="0" borderId="4" xfId="1" applyNumberFormat="1" applyFont="1" applyBorder="1" applyAlignment="1">
      <alignment horizontal="center" vertical="center"/>
    </xf>
    <xf numFmtId="172" fontId="5" fillId="0" borderId="5" xfId="1" applyNumberFormat="1" applyFont="1" applyBorder="1" applyAlignment="1">
      <alignment horizontal="center" vertical="center"/>
    </xf>
    <xf numFmtId="172" fontId="5" fillId="0" borderId="0" xfId="1" applyNumberFormat="1" applyFont="1" applyBorder="1" applyAlignment="1">
      <alignment horizontal="center" vertical="center"/>
    </xf>
    <xf numFmtId="173" fontId="7" fillId="0" borderId="0" xfId="1" applyNumberFormat="1" applyFont="1" applyBorder="1" applyAlignment="1">
      <alignment horizontal="center" vertical="center"/>
    </xf>
    <xf numFmtId="0" fontId="8" fillId="0" borderId="0" xfId="1" applyFont="1" applyAlignment="1">
      <alignment horizontal="center" vertical="center" wrapText="1"/>
    </xf>
    <xf numFmtId="172" fontId="9" fillId="0" borderId="6" xfId="1" applyNumberFormat="1" applyFont="1" applyBorder="1" applyAlignment="1">
      <alignment horizontal="center" vertical="center" wrapText="1"/>
    </xf>
    <xf numFmtId="172" fontId="10" fillId="0" borderId="7" xfId="1" applyNumberFormat="1" applyFont="1" applyBorder="1" applyAlignment="1">
      <alignment horizontal="center" vertical="center" wrapText="1"/>
    </xf>
    <xf numFmtId="172" fontId="8" fillId="0" borderId="7" xfId="1" applyNumberFormat="1" applyFont="1" applyBorder="1" applyAlignment="1">
      <alignment horizontal="center" vertical="center" wrapText="1"/>
    </xf>
    <xf numFmtId="172" fontId="8" fillId="0" borderId="0" xfId="1" applyNumberFormat="1" applyFont="1" applyBorder="1" applyAlignment="1">
      <alignment horizontal="center" vertical="center" wrapText="1"/>
    </xf>
    <xf numFmtId="173" fontId="9" fillId="0" borderId="1" xfId="1" applyNumberFormat="1" applyFont="1" applyBorder="1" applyAlignment="1">
      <alignment horizontal="center" vertical="center" wrapText="1"/>
    </xf>
    <xf numFmtId="0" fontId="10" fillId="0" borderId="0" xfId="1" applyFont="1" applyAlignment="1">
      <alignment horizontal="center" vertical="center" wrapText="1"/>
    </xf>
    <xf numFmtId="172" fontId="10" fillId="0" borderId="8" xfId="1" applyNumberFormat="1" applyFont="1" applyBorder="1" applyAlignment="1">
      <alignment horizontal="center" vertical="center" wrapText="1"/>
    </xf>
    <xf numFmtId="172" fontId="10" fillId="0" borderId="9" xfId="1" applyNumberFormat="1" applyFont="1" applyBorder="1" applyAlignment="1">
      <alignment horizontal="center" vertical="center" wrapText="1"/>
    </xf>
    <xf numFmtId="172" fontId="10" fillId="0" borderId="0" xfId="1" applyNumberFormat="1" applyFont="1" applyBorder="1" applyAlignment="1">
      <alignment horizontal="center" vertical="center" wrapText="1"/>
    </xf>
    <xf numFmtId="0" fontId="11" fillId="2" borderId="10" xfId="1" applyNumberFormat="1" applyFont="1" applyFill="1" applyBorder="1" applyAlignment="1">
      <alignment horizontal="center" vertical="center" wrapText="1"/>
    </xf>
    <xf numFmtId="172" fontId="12" fillId="2" borderId="11" xfId="1" applyNumberFormat="1" applyFont="1" applyFill="1" applyBorder="1" applyAlignment="1">
      <alignment horizontal="right" vertical="center" wrapText="1"/>
    </xf>
    <xf numFmtId="10" fontId="13" fillId="2" borderId="11" xfId="1" applyNumberFormat="1" applyFont="1" applyFill="1" applyBorder="1" applyAlignment="1">
      <alignment horizontal="right" vertical="center" wrapText="1"/>
    </xf>
    <xf numFmtId="10" fontId="11" fillId="2" borderId="11" xfId="1" applyNumberFormat="1" applyFont="1" applyFill="1" applyBorder="1" applyAlignment="1">
      <alignment horizontal="right" vertical="center" wrapText="1"/>
    </xf>
    <xf numFmtId="10" fontId="11" fillId="2" borderId="0" xfId="1" applyNumberFormat="1" applyFont="1" applyFill="1" applyBorder="1" applyAlignment="1">
      <alignment horizontal="right" vertical="center" wrapText="1"/>
    </xf>
    <xf numFmtId="0" fontId="2" fillId="0" borderId="0" xfId="1" applyFont="1"/>
    <xf numFmtId="173" fontId="13" fillId="2" borderId="11" xfId="1" applyNumberFormat="1" applyFont="1" applyFill="1" applyBorder="1" applyAlignment="1">
      <alignment horizontal="right" vertical="center" wrapText="1"/>
    </xf>
    <xf numFmtId="173" fontId="12" fillId="2" borderId="1" xfId="1" applyNumberFormat="1" applyFont="1" applyFill="1" applyBorder="1" applyAlignment="1">
      <alignment horizontal="right" vertical="center" wrapText="1"/>
    </xf>
    <xf numFmtId="0" fontId="11" fillId="3" borderId="10" xfId="1" applyNumberFormat="1" applyFont="1" applyFill="1" applyBorder="1" applyAlignment="1">
      <alignment horizontal="center" vertical="center" wrapText="1"/>
    </xf>
    <xf numFmtId="172" fontId="12" fillId="3" borderId="1" xfId="1" applyNumberFormat="1" applyFont="1" applyFill="1" applyBorder="1" applyAlignment="1">
      <alignment horizontal="right" vertical="center" wrapText="1"/>
    </xf>
    <xf numFmtId="10" fontId="13" fillId="3" borderId="1" xfId="1" applyNumberFormat="1" applyFont="1" applyFill="1" applyBorder="1" applyAlignment="1">
      <alignment horizontal="right" vertical="center" wrapText="1"/>
    </xf>
    <xf numFmtId="10" fontId="11" fillId="3" borderId="1" xfId="1" applyNumberFormat="1" applyFont="1" applyFill="1" applyBorder="1" applyAlignment="1">
      <alignment horizontal="right" vertical="center" wrapText="1"/>
    </xf>
    <xf numFmtId="10" fontId="11" fillId="3" borderId="0" xfId="1" applyNumberFormat="1" applyFont="1" applyFill="1" applyBorder="1" applyAlignment="1">
      <alignment horizontal="right" vertical="center" wrapText="1"/>
    </xf>
    <xf numFmtId="173" fontId="12" fillId="3" borderId="1" xfId="1" applyNumberFormat="1" applyFont="1" applyFill="1" applyBorder="1" applyAlignment="1">
      <alignment horizontal="right" vertical="center" wrapText="1"/>
    </xf>
    <xf numFmtId="0" fontId="14" fillId="0" borderId="12" xfId="1" applyNumberFormat="1" applyFont="1" applyBorder="1" applyAlignment="1">
      <alignment horizontal="left" vertical="top" wrapText="1" indent="2"/>
    </xf>
    <xf numFmtId="172" fontId="15" fillId="0" borderId="1" xfId="1" applyNumberFormat="1" applyFont="1" applyBorder="1" applyAlignment="1">
      <alignment horizontal="right" vertical="center" wrapText="1"/>
    </xf>
    <xf numFmtId="10" fontId="16" fillId="0" borderId="1" xfId="1" applyNumberFormat="1" applyFont="1" applyBorder="1" applyAlignment="1">
      <alignment horizontal="right" vertical="center" wrapText="1"/>
    </xf>
    <xf numFmtId="10" fontId="17"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10" fontId="14" fillId="0" borderId="1" xfId="1" applyNumberFormat="1" applyFont="1" applyBorder="1" applyAlignment="1">
      <alignment horizontal="right" vertical="center" wrapText="1"/>
    </xf>
    <xf numFmtId="10" fontId="14" fillId="0" borderId="0" xfId="1" applyNumberFormat="1" applyFont="1" applyBorder="1" applyAlignment="1">
      <alignment horizontal="right" vertical="center" wrapText="1"/>
    </xf>
    <xf numFmtId="173" fontId="19" fillId="0" borderId="1" xfId="1" applyNumberFormat="1" applyFont="1" applyBorder="1" applyAlignment="1">
      <alignment horizontal="right" vertical="center" wrapText="1"/>
    </xf>
    <xf numFmtId="0" fontId="14" fillId="4" borderId="13" xfId="1" applyNumberFormat="1" applyFont="1" applyFill="1" applyBorder="1" applyAlignment="1">
      <alignment horizontal="left" vertical="top" wrapText="1"/>
    </xf>
    <xf numFmtId="172" fontId="19" fillId="4" borderId="1" xfId="1" applyNumberFormat="1" applyFont="1" applyFill="1" applyBorder="1" applyAlignment="1">
      <alignment horizontal="right" vertical="center" wrapText="1"/>
    </xf>
    <xf numFmtId="10" fontId="18" fillId="4" borderId="1" xfId="1" applyNumberFormat="1" applyFont="1" applyFill="1" applyBorder="1" applyAlignment="1">
      <alignment horizontal="right" vertical="center" wrapText="1"/>
    </xf>
    <xf numFmtId="10" fontId="14" fillId="4" borderId="1" xfId="1" applyNumberFormat="1" applyFont="1" applyFill="1" applyBorder="1" applyAlignment="1">
      <alignment horizontal="right" vertical="center" wrapText="1"/>
    </xf>
    <xf numFmtId="10" fontId="14" fillId="4" borderId="0" xfId="1" applyNumberFormat="1" applyFont="1" applyFill="1" applyBorder="1" applyAlignment="1">
      <alignment horizontal="right" vertical="center" wrapText="1"/>
    </xf>
    <xf numFmtId="173" fontId="19" fillId="4" borderId="1" xfId="1" applyNumberFormat="1" applyFont="1" applyFill="1" applyBorder="1" applyAlignment="1">
      <alignment horizontal="right" vertical="center" wrapText="1"/>
    </xf>
    <xf numFmtId="0" fontId="17" fillId="0" borderId="12" xfId="1" applyNumberFormat="1" applyFont="1" applyBorder="1" applyAlignment="1">
      <alignment horizontal="left" vertical="top" wrapText="1" indent="2"/>
    </xf>
    <xf numFmtId="172" fontId="19" fillId="0" borderId="1" xfId="1" applyNumberFormat="1" applyFont="1" applyBorder="1" applyAlignment="1">
      <alignment horizontal="right" vertical="center" wrapText="1"/>
    </xf>
    <xf numFmtId="173" fontId="19" fillId="5" borderId="1" xfId="1" applyNumberFormat="1" applyFont="1" applyFill="1" applyBorder="1" applyAlignment="1">
      <alignment horizontal="right" vertical="center" wrapText="1"/>
    </xf>
    <xf numFmtId="0" fontId="17" fillId="0" borderId="14" xfId="1" applyNumberFormat="1" applyFont="1" applyBorder="1" applyAlignment="1">
      <alignment horizontal="left" vertical="top" wrapText="1" indent="2"/>
    </xf>
    <xf numFmtId="0" fontId="14" fillId="4" borderId="12" xfId="1" applyNumberFormat="1" applyFont="1" applyFill="1" applyBorder="1" applyAlignment="1">
      <alignment horizontal="left" vertical="top" wrapText="1" indent="1"/>
    </xf>
    <xf numFmtId="165" fontId="14" fillId="4" borderId="1" xfId="1" applyNumberFormat="1" applyFont="1" applyFill="1" applyBorder="1" applyAlignment="1">
      <alignment horizontal="right" vertical="center" wrapText="1"/>
    </xf>
    <xf numFmtId="165" fontId="14" fillId="4" borderId="0" xfId="1" applyNumberFormat="1" applyFont="1" applyFill="1" applyBorder="1" applyAlignment="1">
      <alignment horizontal="right" vertical="center" wrapText="1"/>
    </xf>
    <xf numFmtId="165" fontId="14" fillId="0" borderId="1" xfId="1" applyNumberFormat="1" applyFont="1" applyBorder="1" applyAlignment="1">
      <alignment horizontal="right" vertical="center" wrapText="1"/>
    </xf>
    <xf numFmtId="165" fontId="14" fillId="0" borderId="0" xfId="1" applyNumberFormat="1" applyFont="1" applyBorder="1" applyAlignment="1">
      <alignment horizontal="right" vertical="center" wrapText="1"/>
    </xf>
    <xf numFmtId="0" fontId="14" fillId="6" borderId="12" xfId="1" applyNumberFormat="1" applyFont="1" applyFill="1" applyBorder="1" applyAlignment="1">
      <alignment horizontal="left" vertical="top" wrapText="1" indent="2"/>
    </xf>
    <xf numFmtId="172" fontId="19" fillId="6" borderId="1" xfId="1" applyNumberFormat="1" applyFont="1" applyFill="1" applyBorder="1" applyAlignment="1">
      <alignment horizontal="right" vertical="center" wrapText="1"/>
    </xf>
    <xf numFmtId="10" fontId="18" fillId="6" borderId="1" xfId="1" applyNumberFormat="1" applyFont="1" applyFill="1" applyBorder="1" applyAlignment="1">
      <alignment horizontal="right" vertical="center" wrapText="1"/>
    </xf>
    <xf numFmtId="10" fontId="14" fillId="6" borderId="1" xfId="1" applyNumberFormat="1" applyFont="1" applyFill="1" applyBorder="1" applyAlignment="1">
      <alignment horizontal="right" vertical="center" wrapText="1"/>
    </xf>
    <xf numFmtId="165" fontId="14" fillId="6" borderId="1" xfId="1" applyNumberFormat="1" applyFont="1" applyFill="1" applyBorder="1" applyAlignment="1">
      <alignment horizontal="right" vertical="center" wrapText="1"/>
    </xf>
    <xf numFmtId="165" fontId="14" fillId="6" borderId="0" xfId="1" applyNumberFormat="1" applyFont="1" applyFill="1" applyBorder="1" applyAlignment="1">
      <alignment horizontal="right" vertical="center" wrapText="1"/>
    </xf>
    <xf numFmtId="173" fontId="19" fillId="6" borderId="1" xfId="1" applyNumberFormat="1" applyFont="1" applyFill="1" applyBorder="1" applyAlignment="1">
      <alignment horizontal="right" vertical="center" wrapText="1"/>
    </xf>
    <xf numFmtId="0" fontId="17" fillId="0" borderId="12" xfId="1" applyNumberFormat="1" applyFont="1" applyBorder="1" applyAlignment="1">
      <alignment horizontal="left" vertical="top" wrapText="1" indent="3"/>
    </xf>
    <xf numFmtId="0" fontId="17" fillId="0" borderId="15" xfId="1" applyNumberFormat="1" applyFont="1" applyBorder="1" applyAlignment="1">
      <alignment horizontal="left" vertical="top" wrapText="1" indent="3"/>
    </xf>
    <xf numFmtId="0" fontId="14" fillId="7" borderId="13" xfId="1" applyNumberFormat="1" applyFont="1" applyFill="1" applyBorder="1" applyAlignment="1">
      <alignment horizontal="left" vertical="top" wrapText="1"/>
    </xf>
    <xf numFmtId="172" fontId="19" fillId="7" borderId="1" xfId="1" applyNumberFormat="1" applyFont="1" applyFill="1" applyBorder="1" applyAlignment="1">
      <alignment horizontal="right" vertical="center" wrapText="1"/>
    </xf>
    <xf numFmtId="10" fontId="18" fillId="7" borderId="1" xfId="1" applyNumberFormat="1" applyFont="1" applyFill="1" applyBorder="1" applyAlignment="1">
      <alignment horizontal="right" vertical="center" wrapText="1"/>
    </xf>
    <xf numFmtId="10" fontId="14" fillId="7" borderId="1" xfId="1" applyNumberFormat="1" applyFont="1" applyFill="1" applyBorder="1" applyAlignment="1">
      <alignment horizontal="right" vertical="center" wrapText="1"/>
    </xf>
    <xf numFmtId="165" fontId="14" fillId="7" borderId="1" xfId="1" applyNumberFormat="1" applyFont="1" applyFill="1" applyBorder="1" applyAlignment="1">
      <alignment horizontal="right" vertical="center" wrapText="1"/>
    </xf>
    <xf numFmtId="165" fontId="14" fillId="7" borderId="0" xfId="1" applyNumberFormat="1" applyFont="1" applyFill="1" applyBorder="1" applyAlignment="1">
      <alignment horizontal="right" vertical="center" wrapText="1"/>
    </xf>
    <xf numFmtId="173" fontId="19" fillId="7" borderId="1" xfId="1" applyNumberFormat="1" applyFont="1" applyFill="1" applyBorder="1" applyAlignment="1">
      <alignment horizontal="right" vertical="center" wrapText="1"/>
    </xf>
    <xf numFmtId="0" fontId="21" fillId="8" borderId="10" xfId="1" applyFont="1" applyFill="1" applyBorder="1"/>
    <xf numFmtId="172" fontId="19" fillId="8" borderId="1" xfId="1" applyNumberFormat="1" applyFont="1" applyFill="1" applyBorder="1" applyAlignment="1">
      <alignment horizontal="right" vertical="center"/>
    </xf>
    <xf numFmtId="10" fontId="18" fillId="8" borderId="1" xfId="1" applyNumberFormat="1" applyFont="1" applyFill="1" applyBorder="1" applyAlignment="1">
      <alignment horizontal="right" vertical="center"/>
    </xf>
    <xf numFmtId="10" fontId="21" fillId="8" borderId="1" xfId="1" applyNumberFormat="1" applyFont="1" applyFill="1" applyBorder="1" applyAlignment="1">
      <alignment horizontal="right" vertical="center"/>
    </xf>
    <xf numFmtId="10" fontId="21" fillId="8" borderId="0" xfId="1" applyNumberFormat="1" applyFont="1" applyFill="1" applyBorder="1" applyAlignment="1">
      <alignment horizontal="right" vertical="center"/>
    </xf>
    <xf numFmtId="173" fontId="19" fillId="8" borderId="1" xfId="1" applyNumberFormat="1" applyFont="1" applyFill="1" applyBorder="1" applyAlignment="1">
      <alignment horizontal="right" vertical="center"/>
    </xf>
    <xf numFmtId="172" fontId="7" fillId="0" borderId="0" xfId="1" applyNumberFormat="1" applyFont="1" applyAlignment="1">
      <alignment horizontal="right" vertical="center"/>
    </xf>
    <xf numFmtId="172" fontId="12" fillId="2" borderId="1" xfId="1" applyNumberFormat="1" applyFont="1" applyFill="1" applyBorder="1" applyAlignment="1">
      <alignment horizontal="right" vertical="center" wrapText="1"/>
    </xf>
    <xf numFmtId="172" fontId="13" fillId="2" borderId="1" xfId="1" applyNumberFormat="1" applyFont="1" applyFill="1" applyBorder="1" applyAlignment="1">
      <alignment horizontal="right" vertical="center" wrapText="1"/>
    </xf>
    <xf numFmtId="172" fontId="11" fillId="2" borderId="1" xfId="1" applyNumberFormat="1" applyFont="1" applyFill="1" applyBorder="1" applyAlignment="1">
      <alignment horizontal="right" vertical="center" wrapText="1"/>
    </xf>
    <xf numFmtId="172" fontId="11" fillId="2" borderId="0" xfId="1" applyNumberFormat="1" applyFont="1" applyFill="1" applyBorder="1" applyAlignment="1">
      <alignment horizontal="right" vertical="center" wrapText="1"/>
    </xf>
    <xf numFmtId="173" fontId="12" fillId="2" borderId="0" xfId="1" applyNumberFormat="1" applyFont="1" applyFill="1" applyBorder="1" applyAlignment="1">
      <alignment horizontal="right" vertical="center" wrapText="1"/>
    </xf>
    <xf numFmtId="0" fontId="2" fillId="0" borderId="0" xfId="1" applyAlignment="1">
      <alignment horizontal="left"/>
    </xf>
    <xf numFmtId="0" fontId="2" fillId="0" borderId="0" xfId="1" applyAlignment="1">
      <alignment wrapText="1"/>
    </xf>
    <xf numFmtId="0" fontId="2" fillId="0" borderId="0" xfId="1" applyFont="1" applyAlignment="1">
      <alignment horizontal="center" vertical="center"/>
    </xf>
    <xf numFmtId="0" fontId="11" fillId="2" borderId="16" xfId="1" applyFont="1" applyFill="1" applyBorder="1" applyAlignment="1">
      <alignment horizontal="center"/>
    </xf>
    <xf numFmtId="0" fontId="11" fillId="4" borderId="5" xfId="1" applyFont="1" applyFill="1" applyBorder="1" applyAlignment="1">
      <alignment horizontal="center"/>
    </xf>
    <xf numFmtId="0" fontId="11" fillId="2" borderId="17" xfId="1" applyFont="1" applyFill="1" applyBorder="1"/>
    <xf numFmtId="0" fontId="11" fillId="2" borderId="18" xfId="1" applyFont="1" applyFill="1" applyBorder="1"/>
    <xf numFmtId="0" fontId="11" fillId="2" borderId="19" xfId="1" applyFont="1" applyFill="1" applyBorder="1"/>
    <xf numFmtId="0" fontId="14" fillId="3" borderId="16" xfId="1" applyFont="1" applyFill="1" applyBorder="1" applyAlignment="1">
      <alignment horizontal="right"/>
    </xf>
    <xf numFmtId="0" fontId="14" fillId="3" borderId="19" xfId="1" applyFont="1" applyFill="1" applyBorder="1" applyAlignment="1">
      <alignment horizontal="right" wrapText="1"/>
    </xf>
    <xf numFmtId="10" fontId="13" fillId="3" borderId="1" xfId="1" applyNumberFormat="1" applyFont="1" applyFill="1" applyBorder="1" applyAlignment="1">
      <alignment horizontal="left" vertical="center" wrapText="1"/>
    </xf>
    <xf numFmtId="173" fontId="11" fillId="2" borderId="16" xfId="1" applyNumberFormat="1" applyFont="1" applyFill="1" applyBorder="1" applyAlignment="1">
      <alignment horizontal="center" wrapText="1"/>
    </xf>
    <xf numFmtId="174" fontId="14" fillId="4" borderId="19" xfId="1" applyNumberFormat="1" applyFont="1" applyFill="1" applyBorder="1" applyAlignment="1">
      <alignment horizontal="center" wrapText="1"/>
    </xf>
    <xf numFmtId="174" fontId="14" fillId="4" borderId="20" xfId="1" applyNumberFormat="1" applyFont="1" applyFill="1" applyBorder="1" applyAlignment="1">
      <alignment horizontal="center" wrapText="1"/>
    </xf>
    <xf numFmtId="174" fontId="14" fillId="4" borderId="21" xfId="1" applyNumberFormat="1" applyFont="1" applyFill="1" applyBorder="1" applyAlignment="1">
      <alignment horizontal="center" wrapText="1"/>
    </xf>
    <xf numFmtId="174" fontId="14" fillId="4" borderId="22" xfId="1" applyNumberFormat="1" applyFont="1" applyFill="1" applyBorder="1" applyAlignment="1">
      <alignment horizontal="center" wrapText="1"/>
    </xf>
    <xf numFmtId="0" fontId="22" fillId="3" borderId="2" xfId="1" applyNumberFormat="1" applyFont="1" applyFill="1" applyBorder="1" applyAlignment="1">
      <alignment horizontal="center" vertical="center" wrapText="1"/>
    </xf>
    <xf numFmtId="0" fontId="22" fillId="3" borderId="5" xfId="1" applyNumberFormat="1" applyFont="1" applyFill="1" applyBorder="1" applyAlignment="1">
      <alignment horizontal="center" vertical="center" wrapText="1"/>
    </xf>
    <xf numFmtId="10" fontId="18" fillId="0" borderId="1" xfId="1" applyNumberFormat="1" applyFont="1" applyBorder="1" applyAlignment="1">
      <alignment horizontal="left" vertical="center" wrapText="1"/>
    </xf>
    <xf numFmtId="172" fontId="12" fillId="8" borderId="16" xfId="1" applyNumberFormat="1" applyFont="1" applyFill="1" applyBorder="1" applyAlignment="1">
      <alignment horizontal="right" wrapText="1"/>
    </xf>
    <xf numFmtId="172" fontId="12" fillId="8" borderId="5" xfId="1" applyNumberFormat="1" applyFont="1" applyFill="1" applyBorder="1" applyAlignment="1">
      <alignment horizontal="right" wrapText="1"/>
    </xf>
    <xf numFmtId="173" fontId="12" fillId="8" borderId="20" xfId="1" applyNumberFormat="1" applyFont="1" applyFill="1" applyBorder="1" applyAlignment="1">
      <alignment horizontal="right" wrapText="1"/>
    </xf>
    <xf numFmtId="173" fontId="12" fillId="8" borderId="23" xfId="1" applyNumberFormat="1" applyFont="1" applyFill="1" applyBorder="1" applyAlignment="1">
      <alignment horizontal="right" wrapText="1"/>
    </xf>
    <xf numFmtId="10" fontId="12" fillId="8" borderId="23" xfId="1" applyNumberFormat="1" applyFont="1" applyFill="1" applyBorder="1" applyAlignment="1">
      <alignment horizontal="right" wrapText="1"/>
    </xf>
    <xf numFmtId="0" fontId="11" fillId="8" borderId="24" xfId="1" applyNumberFormat="1" applyFont="1" applyFill="1" applyBorder="1" applyAlignment="1">
      <alignment horizontal="center" vertical="center" wrapText="1"/>
    </xf>
    <xf numFmtId="0" fontId="11" fillId="8" borderId="25" xfId="1" applyNumberFormat="1" applyFont="1" applyFill="1" applyBorder="1" applyAlignment="1">
      <alignment horizontal="center" vertical="center" wrapText="1"/>
    </xf>
    <xf numFmtId="175" fontId="19" fillId="7" borderId="26" xfId="1" applyNumberFormat="1" applyFont="1" applyFill="1" applyBorder="1" applyAlignment="1">
      <alignment horizontal="right"/>
    </xf>
    <xf numFmtId="175" fontId="19" fillId="7" borderId="27" xfId="1" applyNumberFormat="1" applyFont="1" applyFill="1" applyBorder="1" applyAlignment="1">
      <alignment horizontal="right"/>
    </xf>
    <xf numFmtId="173" fontId="19" fillId="7" borderId="26" xfId="1" applyNumberFormat="1" applyFont="1" applyFill="1" applyBorder="1" applyAlignment="1">
      <alignment horizontal="right"/>
    </xf>
    <xf numFmtId="10" fontId="19" fillId="7" borderId="26" xfId="1" applyNumberFormat="1" applyFont="1" applyFill="1" applyBorder="1" applyAlignment="1">
      <alignment horizontal="right"/>
    </xf>
    <xf numFmtId="0" fontId="14" fillId="7" borderId="13" xfId="1" applyNumberFormat="1" applyFont="1" applyFill="1" applyBorder="1" applyAlignment="1">
      <alignment horizontal="center" vertical="top" wrapText="1"/>
    </xf>
    <xf numFmtId="0" fontId="14" fillId="7" borderId="27" xfId="1" applyNumberFormat="1" applyFont="1" applyFill="1" applyBorder="1" applyAlignment="1">
      <alignment horizontal="center" vertical="top" wrapText="1"/>
    </xf>
    <xf numFmtId="175" fontId="14" fillId="9" borderId="28" xfId="1" applyNumberFormat="1" applyFont="1" applyFill="1" applyBorder="1" applyAlignment="1">
      <alignment horizontal="right" vertical="top"/>
    </xf>
    <xf numFmtId="175" fontId="14" fillId="9" borderId="29" xfId="1" applyNumberFormat="1" applyFont="1" applyFill="1" applyBorder="1" applyAlignment="1">
      <alignment horizontal="right" vertical="top"/>
    </xf>
    <xf numFmtId="173" fontId="14" fillId="9" borderId="28" xfId="1" applyNumberFormat="1" applyFont="1" applyFill="1" applyBorder="1" applyAlignment="1">
      <alignment horizontal="right" vertical="top"/>
    </xf>
    <xf numFmtId="10" fontId="14" fillId="9" borderId="28" xfId="1" applyNumberFormat="1" applyFont="1" applyFill="1" applyBorder="1" applyAlignment="1">
      <alignment horizontal="right" vertical="top"/>
    </xf>
    <xf numFmtId="0" fontId="14" fillId="9" borderId="12" xfId="1" applyNumberFormat="1" applyFont="1" applyFill="1" applyBorder="1" applyAlignment="1">
      <alignment horizontal="left" vertical="top" wrapText="1" indent="2"/>
    </xf>
    <xf numFmtId="0" fontId="14" fillId="9" borderId="29" xfId="1" applyNumberFormat="1" applyFont="1" applyFill="1" applyBorder="1" applyAlignment="1">
      <alignment horizontal="left" vertical="top" wrapText="1"/>
    </xf>
    <xf numFmtId="0" fontId="17" fillId="0" borderId="12" xfId="1" applyNumberFormat="1" applyFont="1" applyFill="1" applyBorder="1" applyAlignment="1">
      <alignment horizontal="left" vertical="top" wrapText="1" indent="3"/>
    </xf>
    <xf numFmtId="0" fontId="24" fillId="0" borderId="29" xfId="1" applyFont="1" applyBorder="1" applyAlignment="1">
      <alignment wrapText="1"/>
    </xf>
    <xf numFmtId="0" fontId="11" fillId="3" borderId="24" xfId="1" applyNumberFormat="1" applyFont="1" applyFill="1" applyBorder="1" applyAlignment="1">
      <alignment horizontal="center" vertical="center" wrapText="1"/>
    </xf>
    <xf numFmtId="10" fontId="18" fillId="4" borderId="1" xfId="1" applyNumberFormat="1" applyFont="1" applyFill="1" applyBorder="1" applyAlignment="1">
      <alignment horizontal="left" vertical="center" wrapText="1"/>
    </xf>
    <xf numFmtId="175" fontId="19" fillId="9" borderId="28" xfId="1" applyNumberFormat="1" applyFont="1" applyFill="1" applyBorder="1" applyAlignment="1">
      <alignment horizontal="right" vertical="top"/>
    </xf>
    <xf numFmtId="175" fontId="19" fillId="9" borderId="29" xfId="1" applyNumberFormat="1" applyFont="1" applyFill="1" applyBorder="1" applyAlignment="1">
      <alignment horizontal="right" vertical="top"/>
    </xf>
    <xf numFmtId="173" fontId="19" fillId="9" borderId="28" xfId="1" applyNumberFormat="1" applyFont="1" applyFill="1" applyBorder="1" applyAlignment="1">
      <alignment horizontal="right" vertical="top"/>
    </xf>
    <xf numFmtId="10" fontId="19" fillId="9" borderId="28" xfId="1" applyNumberFormat="1" applyFont="1" applyFill="1" applyBorder="1" applyAlignment="1">
      <alignment horizontal="right" vertical="top"/>
    </xf>
    <xf numFmtId="0" fontId="14" fillId="4" borderId="30" xfId="1" applyNumberFormat="1" applyFont="1" applyFill="1" applyBorder="1" applyAlignment="1">
      <alignment horizontal="left" vertical="top" wrapText="1"/>
    </xf>
    <xf numFmtId="175" fontId="19" fillId="6" borderId="31" xfId="1" applyNumberFormat="1" applyFont="1" applyFill="1" applyBorder="1" applyAlignment="1">
      <alignment horizontal="right" vertical="top"/>
    </xf>
    <xf numFmtId="175" fontId="19" fillId="6" borderId="32" xfId="1" applyNumberFormat="1" applyFont="1" applyFill="1" applyBorder="1" applyAlignment="1">
      <alignment horizontal="right" vertical="top"/>
    </xf>
    <xf numFmtId="173" fontId="19" fillId="6" borderId="31" xfId="1" applyNumberFormat="1" applyFont="1" applyFill="1" applyBorder="1" applyAlignment="1">
      <alignment horizontal="right" vertical="top"/>
    </xf>
    <xf numFmtId="10" fontId="19" fillId="6" borderId="31" xfId="1" applyNumberFormat="1" applyFont="1" applyFill="1" applyBorder="1" applyAlignment="1">
      <alignment horizontal="right" vertical="top"/>
    </xf>
    <xf numFmtId="0" fontId="14" fillId="6" borderId="12" xfId="1" applyNumberFormat="1" applyFont="1" applyFill="1" applyBorder="1" applyAlignment="1">
      <alignment horizontal="left" vertical="top" wrapText="1" indent="3"/>
    </xf>
    <xf numFmtId="0" fontId="14" fillId="6" borderId="29" xfId="1" applyNumberFormat="1" applyFont="1" applyFill="1" applyBorder="1" applyAlignment="1">
      <alignment horizontal="left" vertical="top" wrapText="1"/>
    </xf>
    <xf numFmtId="175" fontId="17" fillId="0" borderId="31" xfId="1" applyNumberFormat="1" applyFont="1" applyFill="1" applyBorder="1" applyAlignment="1">
      <alignment horizontal="right" vertical="top"/>
    </xf>
    <xf numFmtId="175" fontId="17" fillId="0" borderId="32" xfId="1" applyNumberFormat="1" applyFont="1" applyFill="1" applyBorder="1" applyAlignment="1">
      <alignment horizontal="right" vertical="top"/>
    </xf>
    <xf numFmtId="173" fontId="17" fillId="0" borderId="31" xfId="1" applyNumberFormat="1" applyFont="1" applyFill="1" applyBorder="1" applyAlignment="1">
      <alignment horizontal="right" vertical="top"/>
    </xf>
    <xf numFmtId="10" fontId="17" fillId="0" borderId="31" xfId="1" applyNumberFormat="1" applyFont="1" applyFill="1" applyBorder="1" applyAlignment="1">
      <alignment horizontal="right" vertical="top"/>
    </xf>
    <xf numFmtId="0" fontId="17" fillId="0" borderId="12" xfId="1" applyNumberFormat="1" applyFont="1" applyBorder="1" applyAlignment="1">
      <alignment horizontal="left" vertical="top" wrapText="1" indent="5"/>
    </xf>
    <xf numFmtId="0" fontId="17" fillId="0" borderId="29" xfId="1" applyNumberFormat="1" applyFont="1" applyBorder="1" applyAlignment="1">
      <alignment horizontal="left" vertical="top" wrapText="1"/>
    </xf>
    <xf numFmtId="0" fontId="14" fillId="0" borderId="29" xfId="1" applyNumberFormat="1" applyFont="1" applyBorder="1" applyAlignment="1">
      <alignment horizontal="left" vertical="top" wrapText="1"/>
    </xf>
    <xf numFmtId="0" fontId="14" fillId="0" borderId="12" xfId="1" applyNumberFormat="1" applyFont="1" applyBorder="1" applyAlignment="1">
      <alignment horizontal="left" vertical="top" wrapText="1" indent="3"/>
    </xf>
    <xf numFmtId="175" fontId="14" fillId="9" borderId="33" xfId="1" applyNumberFormat="1" applyFont="1" applyFill="1" applyBorder="1" applyAlignment="1">
      <alignment horizontal="right" vertical="top"/>
    </xf>
    <xf numFmtId="175" fontId="14" fillId="9" borderId="34" xfId="1" applyNumberFormat="1" applyFont="1" applyFill="1" applyBorder="1" applyAlignment="1">
      <alignment horizontal="right" vertical="top"/>
    </xf>
    <xf numFmtId="173" fontId="14" fillId="9" borderId="33" xfId="1" applyNumberFormat="1" applyFont="1" applyFill="1" applyBorder="1" applyAlignment="1">
      <alignment horizontal="right" vertical="top"/>
    </xf>
    <xf numFmtId="10" fontId="14" fillId="9" borderId="33" xfId="1" applyNumberFormat="1" applyFont="1" applyFill="1" applyBorder="1" applyAlignment="1">
      <alignment horizontal="right" vertical="top"/>
    </xf>
    <xf numFmtId="10" fontId="25" fillId="4" borderId="1" xfId="1" applyNumberFormat="1" applyFont="1" applyFill="1" applyBorder="1" applyAlignment="1">
      <alignment horizontal="right" vertical="center" wrapText="1"/>
    </xf>
    <xf numFmtId="0" fontId="2" fillId="0" borderId="29" xfId="1" applyBorder="1" applyAlignment="1">
      <alignment wrapText="1"/>
    </xf>
    <xf numFmtId="10" fontId="25" fillId="0" borderId="1" xfId="1" applyNumberFormat="1" applyFont="1" applyBorder="1" applyAlignment="1">
      <alignment horizontal="right" vertical="center" wrapText="1"/>
    </xf>
    <xf numFmtId="0" fontId="19" fillId="9" borderId="29" xfId="1" applyNumberFormat="1" applyFont="1" applyFill="1" applyBorder="1" applyAlignment="1">
      <alignment horizontal="left" vertical="top" wrapText="1"/>
    </xf>
    <xf numFmtId="175" fontId="17" fillId="0" borderId="28" xfId="1" applyNumberFormat="1" applyFont="1" applyBorder="1" applyAlignment="1">
      <alignment horizontal="right" vertical="top"/>
    </xf>
    <xf numFmtId="175" fontId="17" fillId="0" borderId="29" xfId="1" applyNumberFormat="1" applyFont="1" applyBorder="1" applyAlignment="1">
      <alignment horizontal="right" vertical="top"/>
    </xf>
    <xf numFmtId="173" fontId="17" fillId="0" borderId="28" xfId="1" applyNumberFormat="1" applyFont="1" applyBorder="1" applyAlignment="1">
      <alignment horizontal="right" vertical="top"/>
    </xf>
    <xf numFmtId="10" fontId="17" fillId="0" borderId="28" xfId="1" applyNumberFormat="1" applyFont="1" applyBorder="1" applyAlignment="1">
      <alignment horizontal="right" vertical="top"/>
    </xf>
    <xf numFmtId="0" fontId="26" fillId="0" borderId="29" xfId="1" applyNumberFormat="1" applyFont="1" applyBorder="1" applyAlignment="1">
      <alignment horizontal="left" vertical="top" wrapText="1"/>
    </xf>
    <xf numFmtId="175" fontId="24" fillId="0" borderId="28" xfId="1" applyNumberFormat="1" applyFont="1" applyBorder="1" applyAlignment="1">
      <alignment horizontal="right" vertical="center"/>
    </xf>
    <xf numFmtId="175" fontId="24" fillId="0" borderId="29" xfId="1" applyNumberFormat="1" applyFont="1" applyBorder="1" applyAlignment="1">
      <alignment horizontal="right" vertical="center"/>
    </xf>
    <xf numFmtId="173" fontId="24" fillId="0" borderId="28" xfId="1" applyNumberFormat="1" applyFont="1" applyBorder="1" applyAlignment="1">
      <alignment horizontal="right" vertical="center"/>
    </xf>
    <xf numFmtId="10" fontId="24" fillId="0" borderId="28" xfId="1" applyNumberFormat="1" applyFont="1" applyBorder="1" applyAlignment="1">
      <alignment horizontal="right" vertical="center"/>
    </xf>
    <xf numFmtId="0" fontId="17" fillId="0" borderId="15" xfId="1" applyNumberFormat="1" applyFont="1" applyBorder="1" applyAlignment="1">
      <alignment horizontal="left" vertical="center" wrapText="1" indent="3"/>
    </xf>
    <xf numFmtId="0" fontId="17" fillId="0" borderId="32" xfId="1" applyNumberFormat="1" applyFont="1" applyBorder="1" applyAlignment="1">
      <alignment horizontal="left" vertical="center" wrapText="1"/>
    </xf>
    <xf numFmtId="0" fontId="26" fillId="0" borderId="32" xfId="1" applyNumberFormat="1" applyFont="1" applyBorder="1" applyAlignment="1">
      <alignment horizontal="left" vertical="center" wrapText="1"/>
    </xf>
    <xf numFmtId="10" fontId="25" fillId="6" borderId="1" xfId="1" applyNumberFormat="1" applyFont="1" applyFill="1" applyBorder="1" applyAlignment="1">
      <alignment horizontal="right" vertical="center" wrapText="1"/>
    </xf>
    <xf numFmtId="10" fontId="18" fillId="6" borderId="1" xfId="1" applyNumberFormat="1" applyFont="1" applyFill="1" applyBorder="1" applyAlignment="1">
      <alignment horizontal="left" vertical="center" wrapText="1"/>
    </xf>
    <xf numFmtId="175" fontId="19" fillId="7" borderId="35" xfId="1" applyNumberFormat="1" applyFont="1" applyFill="1" applyBorder="1" applyAlignment="1">
      <alignment horizontal="right"/>
    </xf>
    <xf numFmtId="175" fontId="19" fillId="7" borderId="36" xfId="1" applyNumberFormat="1" applyFont="1" applyFill="1" applyBorder="1" applyAlignment="1">
      <alignment horizontal="right"/>
    </xf>
    <xf numFmtId="173" fontId="19" fillId="7" borderId="35" xfId="1" applyNumberFormat="1" applyFont="1" applyFill="1" applyBorder="1" applyAlignment="1">
      <alignment horizontal="right"/>
    </xf>
    <xf numFmtId="10" fontId="19" fillId="7" borderId="35" xfId="1" applyNumberFormat="1" applyFont="1" applyFill="1" applyBorder="1" applyAlignment="1">
      <alignment horizontal="right"/>
    </xf>
    <xf numFmtId="175" fontId="19" fillId="4" borderId="28" xfId="1" applyNumberFormat="1" applyFont="1" applyFill="1" applyBorder="1" applyAlignment="1">
      <alignment horizontal="right"/>
    </xf>
    <xf numFmtId="175" fontId="19" fillId="4" borderId="29" xfId="1" applyNumberFormat="1" applyFont="1" applyFill="1" applyBorder="1" applyAlignment="1">
      <alignment horizontal="right"/>
    </xf>
    <xf numFmtId="173" fontId="19" fillId="4" borderId="28" xfId="1" applyNumberFormat="1" applyFont="1" applyFill="1" applyBorder="1" applyAlignment="1">
      <alignment horizontal="right"/>
    </xf>
    <xf numFmtId="10" fontId="19" fillId="4" borderId="28" xfId="1" applyNumberFormat="1" applyFont="1" applyFill="1" applyBorder="1" applyAlignment="1">
      <alignment horizontal="right"/>
    </xf>
    <xf numFmtId="175" fontId="14" fillId="0" borderId="28" xfId="1" applyNumberFormat="1" applyFont="1" applyBorder="1" applyAlignment="1">
      <alignment horizontal="right" vertical="top"/>
    </xf>
    <xf numFmtId="175" fontId="14" fillId="0" borderId="29" xfId="1" applyNumberFormat="1" applyFont="1" applyBorder="1" applyAlignment="1">
      <alignment horizontal="right" vertical="top"/>
    </xf>
    <xf numFmtId="173" fontId="14" fillId="0" borderId="28" xfId="1" applyNumberFormat="1" applyFont="1" applyBorder="1" applyAlignment="1">
      <alignment horizontal="right" vertical="top"/>
    </xf>
    <xf numFmtId="10" fontId="14" fillId="0" borderId="28" xfId="1" applyNumberFormat="1" applyFont="1" applyBorder="1" applyAlignment="1">
      <alignment horizontal="right" vertical="top"/>
    </xf>
    <xf numFmtId="0" fontId="14" fillId="0" borderId="14" xfId="1" applyNumberFormat="1" applyFont="1" applyBorder="1" applyAlignment="1">
      <alignment horizontal="left" vertical="top" wrapText="1" indent="2"/>
    </xf>
    <xf numFmtId="0" fontId="17" fillId="0" borderId="34" xfId="1" applyNumberFormat="1" applyFont="1" applyBorder="1" applyAlignment="1">
      <alignment horizontal="left" vertical="top" wrapText="1"/>
    </xf>
    <xf numFmtId="0" fontId="14" fillId="7" borderId="30" xfId="1" applyNumberFormat="1" applyFont="1" applyFill="1" applyBorder="1" applyAlignment="1">
      <alignment horizontal="center" vertical="top" wrapText="1"/>
    </xf>
    <xf numFmtId="0" fontId="14" fillId="7" borderId="36" xfId="1" applyNumberFormat="1" applyFont="1" applyFill="1" applyBorder="1" applyAlignment="1">
      <alignment horizontal="center" vertical="top" wrapText="1"/>
    </xf>
    <xf numFmtId="175" fontId="19" fillId="7" borderId="28" xfId="1" applyNumberFormat="1" applyFont="1" applyFill="1" applyBorder="1" applyAlignment="1">
      <alignment horizontal="right" vertical="top"/>
    </xf>
    <xf numFmtId="175" fontId="19" fillId="7" borderId="29" xfId="1" applyNumberFormat="1" applyFont="1" applyFill="1" applyBorder="1" applyAlignment="1">
      <alignment horizontal="right" vertical="top"/>
    </xf>
    <xf numFmtId="173" fontId="19" fillId="7" borderId="28" xfId="1" applyNumberFormat="1" applyFont="1" applyFill="1" applyBorder="1" applyAlignment="1">
      <alignment horizontal="right" vertical="top"/>
    </xf>
    <xf numFmtId="10" fontId="19" fillId="7" borderId="28" xfId="1" applyNumberFormat="1" applyFont="1" applyFill="1" applyBorder="1" applyAlignment="1">
      <alignment horizontal="right" vertical="top"/>
    </xf>
    <xf numFmtId="0" fontId="14" fillId="0" borderId="15" xfId="1" applyNumberFormat="1" applyFont="1" applyBorder="1" applyAlignment="1">
      <alignment horizontal="left" vertical="top" wrapText="1" indent="2"/>
    </xf>
    <xf numFmtId="0" fontId="14" fillId="0" borderId="32" xfId="1" applyNumberFormat="1" applyFont="1" applyBorder="1" applyAlignment="1">
      <alignment horizontal="left" vertical="top" wrapText="1"/>
    </xf>
    <xf numFmtId="0" fontId="11" fillId="8" borderId="2" xfId="1" applyNumberFormat="1" applyFont="1" applyFill="1" applyBorder="1" applyAlignment="1">
      <alignment horizontal="center" vertical="center" wrapText="1"/>
    </xf>
    <xf numFmtId="0" fontId="11" fillId="8" borderId="5" xfId="1" applyNumberFormat="1" applyFont="1" applyFill="1" applyBorder="1" applyAlignment="1">
      <alignment horizontal="center" vertical="center" wrapText="1"/>
    </xf>
    <xf numFmtId="175" fontId="12" fillId="8" borderId="6" xfId="1" applyNumberFormat="1" applyFont="1" applyFill="1" applyBorder="1" applyAlignment="1">
      <alignment horizontal="right"/>
    </xf>
    <xf numFmtId="175" fontId="12" fillId="8" borderId="5" xfId="1" applyNumberFormat="1" applyFont="1" applyFill="1" applyBorder="1" applyAlignment="1">
      <alignment horizontal="right"/>
    </xf>
    <xf numFmtId="173" fontId="12" fillId="8" borderId="6" xfId="1" applyNumberFormat="1" applyFont="1" applyFill="1" applyBorder="1" applyAlignment="1">
      <alignment horizontal="right"/>
    </xf>
    <xf numFmtId="10" fontId="12" fillId="8" borderId="6" xfId="1" applyNumberFormat="1" applyFont="1" applyFill="1" applyBorder="1" applyAlignment="1">
      <alignment horizontal="right"/>
    </xf>
    <xf numFmtId="0" fontId="14" fillId="0" borderId="12" xfId="1" applyNumberFormat="1" applyFont="1" applyFill="1" applyBorder="1" applyAlignment="1">
      <alignment horizontal="left" vertical="top" wrapText="1" indent="2"/>
    </xf>
    <xf numFmtId="0" fontId="17" fillId="0" borderId="36" xfId="1" applyNumberFormat="1" applyFont="1" applyBorder="1" applyAlignment="1">
      <alignment horizontal="left" vertical="top" wrapText="1"/>
    </xf>
    <xf numFmtId="0" fontId="14" fillId="6" borderId="29" xfId="1" applyNumberFormat="1" applyFont="1" applyFill="1" applyBorder="1" applyAlignment="1">
      <alignment horizontal="left" vertical="top" wrapText="1" indent="2"/>
    </xf>
    <xf numFmtId="0" fontId="17" fillId="0" borderId="29" xfId="1" applyNumberFormat="1" applyFont="1" applyFill="1" applyBorder="1" applyAlignment="1">
      <alignment horizontal="left" vertical="top" wrapText="1"/>
    </xf>
    <xf numFmtId="0" fontId="14" fillId="0" borderId="29" xfId="1" applyNumberFormat="1" applyFont="1" applyFill="1" applyBorder="1" applyAlignment="1">
      <alignment horizontal="left" vertical="top" wrapText="1"/>
    </xf>
    <xf numFmtId="175" fontId="14" fillId="0" borderId="28" xfId="1" applyNumberFormat="1" applyFont="1" applyBorder="1" applyAlignment="1">
      <alignment horizontal="right"/>
    </xf>
    <xf numFmtId="175" fontId="14" fillId="0" borderId="29" xfId="1" applyNumberFormat="1" applyFont="1" applyBorder="1" applyAlignment="1">
      <alignment horizontal="right"/>
    </xf>
    <xf numFmtId="173" fontId="14" fillId="0" borderId="28" xfId="1" applyNumberFormat="1" applyFont="1" applyBorder="1" applyAlignment="1">
      <alignment horizontal="right"/>
    </xf>
    <xf numFmtId="10" fontId="14" fillId="0" borderId="28" xfId="1" applyNumberFormat="1" applyFont="1" applyBorder="1" applyAlignment="1">
      <alignment horizontal="right"/>
    </xf>
    <xf numFmtId="0" fontId="17" fillId="10" borderId="29" xfId="1" applyNumberFormat="1" applyFont="1" applyFill="1" applyBorder="1" applyAlignment="1">
      <alignment horizontal="left" vertical="top" wrapText="1"/>
    </xf>
    <xf numFmtId="0" fontId="17" fillId="6" borderId="29" xfId="1" applyNumberFormat="1" applyFont="1" applyFill="1" applyBorder="1" applyAlignment="1">
      <alignment horizontal="left" vertical="top" wrapText="1"/>
    </xf>
    <xf numFmtId="175" fontId="19" fillId="6" borderId="28" xfId="1" applyNumberFormat="1" applyFont="1" applyFill="1" applyBorder="1" applyAlignment="1">
      <alignment horizontal="right"/>
    </xf>
    <xf numFmtId="175" fontId="19" fillId="6" borderId="29" xfId="1" applyNumberFormat="1" applyFont="1" applyFill="1" applyBorder="1" applyAlignment="1">
      <alignment horizontal="right"/>
    </xf>
    <xf numFmtId="173" fontId="19" fillId="6" borderId="28" xfId="1" applyNumberFormat="1" applyFont="1" applyFill="1" applyBorder="1" applyAlignment="1">
      <alignment horizontal="right"/>
    </xf>
    <xf numFmtId="10" fontId="19" fillId="6" borderId="28" xfId="1" applyNumberFormat="1" applyFont="1" applyFill="1" applyBorder="1" applyAlignment="1">
      <alignment horizontal="right"/>
    </xf>
    <xf numFmtId="0" fontId="19" fillId="10" borderId="29" xfId="1" applyNumberFormat="1" applyFont="1" applyFill="1" applyBorder="1" applyAlignment="1">
      <alignment horizontal="left" vertical="top" wrapText="1"/>
    </xf>
    <xf numFmtId="175" fontId="17" fillId="0" borderId="28" xfId="1" applyNumberFormat="1" applyFont="1" applyBorder="1" applyAlignment="1">
      <alignment horizontal="right"/>
    </xf>
    <xf numFmtId="175" fontId="17" fillId="0" borderId="29" xfId="1" applyNumberFormat="1" applyFont="1" applyBorder="1" applyAlignment="1">
      <alignment horizontal="right"/>
    </xf>
    <xf numFmtId="173" fontId="17" fillId="0" borderId="28" xfId="1" applyNumberFormat="1" applyFont="1" applyBorder="1" applyAlignment="1">
      <alignment horizontal="right"/>
    </xf>
    <xf numFmtId="10" fontId="17" fillId="0" borderId="28" xfId="1" applyNumberFormat="1" applyFont="1" applyBorder="1" applyAlignment="1">
      <alignment horizontal="right"/>
    </xf>
    <xf numFmtId="0" fontId="26" fillId="10" borderId="34" xfId="1" applyNumberFormat="1" applyFont="1" applyFill="1" applyBorder="1" applyAlignment="1">
      <alignment horizontal="left" vertical="top" wrapText="1"/>
    </xf>
    <xf numFmtId="10" fontId="25" fillId="7" borderId="1" xfId="1" applyNumberFormat="1" applyFont="1" applyFill="1" applyBorder="1" applyAlignment="1">
      <alignment horizontal="right" vertical="center" wrapText="1"/>
    </xf>
    <xf numFmtId="10" fontId="18" fillId="7" borderId="1" xfId="1" applyNumberFormat="1" applyFont="1" applyFill="1" applyBorder="1" applyAlignment="1">
      <alignment horizontal="left" vertical="center" wrapText="1"/>
    </xf>
    <xf numFmtId="0" fontId="27" fillId="0" borderId="12" xfId="1" applyNumberFormat="1" applyFont="1" applyFill="1" applyBorder="1" applyAlignment="1">
      <alignment horizontal="left" vertical="top" wrapText="1" indent="2"/>
    </xf>
    <xf numFmtId="175" fontId="14" fillId="6" borderId="28" xfId="1" applyNumberFormat="1" applyFont="1" applyFill="1" applyBorder="1" applyAlignment="1">
      <alignment horizontal="right" vertical="top"/>
    </xf>
    <xf numFmtId="175" fontId="14" fillId="6" borderId="29" xfId="1" applyNumberFormat="1" applyFont="1" applyFill="1" applyBorder="1" applyAlignment="1">
      <alignment horizontal="right" vertical="top"/>
    </xf>
    <xf numFmtId="173" fontId="14" fillId="6" borderId="28" xfId="1" applyNumberFormat="1" applyFont="1" applyFill="1" applyBorder="1" applyAlignment="1">
      <alignment horizontal="right" vertical="top"/>
    </xf>
    <xf numFmtId="10" fontId="14" fillId="6" borderId="28" xfId="1" applyNumberFormat="1" applyFont="1" applyFill="1" applyBorder="1" applyAlignment="1">
      <alignment horizontal="right" vertical="top"/>
    </xf>
    <xf numFmtId="0" fontId="24" fillId="0" borderId="29" xfId="1" applyFont="1" applyFill="1" applyBorder="1" applyAlignment="1">
      <alignment wrapText="1"/>
    </xf>
    <xf numFmtId="0" fontId="17" fillId="0" borderId="15" xfId="1" applyNumberFormat="1" applyFont="1" applyBorder="1" applyAlignment="1">
      <alignment horizontal="left" vertical="top" wrapText="1" indent="2"/>
    </xf>
    <xf numFmtId="172" fontId="19" fillId="0" borderId="37" xfId="1" applyNumberFormat="1" applyFont="1" applyBorder="1" applyAlignment="1">
      <alignment horizontal="right" vertical="center" wrapText="1"/>
    </xf>
    <xf numFmtId="10" fontId="18" fillId="0" borderId="37" xfId="1" applyNumberFormat="1" applyFont="1" applyBorder="1" applyAlignment="1">
      <alignment horizontal="right" vertical="center" wrapText="1"/>
    </xf>
    <xf numFmtId="10" fontId="25" fillId="0" borderId="37" xfId="1" applyNumberFormat="1" applyFont="1" applyBorder="1" applyAlignment="1">
      <alignment horizontal="right" vertical="center" wrapText="1"/>
    </xf>
    <xf numFmtId="10" fontId="18" fillId="0" borderId="37" xfId="1" applyNumberFormat="1" applyFont="1" applyBorder="1" applyAlignment="1">
      <alignment horizontal="left" vertical="center" wrapText="1"/>
    </xf>
    <xf numFmtId="0" fontId="21" fillId="8" borderId="2" xfId="1" applyFont="1" applyFill="1" applyBorder="1"/>
    <xf numFmtId="172" fontId="19" fillId="8" borderId="7" xfId="1" applyNumberFormat="1" applyFont="1" applyFill="1" applyBorder="1" applyAlignment="1">
      <alignment horizontal="right" vertical="center"/>
    </xf>
    <xf numFmtId="10" fontId="18" fillId="8" borderId="7" xfId="1" applyNumberFormat="1" applyFont="1" applyFill="1" applyBorder="1" applyAlignment="1">
      <alignment horizontal="right" vertical="center"/>
    </xf>
    <xf numFmtId="10" fontId="18" fillId="8" borderId="38" xfId="1" applyNumberFormat="1" applyFont="1" applyFill="1" applyBorder="1" applyAlignment="1">
      <alignment horizontal="right" vertical="center"/>
    </xf>
    <xf numFmtId="10" fontId="18" fillId="8" borderId="39" xfId="1" applyNumberFormat="1" applyFont="1" applyFill="1" applyBorder="1" applyAlignment="1">
      <alignment horizontal="left" vertical="center"/>
    </xf>
    <xf numFmtId="172" fontId="19" fillId="0" borderId="0" xfId="1" applyNumberFormat="1" applyFont="1" applyBorder="1" applyAlignment="1">
      <alignment horizontal="right" vertical="center" wrapText="1"/>
    </xf>
    <xf numFmtId="0" fontId="27" fillId="0" borderId="30" xfId="1" applyNumberFormat="1" applyFont="1" applyFill="1" applyBorder="1" applyAlignment="1">
      <alignment horizontal="left" vertical="top" wrapText="1" indent="2"/>
    </xf>
    <xf numFmtId="172" fontId="19" fillId="8" borderId="0" xfId="1" applyNumberFormat="1" applyFont="1" applyFill="1" applyBorder="1" applyAlignment="1">
      <alignment horizontal="right" vertical="center"/>
    </xf>
    <xf numFmtId="175" fontId="17" fillId="0" borderId="28" xfId="1" applyNumberFormat="1" applyFont="1" applyFill="1" applyBorder="1" applyAlignment="1">
      <alignment horizontal="right" vertical="top"/>
    </xf>
    <xf numFmtId="175" fontId="17" fillId="0" borderId="29" xfId="1" applyNumberFormat="1" applyFont="1" applyFill="1" applyBorder="1" applyAlignment="1">
      <alignment horizontal="right" vertical="top"/>
    </xf>
    <xf numFmtId="173" fontId="17" fillId="0" borderId="28" xfId="1" applyNumberFormat="1" applyFont="1" applyFill="1" applyBorder="1" applyAlignment="1">
      <alignment horizontal="right" vertical="top"/>
    </xf>
    <xf numFmtId="10" fontId="17" fillId="0" borderId="28" xfId="1" applyNumberFormat="1" applyFont="1" applyFill="1" applyBorder="1" applyAlignment="1">
      <alignment horizontal="right" vertical="top"/>
    </xf>
    <xf numFmtId="0" fontId="14" fillId="10" borderId="29" xfId="1" applyNumberFormat="1" applyFont="1" applyFill="1" applyBorder="1" applyAlignment="1">
      <alignment horizontal="left" vertical="top" wrapText="1"/>
    </xf>
    <xf numFmtId="0" fontId="17" fillId="0" borderId="32" xfId="1" applyNumberFormat="1" applyFont="1" applyBorder="1" applyAlignment="1">
      <alignment horizontal="left" vertical="top" wrapText="1"/>
    </xf>
    <xf numFmtId="0" fontId="26" fillId="10" borderId="32" xfId="1" applyNumberFormat="1" applyFont="1" applyFill="1" applyBorder="1" applyAlignment="1">
      <alignment horizontal="left" vertical="top" wrapText="1"/>
    </xf>
    <xf numFmtId="0" fontId="17" fillId="10" borderId="34" xfId="1" applyNumberFormat="1" applyFont="1" applyFill="1" applyBorder="1" applyAlignment="1">
      <alignment horizontal="left" vertical="top" wrapText="1"/>
    </xf>
    <xf numFmtId="175" fontId="17" fillId="0" borderId="33" xfId="1" applyNumberFormat="1" applyFont="1" applyBorder="1"/>
    <xf numFmtId="175" fontId="17" fillId="0" borderId="34" xfId="1" applyNumberFormat="1" applyFont="1" applyBorder="1"/>
    <xf numFmtId="173" fontId="17" fillId="0" borderId="33" xfId="1" applyNumberFormat="1" applyFont="1" applyBorder="1"/>
    <xf numFmtId="10" fontId="17" fillId="0" borderId="33" xfId="1" applyNumberFormat="1" applyFont="1" applyBorder="1"/>
    <xf numFmtId="0" fontId="17" fillId="0" borderId="0" xfId="1" applyFont="1"/>
    <xf numFmtId="0" fontId="28" fillId="0" borderId="0" xfId="1" applyFont="1"/>
    <xf numFmtId="174" fontId="17" fillId="0" borderId="0" xfId="1" applyNumberFormat="1" applyFont="1"/>
    <xf numFmtId="0" fontId="0" fillId="0" borderId="0" xfId="1" applyFont="1"/>
    <xf numFmtId="0" fontId="29" fillId="0" borderId="0" xfId="1" applyFont="1" applyAlignment="1">
      <alignment horizontal="right"/>
    </xf>
    <xf numFmtId="0" fontId="30" fillId="0" borderId="0" xfId="1" applyFont="1" applyAlignment="1">
      <alignment horizontal="right"/>
    </xf>
    <xf numFmtId="0" fontId="31" fillId="0" borderId="0" xfId="1" applyFont="1"/>
    <xf numFmtId="176" fontId="11" fillId="0" borderId="0" xfId="1" applyNumberFormat="1" applyFont="1"/>
    <xf numFmtId="177" fontId="11" fillId="0" borderId="0" xfId="1" applyNumberFormat="1" applyFont="1" applyAlignment="1">
      <alignment horizontal="center"/>
    </xf>
    <xf numFmtId="0" fontId="32" fillId="3" borderId="2" xfId="1" applyNumberFormat="1" applyFont="1" applyFill="1" applyBorder="1" applyAlignment="1">
      <alignment horizontal="center" vertical="center" wrapText="1"/>
    </xf>
    <xf numFmtId="0" fontId="32" fillId="3" borderId="5" xfId="1" applyNumberFormat="1" applyFont="1" applyFill="1" applyBorder="1" applyAlignment="1">
      <alignment horizontal="center" vertical="center" wrapText="1"/>
    </xf>
    <xf numFmtId="0" fontId="14" fillId="11" borderId="3" xfId="1" applyFont="1" applyFill="1" applyBorder="1" applyAlignment="1">
      <alignment horizontal="center"/>
    </xf>
    <xf numFmtId="0" fontId="14" fillId="12" borderId="3" xfId="1" applyFont="1" applyFill="1" applyBorder="1" applyAlignment="1">
      <alignment horizontal="center"/>
    </xf>
    <xf numFmtId="0" fontId="14" fillId="11" borderId="2" xfId="1" applyFont="1" applyFill="1" applyBorder="1" applyAlignment="1">
      <alignment horizontal="center"/>
    </xf>
    <xf numFmtId="0" fontId="14" fillId="12" borderId="2" xfId="1" applyFont="1" applyFill="1" applyBorder="1" applyAlignment="1">
      <alignment horizontal="center"/>
    </xf>
    <xf numFmtId="174" fontId="14" fillId="2" borderId="5" xfId="1" applyNumberFormat="1" applyFont="1" applyFill="1" applyBorder="1" applyAlignment="1">
      <alignment horizontal="center"/>
    </xf>
    <xf numFmtId="174" fontId="21" fillId="2" borderId="5" xfId="1" applyNumberFormat="1" applyFont="1" applyFill="1" applyBorder="1" applyAlignment="1">
      <alignment horizontal="center"/>
    </xf>
    <xf numFmtId="0" fontId="19" fillId="0" borderId="0" xfId="1" applyFont="1"/>
    <xf numFmtId="0" fontId="32" fillId="8" borderId="2" xfId="1" applyNumberFormat="1" applyFont="1" applyFill="1" applyBorder="1" applyAlignment="1">
      <alignment horizontal="center" vertical="center" wrapText="1"/>
    </xf>
    <xf numFmtId="0" fontId="32" fillId="8" borderId="5" xfId="1" applyNumberFormat="1" applyFont="1" applyFill="1" applyBorder="1" applyAlignment="1">
      <alignment horizontal="center" vertical="center" wrapText="1"/>
    </xf>
    <xf numFmtId="173" fontId="12" fillId="8" borderId="40" xfId="1" applyNumberFormat="1" applyFont="1" applyFill="1" applyBorder="1" applyAlignment="1">
      <alignment horizontal="center" wrapText="1"/>
    </xf>
    <xf numFmtId="173" fontId="12" fillId="8" borderId="6" xfId="1" applyNumberFormat="1" applyFont="1" applyFill="1" applyBorder="1" applyAlignment="1">
      <alignment horizontal="center" wrapText="1"/>
    </xf>
    <xf numFmtId="173" fontId="12" fillId="8" borderId="2" xfId="1" applyNumberFormat="1" applyFont="1" applyFill="1" applyBorder="1" applyAlignment="1">
      <alignment horizontal="center" wrapText="1"/>
    </xf>
    <xf numFmtId="172" fontId="33" fillId="8" borderId="5" xfId="1" applyNumberFormat="1" applyFont="1" applyFill="1" applyBorder="1" applyAlignment="1">
      <alignment horizontal="right" wrapText="1"/>
    </xf>
    <xf numFmtId="0" fontId="0" fillId="0" borderId="0" xfId="1" applyFont="1" applyAlignment="1">
      <alignment wrapText="1"/>
    </xf>
    <xf numFmtId="0" fontId="14" fillId="7" borderId="26" xfId="1" applyNumberFormat="1" applyFont="1" applyFill="1" applyBorder="1" applyAlignment="1">
      <alignment horizontal="center" vertical="top" wrapText="1"/>
    </xf>
    <xf numFmtId="0" fontId="32" fillId="7" borderId="41" xfId="1" applyNumberFormat="1" applyFont="1" applyFill="1" applyBorder="1" applyAlignment="1">
      <alignment horizontal="center" vertical="top" wrapText="1"/>
    </xf>
    <xf numFmtId="0" fontId="32" fillId="7" borderId="27" xfId="1" applyNumberFormat="1" applyFont="1" applyFill="1" applyBorder="1" applyAlignment="1">
      <alignment horizontal="center" vertical="top" wrapText="1"/>
    </xf>
    <xf numFmtId="175" fontId="19" fillId="7" borderId="42" xfId="1" applyNumberFormat="1" applyFont="1" applyFill="1" applyBorder="1" applyAlignment="1">
      <alignment horizontal="right"/>
    </xf>
    <xf numFmtId="175" fontId="19" fillId="7" borderId="43" xfId="1" applyNumberFormat="1" applyFont="1" applyFill="1" applyBorder="1" applyAlignment="1">
      <alignment horizontal="right"/>
    </xf>
    <xf numFmtId="175" fontId="19" fillId="7" borderId="41" xfId="1" applyNumberFormat="1" applyFont="1" applyFill="1" applyBorder="1" applyAlignment="1">
      <alignment horizontal="right"/>
    </xf>
    <xf numFmtId="175" fontId="21" fillId="7" borderId="27" xfId="1" applyNumberFormat="1" applyFont="1" applyFill="1" applyBorder="1" applyAlignment="1">
      <alignment horizontal="right"/>
    </xf>
    <xf numFmtId="0" fontId="14" fillId="4" borderId="28" xfId="1" applyNumberFormat="1" applyFont="1" applyFill="1" applyBorder="1" applyAlignment="1">
      <alignment horizontal="left" vertical="top" wrapText="1"/>
    </xf>
    <xf numFmtId="0" fontId="32" fillId="4" borderId="44" xfId="1" applyNumberFormat="1" applyFont="1" applyFill="1" applyBorder="1" applyAlignment="1">
      <alignment horizontal="center" vertical="top" wrapText="1"/>
    </xf>
    <xf numFmtId="0" fontId="32" fillId="4" borderId="29" xfId="1" applyNumberFormat="1" applyFont="1" applyFill="1" applyBorder="1" applyAlignment="1">
      <alignment horizontal="center" vertical="top" wrapText="1"/>
    </xf>
    <xf numFmtId="175" fontId="19" fillId="4" borderId="45" xfId="1" applyNumberFormat="1" applyFont="1" applyFill="1" applyBorder="1" applyAlignment="1">
      <alignment horizontal="right"/>
    </xf>
    <xf numFmtId="175" fontId="19" fillId="4" borderId="1" xfId="1" applyNumberFormat="1" applyFont="1" applyFill="1" applyBorder="1" applyAlignment="1">
      <alignment horizontal="right"/>
    </xf>
    <xf numFmtId="175" fontId="19" fillId="4" borderId="44" xfId="1" applyNumberFormat="1" applyFont="1" applyFill="1" applyBorder="1" applyAlignment="1">
      <alignment horizontal="right"/>
    </xf>
    <xf numFmtId="175" fontId="21" fillId="4" borderId="29" xfId="1" applyNumberFormat="1" applyFont="1" applyFill="1" applyBorder="1" applyAlignment="1">
      <alignment horizontal="right"/>
    </xf>
    <xf numFmtId="0" fontId="14" fillId="0" borderId="0" xfId="1" applyFont="1"/>
    <xf numFmtId="0" fontId="17" fillId="0" borderId="28" xfId="1" applyNumberFormat="1" applyFont="1" applyBorder="1" applyAlignment="1">
      <alignment horizontal="left" vertical="top" wrapText="1" indent="2"/>
    </xf>
    <xf numFmtId="0" fontId="28" fillId="0" borderId="44" xfId="1" applyNumberFormat="1" applyFont="1" applyBorder="1" applyAlignment="1">
      <alignment horizontal="left" vertical="top" wrapText="1"/>
    </xf>
    <xf numFmtId="0" fontId="28" fillId="0" borderId="29" xfId="1" applyNumberFormat="1" applyFont="1" applyBorder="1" applyAlignment="1">
      <alignment horizontal="left" vertical="top" wrapText="1"/>
    </xf>
    <xf numFmtId="175" fontId="17" fillId="0" borderId="45" xfId="1" applyNumberFormat="1" applyFont="1" applyFill="1" applyBorder="1" applyAlignment="1">
      <alignment horizontal="right" vertical="top"/>
    </xf>
    <xf numFmtId="175" fontId="17" fillId="0" borderId="1" xfId="1" applyNumberFormat="1" applyFont="1" applyFill="1" applyBorder="1" applyAlignment="1">
      <alignment horizontal="right" vertical="top"/>
    </xf>
    <xf numFmtId="175" fontId="17" fillId="0" borderId="44" xfId="1" applyNumberFormat="1" applyFont="1" applyFill="1" applyBorder="1" applyAlignment="1">
      <alignment horizontal="right" vertical="top"/>
    </xf>
    <xf numFmtId="175" fontId="15" fillId="6" borderId="29" xfId="1" applyNumberFormat="1" applyFont="1" applyFill="1" applyBorder="1" applyAlignment="1">
      <alignment horizontal="right" vertical="top"/>
    </xf>
    <xf numFmtId="175" fontId="34" fillId="6" borderId="29" xfId="1" applyNumberFormat="1" applyFont="1" applyFill="1" applyBorder="1" applyAlignment="1">
      <alignment horizontal="right" vertical="top"/>
    </xf>
    <xf numFmtId="175" fontId="17" fillId="0" borderId="45" xfId="1" applyNumberFormat="1" applyFont="1" applyBorder="1" applyAlignment="1">
      <alignment horizontal="right" vertical="top"/>
    </xf>
    <xf numFmtId="175" fontId="17" fillId="0" borderId="1" xfId="1" applyNumberFormat="1" applyFont="1" applyBorder="1" applyAlignment="1">
      <alignment horizontal="right" vertical="top"/>
    </xf>
    <xf numFmtId="175" fontId="17" fillId="0" borderId="44" xfId="1" applyNumberFormat="1" applyFont="1" applyBorder="1" applyAlignment="1">
      <alignment horizontal="right" vertical="top"/>
    </xf>
    <xf numFmtId="0" fontId="17" fillId="0" borderId="33" xfId="1" applyNumberFormat="1" applyFont="1" applyBorder="1" applyAlignment="1">
      <alignment horizontal="left" vertical="center" wrapText="1" indent="2"/>
    </xf>
    <xf numFmtId="0" fontId="28" fillId="0" borderId="46" xfId="1" applyNumberFormat="1" applyFont="1" applyBorder="1" applyAlignment="1">
      <alignment horizontal="left" vertical="center" wrapText="1"/>
    </xf>
    <xf numFmtId="0" fontId="28" fillId="0" borderId="34" xfId="1" applyNumberFormat="1" applyFont="1" applyBorder="1" applyAlignment="1">
      <alignment horizontal="left" vertical="center" wrapText="1"/>
    </xf>
    <xf numFmtId="175" fontId="24" fillId="0" borderId="47" xfId="1" applyNumberFormat="1" applyFont="1" applyBorder="1" applyAlignment="1">
      <alignment horizontal="center" vertical="center"/>
    </xf>
    <xf numFmtId="175" fontId="24" fillId="0" borderId="48" xfId="1" applyNumberFormat="1" applyFont="1" applyBorder="1" applyAlignment="1">
      <alignment horizontal="center" vertical="center"/>
    </xf>
    <xf numFmtId="175" fontId="24" fillId="0" borderId="46" xfId="1" applyNumberFormat="1" applyFont="1" applyBorder="1" applyAlignment="1">
      <alignment horizontal="center" vertical="center"/>
    </xf>
    <xf numFmtId="175" fontId="35" fillId="6" borderId="34" xfId="1" applyNumberFormat="1" applyFont="1" applyFill="1" applyBorder="1" applyAlignment="1">
      <alignment horizontal="right" vertical="center"/>
    </xf>
    <xf numFmtId="175" fontId="36" fillId="6" borderId="34" xfId="1" applyNumberFormat="1" applyFont="1" applyFill="1" applyBorder="1" applyAlignment="1">
      <alignment horizontal="right" vertical="center"/>
    </xf>
    <xf numFmtId="0" fontId="14" fillId="0" borderId="0" xfId="1" applyFont="1" applyAlignment="1">
      <alignment vertical="center"/>
    </xf>
    <xf numFmtId="0" fontId="32" fillId="4" borderId="44" xfId="1" applyNumberFormat="1" applyFont="1" applyFill="1" applyBorder="1" applyAlignment="1">
      <alignment horizontal="left" vertical="top" wrapText="1"/>
    </xf>
    <xf numFmtId="0" fontId="32" fillId="4" borderId="29" xfId="1" applyNumberFormat="1" applyFont="1" applyFill="1" applyBorder="1" applyAlignment="1">
      <alignment horizontal="left" vertical="top" wrapText="1"/>
    </xf>
    <xf numFmtId="175" fontId="19" fillId="4" borderId="45" xfId="1" applyNumberFormat="1" applyFont="1" applyFill="1" applyBorder="1" applyAlignment="1">
      <alignment horizontal="right" vertical="top"/>
    </xf>
    <xf numFmtId="175" fontId="19" fillId="4" borderId="1" xfId="1" applyNumberFormat="1" applyFont="1" applyFill="1" applyBorder="1" applyAlignment="1">
      <alignment horizontal="right" vertical="top"/>
    </xf>
    <xf numFmtId="175" fontId="19" fillId="4" borderId="44" xfId="1" applyNumberFormat="1" applyFont="1" applyFill="1" applyBorder="1" applyAlignment="1">
      <alignment horizontal="right" vertical="top"/>
    </xf>
    <xf numFmtId="175" fontId="19" fillId="4" borderId="29" xfId="1" applyNumberFormat="1" applyFont="1" applyFill="1" applyBorder="1" applyAlignment="1">
      <alignment horizontal="right" vertical="top"/>
    </xf>
    <xf numFmtId="175" fontId="21" fillId="4" borderId="29" xfId="1" applyNumberFormat="1" applyFont="1" applyFill="1" applyBorder="1" applyAlignment="1">
      <alignment horizontal="right" vertical="top"/>
    </xf>
    <xf numFmtId="0" fontId="17" fillId="0" borderId="28" xfId="1" applyNumberFormat="1" applyFont="1" applyFill="1" applyBorder="1" applyAlignment="1">
      <alignment horizontal="left" vertical="top" wrapText="1" indent="2"/>
    </xf>
    <xf numFmtId="0" fontId="28" fillId="0" borderId="44" xfId="1" applyNumberFormat="1" applyFont="1" applyFill="1" applyBorder="1" applyAlignment="1">
      <alignment horizontal="left" vertical="top" wrapText="1"/>
    </xf>
    <xf numFmtId="0" fontId="28" fillId="0" borderId="29" xfId="1" applyNumberFormat="1" applyFont="1" applyFill="1" applyBorder="1" applyAlignment="1">
      <alignment horizontal="left" vertical="top" wrapText="1"/>
    </xf>
    <xf numFmtId="0" fontId="17" fillId="0" borderId="0" xfId="1" applyFont="1" applyFill="1"/>
    <xf numFmtId="0" fontId="17" fillId="0" borderId="33" xfId="1" applyNumberFormat="1" applyFont="1" applyFill="1" applyBorder="1" applyAlignment="1">
      <alignment horizontal="left" vertical="top" wrapText="1" indent="2"/>
    </xf>
    <xf numFmtId="0" fontId="28" fillId="0" borderId="46" xfId="1" applyNumberFormat="1" applyFont="1" applyFill="1" applyBorder="1" applyAlignment="1">
      <alignment horizontal="left" vertical="top" wrapText="1"/>
    </xf>
    <xf numFmtId="0" fontId="28" fillId="0" borderId="34" xfId="1" applyNumberFormat="1" applyFont="1" applyFill="1" applyBorder="1" applyAlignment="1">
      <alignment horizontal="left" vertical="top" wrapText="1"/>
    </xf>
    <xf numFmtId="175" fontId="17" fillId="0" borderId="47" xfId="1" applyNumberFormat="1" applyFont="1" applyFill="1" applyBorder="1" applyAlignment="1">
      <alignment horizontal="right" vertical="top"/>
    </xf>
    <xf numFmtId="175" fontId="17" fillId="0" borderId="48" xfId="1" applyNumberFormat="1" applyFont="1" applyFill="1" applyBorder="1" applyAlignment="1">
      <alignment horizontal="right" vertical="top"/>
    </xf>
    <xf numFmtId="175" fontId="17" fillId="0" borderId="46" xfId="1" applyNumberFormat="1" applyFont="1" applyFill="1" applyBorder="1" applyAlignment="1">
      <alignment horizontal="right" vertical="top"/>
    </xf>
    <xf numFmtId="175" fontId="15" fillId="6" borderId="34" xfId="1" applyNumberFormat="1" applyFont="1" applyFill="1" applyBorder="1" applyAlignment="1">
      <alignment horizontal="right" vertical="top"/>
    </xf>
    <xf numFmtId="175" fontId="34" fillId="6" borderId="34" xfId="1" applyNumberFormat="1" applyFont="1" applyFill="1" applyBorder="1" applyAlignment="1">
      <alignment horizontal="right" vertical="top"/>
    </xf>
    <xf numFmtId="175" fontId="19" fillId="7" borderId="42" xfId="1" applyNumberFormat="1" applyFont="1" applyFill="1" applyBorder="1" applyAlignment="1">
      <alignment horizontal="right" vertical="top"/>
    </xf>
    <xf numFmtId="175" fontId="19" fillId="7" borderId="43" xfId="1" applyNumberFormat="1" applyFont="1" applyFill="1" applyBorder="1" applyAlignment="1">
      <alignment horizontal="right" vertical="top"/>
    </xf>
    <xf numFmtId="175" fontId="19" fillId="7" borderId="41" xfId="1" applyNumberFormat="1" applyFont="1" applyFill="1" applyBorder="1" applyAlignment="1">
      <alignment horizontal="right" vertical="top"/>
    </xf>
    <xf numFmtId="175" fontId="19" fillId="7" borderId="27" xfId="1" applyNumberFormat="1" applyFont="1" applyFill="1" applyBorder="1" applyAlignment="1">
      <alignment horizontal="right" vertical="top"/>
    </xf>
    <xf numFmtId="175" fontId="21" fillId="7" borderId="27" xfId="1" applyNumberFormat="1" applyFont="1" applyFill="1" applyBorder="1" applyAlignment="1">
      <alignment horizontal="right" vertical="top"/>
    </xf>
    <xf numFmtId="0" fontId="17" fillId="0" borderId="28" xfId="1" applyNumberFormat="1" applyFont="1" applyBorder="1" applyAlignment="1">
      <alignment horizontal="left" vertical="top" wrapText="1" indent="3"/>
    </xf>
    <xf numFmtId="0" fontId="14" fillId="0" borderId="28" xfId="1" applyNumberFormat="1" applyFont="1" applyBorder="1" applyAlignment="1">
      <alignment horizontal="left" vertical="top" wrapText="1" indent="2"/>
    </xf>
    <xf numFmtId="0" fontId="32" fillId="0" borderId="44" xfId="1" applyNumberFormat="1" applyFont="1" applyBorder="1" applyAlignment="1">
      <alignment horizontal="left" vertical="top" wrapText="1"/>
    </xf>
    <xf numFmtId="0" fontId="32" fillId="0" borderId="29" xfId="1" applyNumberFormat="1" applyFont="1" applyBorder="1" applyAlignment="1">
      <alignment horizontal="left" vertical="top" wrapText="1"/>
    </xf>
    <xf numFmtId="175" fontId="14" fillId="0" borderId="45" xfId="1" applyNumberFormat="1" applyFont="1" applyBorder="1" applyAlignment="1">
      <alignment horizontal="right" vertical="top"/>
    </xf>
    <xf numFmtId="175" fontId="14" fillId="0" borderId="1" xfId="1" applyNumberFormat="1" applyFont="1" applyBorder="1" applyAlignment="1">
      <alignment horizontal="right" vertical="top"/>
    </xf>
    <xf numFmtId="175" fontId="14" fillId="0" borderId="44" xfId="1" applyNumberFormat="1" applyFont="1" applyBorder="1" applyAlignment="1">
      <alignment horizontal="right" vertical="top"/>
    </xf>
    <xf numFmtId="175" fontId="19" fillId="6" borderId="29" xfId="1" applyNumberFormat="1" applyFont="1" applyFill="1" applyBorder="1" applyAlignment="1">
      <alignment horizontal="right" vertical="top"/>
    </xf>
    <xf numFmtId="175" fontId="21" fillId="6" borderId="29" xfId="1" applyNumberFormat="1" applyFont="1" applyFill="1" applyBorder="1" applyAlignment="1">
      <alignment horizontal="right" vertical="top"/>
    </xf>
    <xf numFmtId="0" fontId="14" fillId="0" borderId="33" xfId="1" applyNumberFormat="1" applyFont="1" applyBorder="1" applyAlignment="1">
      <alignment horizontal="left" vertical="top" wrapText="1" indent="2"/>
    </xf>
    <xf numFmtId="0" fontId="32" fillId="0" borderId="46" xfId="1" applyNumberFormat="1" applyFont="1" applyBorder="1" applyAlignment="1">
      <alignment horizontal="left" vertical="top" wrapText="1"/>
    </xf>
    <xf numFmtId="0" fontId="32" fillId="0" borderId="34" xfId="1" applyNumberFormat="1" applyFont="1" applyBorder="1" applyAlignment="1">
      <alignment horizontal="left" vertical="top" wrapText="1"/>
    </xf>
    <xf numFmtId="175" fontId="14" fillId="0" borderId="47" xfId="1" applyNumberFormat="1" applyFont="1" applyBorder="1" applyAlignment="1">
      <alignment horizontal="right" vertical="top"/>
    </xf>
    <xf numFmtId="175" fontId="14" fillId="0" borderId="48" xfId="1" applyNumberFormat="1" applyFont="1" applyBorder="1" applyAlignment="1">
      <alignment horizontal="right" vertical="top"/>
    </xf>
    <xf numFmtId="175" fontId="14" fillId="0" borderId="46" xfId="1" applyNumberFormat="1" applyFont="1" applyBorder="1" applyAlignment="1">
      <alignment horizontal="right" vertical="top"/>
    </xf>
    <xf numFmtId="175" fontId="19" fillId="6" borderId="34" xfId="1" applyNumberFormat="1" applyFont="1" applyFill="1" applyBorder="1" applyAlignment="1">
      <alignment horizontal="right" vertical="top"/>
    </xf>
    <xf numFmtId="175" fontId="21" fillId="6" borderId="34" xfId="1" applyNumberFormat="1" applyFont="1" applyFill="1" applyBorder="1" applyAlignment="1">
      <alignment horizontal="right" vertical="top"/>
    </xf>
    <xf numFmtId="175" fontId="12" fillId="8" borderId="40" xfId="1" applyNumberFormat="1" applyFont="1" applyFill="1" applyBorder="1" applyAlignment="1">
      <alignment horizontal="right"/>
    </xf>
    <xf numFmtId="175" fontId="12" fillId="8" borderId="2" xfId="1" applyNumberFormat="1" applyFont="1" applyFill="1" applyBorder="1" applyAlignment="1">
      <alignment horizontal="right"/>
    </xf>
    <xf numFmtId="175" fontId="33" fillId="8" borderId="5" xfId="1" applyNumberFormat="1" applyFont="1" applyFill="1" applyBorder="1" applyAlignment="1">
      <alignment horizontal="right"/>
    </xf>
    <xf numFmtId="0" fontId="28" fillId="0" borderId="44" xfId="1" applyNumberFormat="1" applyFont="1" applyFill="1" applyBorder="1" applyAlignment="1">
      <alignment horizontal="center" vertical="top" wrapText="1"/>
    </xf>
    <xf numFmtId="0" fontId="28" fillId="0" borderId="29" xfId="1" applyNumberFormat="1" applyFont="1" applyFill="1" applyBorder="1" applyAlignment="1">
      <alignment horizontal="center" vertical="top" wrapText="1"/>
    </xf>
    <xf numFmtId="175" fontId="17" fillId="0" borderId="45" xfId="1" applyNumberFormat="1" applyFont="1" applyFill="1" applyBorder="1" applyAlignment="1">
      <alignment horizontal="right"/>
    </xf>
    <xf numFmtId="175" fontId="17" fillId="0" borderId="1" xfId="1" applyNumberFormat="1" applyFont="1" applyFill="1" applyBorder="1" applyAlignment="1">
      <alignment horizontal="right"/>
    </xf>
    <xf numFmtId="175" fontId="17" fillId="0" borderId="44" xfId="1" applyNumberFormat="1" applyFont="1" applyFill="1" applyBorder="1" applyAlignment="1">
      <alignment horizontal="right"/>
    </xf>
    <xf numFmtId="175" fontId="15" fillId="6" borderId="29" xfId="1" applyNumberFormat="1" applyFont="1" applyFill="1" applyBorder="1" applyAlignment="1">
      <alignment horizontal="right"/>
    </xf>
    <xf numFmtId="175" fontId="34" fillId="6" borderId="29" xfId="1" applyNumberFormat="1" applyFont="1" applyFill="1" applyBorder="1" applyAlignment="1">
      <alignment horizontal="right"/>
    </xf>
    <xf numFmtId="175" fontId="17" fillId="13" borderId="1" xfId="1" applyNumberFormat="1" applyFont="1" applyFill="1" applyBorder="1" applyAlignment="1">
      <alignment horizontal="right" vertical="top"/>
    </xf>
    <xf numFmtId="0" fontId="17" fillId="0" borderId="28" xfId="1" applyNumberFormat="1" applyFont="1" applyFill="1" applyBorder="1" applyAlignment="1">
      <alignment horizontal="left" vertical="top" wrapText="1" indent="3"/>
    </xf>
    <xf numFmtId="0" fontId="17" fillId="0" borderId="28" xfId="1" applyFont="1" applyFill="1" applyBorder="1"/>
    <xf numFmtId="0" fontId="17" fillId="0" borderId="44" xfId="1" applyFont="1" applyFill="1" applyBorder="1"/>
    <xf numFmtId="0" fontId="17" fillId="0" borderId="29" xfId="1" applyFont="1" applyFill="1" applyBorder="1"/>
    <xf numFmtId="0" fontId="17" fillId="0" borderId="45" xfId="1" applyFont="1" applyFill="1" applyBorder="1"/>
    <xf numFmtId="0" fontId="17" fillId="0" borderId="1" xfId="1" applyFont="1" applyFill="1" applyBorder="1"/>
    <xf numFmtId="0" fontId="15" fillId="6" borderId="29" xfId="1" applyFont="1" applyFill="1" applyBorder="1"/>
    <xf numFmtId="0" fontId="34" fillId="6" borderId="29" xfId="1" applyFont="1" applyFill="1" applyBorder="1"/>
    <xf numFmtId="175" fontId="17" fillId="0" borderId="45" xfId="1" applyNumberFormat="1" applyFont="1" applyBorder="1" applyAlignment="1">
      <alignment horizontal="right"/>
    </xf>
    <xf numFmtId="175" fontId="17" fillId="0" borderId="1" xfId="1" applyNumberFormat="1" applyFont="1" applyBorder="1" applyAlignment="1">
      <alignment horizontal="right"/>
    </xf>
    <xf numFmtId="175" fontId="17" fillId="0" borderId="44" xfId="1" applyNumberFormat="1" applyFont="1" applyBorder="1" applyAlignment="1">
      <alignment horizontal="right"/>
    </xf>
    <xf numFmtId="0" fontId="18" fillId="0" borderId="0" xfId="1" applyFont="1"/>
    <xf numFmtId="0" fontId="16" fillId="0" borderId="0" xfId="1" applyFont="1" applyFill="1"/>
    <xf numFmtId="0" fontId="34" fillId="0" borderId="28" xfId="1" applyNumberFormat="1" applyFont="1" applyFill="1" applyBorder="1" applyAlignment="1">
      <alignment horizontal="left" vertical="top" wrapText="1" indent="2"/>
    </xf>
    <xf numFmtId="0" fontId="39" fillId="0" borderId="44" xfId="1" applyNumberFormat="1" applyFont="1" applyFill="1" applyBorder="1" applyAlignment="1">
      <alignment horizontal="left" vertical="top" wrapText="1"/>
    </xf>
    <xf numFmtId="0" fontId="39" fillId="0" borderId="29" xfId="1" applyNumberFormat="1" applyFont="1" applyFill="1" applyBorder="1" applyAlignment="1">
      <alignment horizontal="left" vertical="top" wrapText="1"/>
    </xf>
    <xf numFmtId="175" fontId="34" fillId="0" borderId="45" xfId="1" applyNumberFormat="1" applyFont="1" applyFill="1" applyBorder="1" applyAlignment="1">
      <alignment horizontal="right" vertical="top"/>
    </xf>
    <xf numFmtId="175" fontId="34" fillId="0" borderId="1" xfId="1" applyNumberFormat="1" applyFont="1" applyFill="1" applyBorder="1" applyAlignment="1">
      <alignment horizontal="right" vertical="top"/>
    </xf>
    <xf numFmtId="0" fontId="16" fillId="0" borderId="0" xfId="1" applyFont="1"/>
    <xf numFmtId="175" fontId="17" fillId="0" borderId="0" xfId="1" applyNumberFormat="1" applyFont="1"/>
    <xf numFmtId="0" fontId="40" fillId="0" borderId="0" xfId="1" applyFont="1"/>
    <xf numFmtId="174" fontId="41" fillId="0" borderId="0" xfId="1" applyNumberFormat="1" applyFont="1"/>
    <xf numFmtId="174" fontId="40" fillId="0" borderId="0" xfId="1" applyNumberFormat="1" applyFont="1"/>
    <xf numFmtId="174" fontId="0" fillId="0" borderId="0" xfId="1" applyNumberFormat="1" applyFont="1"/>
    <xf numFmtId="0" fontId="42" fillId="0" borderId="0" xfId="1" applyFont="1" applyAlignment="1">
      <alignment horizontal="center"/>
    </xf>
    <xf numFmtId="0" fontId="43" fillId="0" borderId="0" xfId="1" applyFont="1"/>
    <xf numFmtId="10" fontId="31" fillId="0" borderId="0" xfId="1" applyNumberFormat="1" applyFont="1"/>
    <xf numFmtId="174" fontId="44" fillId="0" borderId="0" xfId="1" applyNumberFormat="1" applyFont="1"/>
    <xf numFmtId="174" fontId="44" fillId="14" borderId="0" xfId="1" applyNumberFormat="1" applyFont="1" applyFill="1"/>
    <xf numFmtId="174" fontId="31" fillId="0" borderId="0" xfId="1" applyNumberFormat="1" applyFont="1"/>
    <xf numFmtId="0" fontId="19" fillId="3" borderId="16" xfId="1" applyFont="1" applyFill="1" applyBorder="1"/>
    <xf numFmtId="0" fontId="19" fillId="11" borderId="19" xfId="1" applyFont="1" applyFill="1" applyBorder="1" applyAlignment="1"/>
    <xf numFmtId="0" fontId="14" fillId="11" borderId="3" xfId="1" applyFont="1" applyFill="1" applyBorder="1"/>
    <xf numFmtId="174" fontId="14" fillId="11" borderId="3" xfId="1" applyNumberFormat="1" applyFont="1" applyFill="1" applyBorder="1"/>
    <xf numFmtId="174" fontId="14" fillId="8" borderId="19" xfId="1" applyNumberFormat="1" applyFont="1" applyFill="1" applyBorder="1" applyAlignment="1"/>
    <xf numFmtId="0" fontId="14" fillId="12" borderId="3" xfId="1" applyFont="1" applyFill="1" applyBorder="1"/>
    <xf numFmtId="174" fontId="14" fillId="12" borderId="3" xfId="1" applyNumberFormat="1" applyFont="1" applyFill="1" applyBorder="1"/>
    <xf numFmtId="0" fontId="19" fillId="15" borderId="16" xfId="1" applyFont="1" applyFill="1" applyBorder="1" applyAlignment="1"/>
    <xf numFmtId="0" fontId="12" fillId="15" borderId="2" xfId="1" applyFont="1" applyFill="1" applyBorder="1"/>
    <xf numFmtId="174" fontId="12" fillId="15" borderId="3" xfId="1" applyNumberFormat="1" applyFont="1" applyFill="1" applyBorder="1"/>
    <xf numFmtId="174" fontId="12" fillId="15" borderId="4" xfId="1" applyNumberFormat="1" applyFont="1" applyFill="1" applyBorder="1"/>
    <xf numFmtId="0" fontId="19" fillId="12" borderId="16" xfId="1" applyFont="1" applyFill="1" applyBorder="1" applyAlignment="1"/>
    <xf numFmtId="0" fontId="12" fillId="12" borderId="2" xfId="1" applyFont="1" applyFill="1" applyBorder="1"/>
    <xf numFmtId="174" fontId="12" fillId="12" borderId="3" xfId="1" applyNumberFormat="1" applyFont="1" applyFill="1" applyBorder="1"/>
    <xf numFmtId="174" fontId="12" fillId="12" borderId="4" xfId="1" applyNumberFormat="1" applyFont="1" applyFill="1" applyBorder="1"/>
    <xf numFmtId="174" fontId="12" fillId="12" borderId="5" xfId="1" applyNumberFormat="1" applyFont="1" applyFill="1" applyBorder="1"/>
    <xf numFmtId="0" fontId="19" fillId="3" borderId="24" xfId="1" applyFont="1" applyFill="1" applyBorder="1"/>
    <xf numFmtId="0" fontId="19" fillId="11" borderId="25" xfId="1" applyFont="1" applyFill="1" applyBorder="1"/>
    <xf numFmtId="0" fontId="14" fillId="2" borderId="0" xfId="1" applyFont="1" applyFill="1" applyBorder="1" applyAlignment="1">
      <alignment horizontal="center"/>
    </xf>
    <xf numFmtId="0" fontId="14" fillId="2" borderId="0" xfId="1" applyFont="1" applyFill="1" applyBorder="1"/>
    <xf numFmtId="174" fontId="14" fillId="2" borderId="0" xfId="1" applyNumberFormat="1" applyFont="1" applyFill="1" applyBorder="1"/>
    <xf numFmtId="174" fontId="31" fillId="8" borderId="25" xfId="1" applyNumberFormat="1" applyFont="1" applyFill="1" applyBorder="1"/>
    <xf numFmtId="0" fontId="19" fillId="15" borderId="25" xfId="1" applyFont="1" applyFill="1" applyBorder="1"/>
    <xf numFmtId="0" fontId="11" fillId="2" borderId="10" xfId="1" applyFont="1" applyFill="1" applyBorder="1" applyAlignment="1">
      <alignment horizontal="center"/>
    </xf>
    <xf numFmtId="0" fontId="11" fillId="2" borderId="49" xfId="1" applyFont="1" applyFill="1" applyBorder="1"/>
    <xf numFmtId="174" fontId="11" fillId="2" borderId="50" xfId="1" applyNumberFormat="1" applyFont="1" applyFill="1" applyBorder="1"/>
    <xf numFmtId="0" fontId="19" fillId="12" borderId="25" xfId="1" applyFont="1" applyFill="1" applyBorder="1"/>
    <xf numFmtId="174" fontId="11" fillId="2" borderId="51" xfId="1" applyNumberFormat="1" applyFont="1" applyFill="1" applyBorder="1"/>
    <xf numFmtId="0" fontId="22" fillId="3" borderId="24" xfId="1" applyFont="1" applyFill="1" applyBorder="1" applyAlignment="1">
      <alignment horizontal="center" vertical="center" wrapText="1"/>
    </xf>
    <xf numFmtId="0" fontId="17" fillId="11" borderId="25" xfId="1" applyFont="1" applyFill="1" applyBorder="1" applyAlignment="1">
      <alignment horizontal="center" wrapText="1"/>
    </xf>
    <xf numFmtId="0" fontId="14" fillId="2" borderId="40" xfId="1" applyFont="1" applyFill="1" applyBorder="1" applyAlignment="1">
      <alignment horizontal="center" wrapText="1"/>
    </xf>
    <xf numFmtId="0" fontId="44" fillId="2" borderId="7" xfId="1" applyFont="1" applyFill="1" applyBorder="1" applyAlignment="1">
      <alignment horizontal="center" wrapText="1"/>
    </xf>
    <xf numFmtId="0" fontId="14" fillId="2" borderId="7" xfId="1" applyFont="1" applyFill="1" applyBorder="1" applyAlignment="1">
      <alignment horizontal="center" wrapText="1"/>
    </xf>
    <xf numFmtId="174" fontId="19" fillId="2" borderId="38" xfId="1" applyNumberFormat="1" applyFont="1" applyFill="1" applyBorder="1" applyAlignment="1">
      <alignment horizontal="center" wrapText="1"/>
    </xf>
    <xf numFmtId="174" fontId="31" fillId="8" borderId="25" xfId="1" applyNumberFormat="1" applyFont="1" applyFill="1" applyBorder="1" applyAlignment="1">
      <alignment horizontal="center" wrapText="1"/>
    </xf>
    <xf numFmtId="174" fontId="19" fillId="2" borderId="39" xfId="1" applyNumberFormat="1" applyFont="1" applyFill="1" applyBorder="1" applyAlignment="1">
      <alignment horizontal="center" wrapText="1"/>
    </xf>
    <xf numFmtId="0" fontId="17" fillId="15" borderId="25" xfId="1" applyFont="1" applyFill="1" applyBorder="1" applyAlignment="1">
      <alignment horizontal="center" wrapText="1"/>
    </xf>
    <xf numFmtId="0" fontId="11" fillId="2" borderId="6" xfId="1" applyFont="1" applyFill="1" applyBorder="1" applyAlignment="1">
      <alignment horizontal="center" wrapText="1"/>
    </xf>
    <xf numFmtId="0" fontId="45" fillId="2" borderId="7" xfId="1" applyFont="1" applyFill="1" applyBorder="1" applyAlignment="1">
      <alignment horizontal="center" wrapText="1"/>
    </xf>
    <xf numFmtId="174" fontId="12" fillId="2" borderId="39" xfId="1" applyNumberFormat="1" applyFont="1" applyFill="1" applyBorder="1" applyAlignment="1">
      <alignment horizontal="center" wrapText="1"/>
    </xf>
    <xf numFmtId="0" fontId="17" fillId="12" borderId="25" xfId="1" applyFont="1" applyFill="1" applyBorder="1" applyAlignment="1">
      <alignment horizontal="center" wrapText="1"/>
    </xf>
    <xf numFmtId="174" fontId="12" fillId="2" borderId="5" xfId="1" applyNumberFormat="1" applyFont="1" applyFill="1" applyBorder="1" applyAlignment="1">
      <alignment horizontal="center" wrapText="1"/>
    </xf>
    <xf numFmtId="0" fontId="17" fillId="0" borderId="0" xfId="1" applyFont="1" applyAlignment="1">
      <alignment horizontal="center" wrapText="1"/>
    </xf>
    <xf numFmtId="0" fontId="21" fillId="4" borderId="13" xfId="1" applyFont="1" applyFill="1" applyBorder="1" applyAlignment="1">
      <alignment horizontal="right"/>
    </xf>
    <xf numFmtId="0" fontId="21" fillId="11" borderId="25" xfId="1" applyFont="1" applyFill="1" applyBorder="1" applyAlignment="1">
      <alignment horizontal="right"/>
    </xf>
    <xf numFmtId="177" fontId="21" fillId="4" borderId="52" xfId="1" applyNumberFormat="1" applyFont="1" applyFill="1" applyBorder="1"/>
    <xf numFmtId="177" fontId="44" fillId="4" borderId="11" xfId="1" applyNumberFormat="1" applyFont="1" applyFill="1" applyBorder="1"/>
    <xf numFmtId="10" fontId="18" fillId="16" borderId="11" xfId="1" applyNumberFormat="1" applyFont="1" applyFill="1" applyBorder="1"/>
    <xf numFmtId="173" fontId="19" fillId="4" borderId="53" xfId="1" applyNumberFormat="1" applyFont="1" applyFill="1" applyBorder="1"/>
    <xf numFmtId="10" fontId="31" fillId="8" borderId="25" xfId="1" applyNumberFormat="1" applyFont="1" applyFill="1" applyBorder="1"/>
    <xf numFmtId="0" fontId="21" fillId="15" borderId="25" xfId="1" applyFont="1" applyFill="1" applyBorder="1" applyAlignment="1">
      <alignment horizontal="right"/>
    </xf>
    <xf numFmtId="177" fontId="33" fillId="4" borderId="26" xfId="1" applyNumberFormat="1" applyFont="1" applyFill="1" applyBorder="1"/>
    <xf numFmtId="177" fontId="45" fillId="4" borderId="43" xfId="1" applyNumberFormat="1" applyFont="1" applyFill="1" applyBorder="1"/>
    <xf numFmtId="10" fontId="18" fillId="4" borderId="11" xfId="1" applyNumberFormat="1" applyFont="1" applyFill="1" applyBorder="1"/>
    <xf numFmtId="173" fontId="12" fillId="4" borderId="54" xfId="1" applyNumberFormat="1" applyFont="1" applyFill="1" applyBorder="1"/>
    <xf numFmtId="0" fontId="21" fillId="12" borderId="25" xfId="1" applyFont="1" applyFill="1" applyBorder="1" applyAlignment="1">
      <alignment horizontal="right"/>
    </xf>
    <xf numFmtId="173" fontId="12" fillId="4" borderId="27" xfId="1" applyNumberFormat="1" applyFont="1" applyFill="1" applyBorder="1"/>
    <xf numFmtId="0" fontId="34" fillId="0" borderId="12" xfId="1" applyFont="1" applyBorder="1" applyAlignment="1">
      <alignment horizontal="right"/>
    </xf>
    <xf numFmtId="0" fontId="34" fillId="11" borderId="25" xfId="1" applyFont="1" applyFill="1" applyBorder="1" applyAlignment="1">
      <alignment horizontal="right"/>
    </xf>
    <xf numFmtId="177" fontId="34" fillId="0" borderId="45" xfId="1" applyNumberFormat="1" applyFont="1" applyBorder="1"/>
    <xf numFmtId="177" fontId="44" fillId="0" borderId="1" xfId="1" applyNumberFormat="1" applyFont="1" applyBorder="1"/>
    <xf numFmtId="10" fontId="26" fillId="0" borderId="1" xfId="1" applyNumberFormat="1" applyFont="1" applyBorder="1"/>
    <xf numFmtId="173" fontId="15" fillId="0" borderId="44" xfId="1" applyNumberFormat="1" applyFont="1" applyBorder="1"/>
    <xf numFmtId="10" fontId="46" fillId="8" borderId="25" xfId="1" applyNumberFormat="1" applyFont="1" applyFill="1" applyBorder="1" applyAlignment="1">
      <alignment horizontal="right" vertical="top"/>
    </xf>
    <xf numFmtId="0" fontId="34" fillId="15" borderId="25" xfId="1" applyFont="1" applyFill="1" applyBorder="1" applyAlignment="1">
      <alignment horizontal="right"/>
    </xf>
    <xf numFmtId="177" fontId="47" fillId="0" borderId="28" xfId="1" applyNumberFormat="1" applyFont="1" applyBorder="1"/>
    <xf numFmtId="177" fontId="45" fillId="0" borderId="1" xfId="1" applyNumberFormat="1" applyFont="1" applyBorder="1"/>
    <xf numFmtId="173" fontId="48" fillId="0" borderId="55" xfId="1" applyNumberFormat="1" applyFont="1" applyBorder="1"/>
    <xf numFmtId="0" fontId="34" fillId="12" borderId="25" xfId="1" applyFont="1" applyFill="1" applyBorder="1" applyAlignment="1">
      <alignment horizontal="right"/>
    </xf>
    <xf numFmtId="173" fontId="48" fillId="0" borderId="29" xfId="1" applyNumberFormat="1" applyFont="1" applyBorder="1"/>
    <xf numFmtId="10" fontId="46" fillId="8" borderId="25" xfId="1" applyNumberFormat="1" applyFont="1" applyFill="1" applyBorder="1"/>
    <xf numFmtId="0" fontId="34" fillId="0" borderId="14" xfId="1" applyFont="1" applyBorder="1" applyAlignment="1">
      <alignment horizontal="right"/>
    </xf>
    <xf numFmtId="177" fontId="34" fillId="0" borderId="47" xfId="1" applyNumberFormat="1" applyFont="1" applyBorder="1"/>
    <xf numFmtId="177" fontId="44" fillId="0" borderId="48" xfId="1" applyNumberFormat="1" applyFont="1" applyBorder="1"/>
    <xf numFmtId="177" fontId="47" fillId="0" borderId="33" xfId="1" applyNumberFormat="1" applyFont="1" applyBorder="1"/>
    <xf numFmtId="177" fontId="45" fillId="0" borderId="48" xfId="1" applyNumberFormat="1" applyFont="1" applyBorder="1"/>
    <xf numFmtId="173" fontId="48" fillId="0" borderId="56" xfId="1" applyNumberFormat="1" applyFont="1" applyBorder="1"/>
    <xf numFmtId="173" fontId="48" fillId="0" borderId="34" xfId="1" applyNumberFormat="1" applyFont="1" applyBorder="1"/>
    <xf numFmtId="0" fontId="17" fillId="3" borderId="0" xfId="1" applyFont="1" applyFill="1" applyAlignment="1">
      <alignment horizontal="center" wrapText="1"/>
    </xf>
    <xf numFmtId="0" fontId="14" fillId="2" borderId="20" xfId="1" applyFont="1" applyFill="1" applyBorder="1" applyAlignment="1">
      <alignment horizontal="center" wrapText="1"/>
    </xf>
    <xf numFmtId="0" fontId="14" fillId="2" borderId="57" xfId="1" applyFont="1" applyFill="1" applyBorder="1" applyAlignment="1">
      <alignment horizontal="center" wrapText="1"/>
    </xf>
    <xf numFmtId="0" fontId="43" fillId="2" borderId="21" xfId="1" applyFont="1" applyFill="1" applyBorder="1" applyAlignment="1">
      <alignment horizontal="center" wrapText="1"/>
    </xf>
    <xf numFmtId="0" fontId="14" fillId="2" borderId="21" xfId="1" applyFont="1" applyFill="1" applyBorder="1" applyAlignment="1">
      <alignment horizontal="center" wrapText="1"/>
    </xf>
    <xf numFmtId="0" fontId="14" fillId="2" borderId="23" xfId="1" applyFont="1" applyFill="1" applyBorder="1" applyAlignment="1">
      <alignment horizontal="center" wrapText="1"/>
    </xf>
    <xf numFmtId="0" fontId="11" fillId="2" borderId="23" xfId="1" applyFont="1" applyFill="1" applyBorder="1" applyAlignment="1">
      <alignment horizontal="center" wrapText="1"/>
    </xf>
    <xf numFmtId="0" fontId="12" fillId="2" borderId="57" xfId="1" applyFont="1" applyFill="1" applyBorder="1" applyAlignment="1">
      <alignment horizontal="center" wrapText="1"/>
    </xf>
    <xf numFmtId="0" fontId="12" fillId="2" borderId="21" xfId="1" applyFont="1" applyFill="1" applyBorder="1" applyAlignment="1">
      <alignment horizontal="center" wrapText="1"/>
    </xf>
    <xf numFmtId="0" fontId="11" fillId="2" borderId="19" xfId="1" applyFont="1" applyFill="1" applyBorder="1" applyAlignment="1">
      <alignment horizontal="center" wrapText="1"/>
    </xf>
    <xf numFmtId="0" fontId="11" fillId="2" borderId="22" xfId="1" applyFont="1" applyFill="1" applyBorder="1" applyAlignment="1">
      <alignment horizontal="center" wrapText="1"/>
    </xf>
    <xf numFmtId="0" fontId="14" fillId="11" borderId="25" xfId="1" applyNumberFormat="1" applyFont="1" applyFill="1" applyBorder="1" applyAlignment="1">
      <alignment horizontal="left" vertical="top" wrapText="1"/>
    </xf>
    <xf numFmtId="177" fontId="21" fillId="4" borderId="42" xfId="1" applyNumberFormat="1" applyFont="1" applyFill="1" applyBorder="1" applyAlignment="1">
      <alignment horizontal="center" wrapText="1"/>
    </xf>
    <xf numFmtId="177" fontId="19" fillId="4" borderId="43" xfId="1" applyNumberFormat="1" applyFont="1" applyFill="1" applyBorder="1" applyAlignment="1">
      <alignment horizontal="center" wrapText="1"/>
    </xf>
    <xf numFmtId="177" fontId="43" fillId="4" borderId="43" xfId="1" applyNumberFormat="1" applyFont="1" applyFill="1" applyBorder="1" applyAlignment="1">
      <alignment horizontal="center" wrapText="1"/>
    </xf>
    <xf numFmtId="177" fontId="21" fillId="4" borderId="58" xfId="1" applyNumberFormat="1" applyFont="1" applyFill="1" applyBorder="1" applyAlignment="1">
      <alignment horizontal="center" wrapText="1"/>
    </xf>
    <xf numFmtId="10" fontId="31" fillId="8" borderId="25" xfId="1" applyNumberFormat="1" applyFont="1" applyFill="1" applyBorder="1" applyAlignment="1">
      <alignment horizontal="center" wrapText="1"/>
    </xf>
    <xf numFmtId="0" fontId="14" fillId="15" borderId="25" xfId="1" applyNumberFormat="1" applyFont="1" applyFill="1" applyBorder="1" applyAlignment="1">
      <alignment horizontal="left" vertical="top" wrapText="1"/>
    </xf>
    <xf numFmtId="177" fontId="33" fillId="4" borderId="26" xfId="1" applyNumberFormat="1" applyFont="1" applyFill="1" applyBorder="1" applyAlignment="1">
      <alignment horizontal="center" wrapText="1"/>
    </xf>
    <xf numFmtId="177" fontId="12" fillId="4" borderId="43" xfId="1" applyNumberFormat="1" applyFont="1" applyFill="1" applyBorder="1" applyAlignment="1">
      <alignment horizontal="center" wrapText="1"/>
    </xf>
    <xf numFmtId="174" fontId="49" fillId="4" borderId="27" xfId="1" applyNumberFormat="1" applyFont="1" applyFill="1" applyBorder="1" applyAlignment="1">
      <alignment horizontal="center" wrapText="1"/>
    </xf>
    <xf numFmtId="174" fontId="49" fillId="4" borderId="54" xfId="1" applyNumberFormat="1" applyFont="1" applyFill="1" applyBorder="1" applyAlignment="1">
      <alignment horizontal="center" wrapText="1"/>
    </xf>
    <xf numFmtId="0" fontId="14" fillId="12" borderId="25" xfId="1" applyNumberFormat="1" applyFont="1" applyFill="1" applyBorder="1" applyAlignment="1">
      <alignment horizontal="left" vertical="top" wrapText="1"/>
    </xf>
    <xf numFmtId="0" fontId="17" fillId="0" borderId="12" xfId="1" applyNumberFormat="1" applyFont="1" applyFill="1" applyBorder="1" applyAlignment="1">
      <alignment horizontal="right" vertical="top" wrapText="1"/>
    </xf>
    <xf numFmtId="0" fontId="17" fillId="11" borderId="25" xfId="1" applyNumberFormat="1" applyFont="1" applyFill="1" applyBorder="1" applyAlignment="1">
      <alignment horizontal="right" vertical="top" wrapText="1"/>
    </xf>
    <xf numFmtId="177" fontId="34" fillId="0" borderId="45" xfId="1" applyNumberFormat="1" applyFont="1" applyFill="1" applyBorder="1" applyAlignment="1">
      <alignment horizontal="center" wrapText="1"/>
    </xf>
    <xf numFmtId="173" fontId="15" fillId="0" borderId="1" xfId="1" applyNumberFormat="1" applyFont="1" applyFill="1" applyBorder="1" applyAlignment="1">
      <alignment horizontal="center" wrapText="1"/>
    </xf>
    <xf numFmtId="172" fontId="40" fillId="0" borderId="1" xfId="1" applyNumberFormat="1" applyFont="1" applyFill="1" applyBorder="1" applyAlignment="1">
      <alignment horizontal="center" wrapText="1"/>
    </xf>
    <xf numFmtId="177" fontId="34" fillId="0" borderId="59" xfId="1" applyNumberFormat="1" applyFont="1" applyFill="1" applyBorder="1" applyAlignment="1">
      <alignment horizontal="center" wrapText="1"/>
    </xf>
    <xf numFmtId="10" fontId="46" fillId="8" borderId="25" xfId="1" applyNumberFormat="1" applyFont="1" applyFill="1" applyBorder="1" applyAlignment="1">
      <alignment horizontal="center" wrapText="1"/>
    </xf>
    <xf numFmtId="0" fontId="17" fillId="15" borderId="25" xfId="1" applyNumberFormat="1" applyFont="1" applyFill="1" applyBorder="1" applyAlignment="1">
      <alignment horizontal="right" vertical="top" wrapText="1"/>
    </xf>
    <xf numFmtId="177" fontId="47" fillId="0" borderId="28" xfId="1" applyNumberFormat="1" applyFont="1" applyFill="1" applyBorder="1" applyAlignment="1">
      <alignment horizontal="right" wrapText="1"/>
    </xf>
    <xf numFmtId="177" fontId="48" fillId="0" borderId="28" xfId="1" applyNumberFormat="1" applyFont="1" applyBorder="1"/>
    <xf numFmtId="172" fontId="48" fillId="0" borderId="1" xfId="1" applyNumberFormat="1" applyFont="1" applyFill="1" applyBorder="1" applyAlignment="1">
      <alignment horizontal="right" wrapText="1"/>
    </xf>
    <xf numFmtId="174" fontId="50" fillId="0" borderId="29" xfId="1" applyNumberFormat="1" applyFont="1" applyFill="1" applyBorder="1" applyAlignment="1">
      <alignment horizontal="center" wrapText="1"/>
    </xf>
    <xf numFmtId="174" fontId="50" fillId="0" borderId="55" xfId="1" applyNumberFormat="1" applyFont="1" applyFill="1" applyBorder="1" applyAlignment="1">
      <alignment horizontal="center" wrapText="1"/>
    </xf>
    <xf numFmtId="0" fontId="17" fillId="12" borderId="25" xfId="1" applyNumberFormat="1" applyFont="1" applyFill="1" applyBorder="1" applyAlignment="1">
      <alignment horizontal="right" vertical="top" wrapText="1"/>
    </xf>
    <xf numFmtId="173" fontId="48" fillId="0" borderId="1" xfId="1" applyNumberFormat="1" applyFont="1" applyFill="1" applyBorder="1" applyAlignment="1">
      <alignment horizontal="right" wrapText="1"/>
    </xf>
    <xf numFmtId="0" fontId="17" fillId="0" borderId="15" xfId="1" applyNumberFormat="1" applyFont="1" applyFill="1" applyBorder="1" applyAlignment="1">
      <alignment horizontal="right" vertical="top" wrapText="1"/>
    </xf>
    <xf numFmtId="177" fontId="34" fillId="0" borderId="60" xfId="1" applyNumberFormat="1" applyFont="1" applyFill="1" applyBorder="1" applyAlignment="1">
      <alignment horizontal="center" wrapText="1"/>
    </xf>
    <xf numFmtId="173" fontId="15" fillId="0" borderId="37" xfId="1" applyNumberFormat="1" applyFont="1" applyFill="1" applyBorder="1" applyAlignment="1">
      <alignment horizontal="center" wrapText="1"/>
    </xf>
    <xf numFmtId="172" fontId="40" fillId="0" borderId="37" xfId="1" applyNumberFormat="1" applyFont="1" applyFill="1" applyBorder="1" applyAlignment="1">
      <alignment horizontal="center" wrapText="1"/>
    </xf>
    <xf numFmtId="177" fontId="34" fillId="0" borderId="61" xfId="1" applyNumberFormat="1" applyFont="1" applyFill="1" applyBorder="1" applyAlignment="1">
      <alignment horizontal="center" wrapText="1"/>
    </xf>
    <xf numFmtId="177" fontId="47" fillId="0" borderId="31" xfId="1" applyNumberFormat="1" applyFont="1" applyFill="1" applyBorder="1" applyAlignment="1">
      <alignment horizontal="right" wrapText="1"/>
    </xf>
    <xf numFmtId="173" fontId="48" fillId="0" borderId="37" xfId="1" applyNumberFormat="1" applyFont="1" applyFill="1" applyBorder="1" applyAlignment="1">
      <alignment horizontal="right" wrapText="1"/>
    </xf>
    <xf numFmtId="172" fontId="48" fillId="0" borderId="37" xfId="1" applyNumberFormat="1" applyFont="1" applyFill="1" applyBorder="1" applyAlignment="1">
      <alignment horizontal="right" wrapText="1"/>
    </xf>
    <xf numFmtId="174" fontId="50" fillId="0" borderId="32" xfId="1" applyNumberFormat="1" applyFont="1" applyFill="1" applyBorder="1" applyAlignment="1">
      <alignment horizontal="center" wrapText="1"/>
    </xf>
    <xf numFmtId="174" fontId="50" fillId="0" borderId="62" xfId="1" applyNumberFormat="1" applyFont="1" applyFill="1" applyBorder="1" applyAlignment="1">
      <alignment horizontal="center" wrapText="1"/>
    </xf>
    <xf numFmtId="0" fontId="14" fillId="6" borderId="2" xfId="1" applyNumberFormat="1" applyFont="1" applyFill="1" applyBorder="1" applyAlignment="1">
      <alignment horizontal="right" vertical="top" wrapText="1"/>
    </xf>
    <xf numFmtId="0" fontId="14" fillId="11" borderId="25" xfId="1" applyNumberFormat="1" applyFont="1" applyFill="1" applyBorder="1" applyAlignment="1">
      <alignment horizontal="right" vertical="top" wrapText="1"/>
    </xf>
    <xf numFmtId="10" fontId="21" fillId="6" borderId="40" xfId="1" applyNumberFormat="1" applyFont="1" applyFill="1" applyBorder="1" applyAlignment="1">
      <alignment horizontal="center" wrapText="1"/>
    </xf>
    <xf numFmtId="173" fontId="19" fillId="6" borderId="7" xfId="1" applyNumberFormat="1" applyFont="1" applyFill="1" applyBorder="1" applyAlignment="1">
      <alignment horizontal="center" wrapText="1"/>
    </xf>
    <xf numFmtId="173" fontId="43" fillId="6" borderId="7" xfId="1" applyNumberFormat="1" applyFont="1" applyFill="1" applyBorder="1" applyAlignment="1">
      <alignment horizontal="center" wrapText="1"/>
    </xf>
    <xf numFmtId="174" fontId="31" fillId="6" borderId="38" xfId="1" applyNumberFormat="1" applyFont="1" applyFill="1" applyBorder="1" applyAlignment="1">
      <alignment horizontal="center" wrapText="1"/>
    </xf>
    <xf numFmtId="174" fontId="31" fillId="6" borderId="7" xfId="1" applyNumberFormat="1" applyFont="1" applyFill="1" applyBorder="1" applyAlignment="1">
      <alignment horizontal="center" wrapText="1"/>
    </xf>
    <xf numFmtId="0" fontId="14" fillId="15" borderId="25" xfId="1" applyNumberFormat="1" applyFont="1" applyFill="1" applyBorder="1" applyAlignment="1">
      <alignment horizontal="right" vertical="top" wrapText="1"/>
    </xf>
    <xf numFmtId="10" fontId="33" fillId="6" borderId="6" xfId="1" applyNumberFormat="1" applyFont="1" applyFill="1" applyBorder="1" applyAlignment="1">
      <alignment horizontal="center" wrapText="1"/>
    </xf>
    <xf numFmtId="174" fontId="12" fillId="6" borderId="7" xfId="1" applyNumberFormat="1" applyFont="1" applyFill="1" applyBorder="1" applyAlignment="1">
      <alignment horizontal="center" wrapText="1"/>
    </xf>
    <xf numFmtId="174" fontId="51" fillId="6" borderId="7" xfId="1" applyNumberFormat="1" applyFont="1" applyFill="1" applyBorder="1" applyAlignment="1">
      <alignment horizontal="center" wrapText="1"/>
    </xf>
    <xf numFmtId="174" fontId="49" fillId="6" borderId="5" xfId="1" applyNumberFormat="1" applyFont="1" applyFill="1" applyBorder="1" applyAlignment="1">
      <alignment horizontal="center" wrapText="1"/>
    </xf>
    <xf numFmtId="174" fontId="49" fillId="6" borderId="39" xfId="1" applyNumberFormat="1" applyFont="1" applyFill="1" applyBorder="1" applyAlignment="1">
      <alignment horizontal="center" wrapText="1"/>
    </xf>
    <xf numFmtId="0" fontId="14" fillId="12" borderId="25" xfId="1" applyNumberFormat="1" applyFont="1" applyFill="1" applyBorder="1" applyAlignment="1">
      <alignment horizontal="right" vertical="top" wrapText="1"/>
    </xf>
    <xf numFmtId="0" fontId="14" fillId="0" borderId="0" xfId="1" applyNumberFormat="1" applyFont="1" applyFill="1" applyBorder="1" applyAlignment="1">
      <alignment horizontal="right" vertical="top" wrapText="1"/>
    </xf>
    <xf numFmtId="173" fontId="19" fillId="0" borderId="0" xfId="1" applyNumberFormat="1" applyFont="1" applyFill="1" applyBorder="1" applyAlignment="1">
      <alignment horizontal="center" wrapText="1"/>
    </xf>
    <xf numFmtId="173" fontId="43" fillId="0" borderId="0" xfId="1" applyNumberFormat="1" applyFont="1" applyFill="1" applyBorder="1" applyAlignment="1">
      <alignment horizontal="center" wrapText="1"/>
    </xf>
    <xf numFmtId="174" fontId="31" fillId="0" borderId="0" xfId="1" applyNumberFormat="1" applyFont="1" applyFill="1" applyBorder="1" applyAlignment="1">
      <alignment horizontal="center" wrapText="1"/>
    </xf>
    <xf numFmtId="174" fontId="44" fillId="0" borderId="0" xfId="1" applyNumberFormat="1" applyFont="1" applyFill="1" applyBorder="1" applyAlignment="1">
      <alignment horizontal="center" wrapText="1"/>
    </xf>
    <xf numFmtId="174" fontId="12" fillId="0" borderId="0" xfId="1" applyNumberFormat="1" applyFont="1" applyFill="1" applyBorder="1" applyAlignment="1">
      <alignment horizontal="center" wrapText="1"/>
    </xf>
    <xf numFmtId="174" fontId="51" fillId="0" borderId="0" xfId="1" applyNumberFormat="1" applyFont="1" applyFill="1" applyBorder="1" applyAlignment="1">
      <alignment horizontal="center" wrapText="1"/>
    </xf>
    <xf numFmtId="174" fontId="49" fillId="0" borderId="0" xfId="1" applyNumberFormat="1" applyFont="1" applyFill="1" applyBorder="1" applyAlignment="1">
      <alignment horizontal="center" wrapText="1"/>
    </xf>
    <xf numFmtId="0" fontId="17" fillId="0" borderId="0" xfId="1" applyFont="1" applyFill="1" applyBorder="1"/>
    <xf numFmtId="0" fontId="14" fillId="2" borderId="17" xfId="1" applyFont="1" applyFill="1" applyBorder="1" applyAlignment="1">
      <alignment horizontal="center"/>
    </xf>
    <xf numFmtId="0" fontId="14" fillId="2" borderId="17" xfId="1" applyFont="1" applyFill="1" applyBorder="1"/>
    <xf numFmtId="174" fontId="14" fillId="2" borderId="17" xfId="1" applyNumberFormat="1" applyFont="1" applyFill="1" applyBorder="1"/>
    <xf numFmtId="0" fontId="14" fillId="15" borderId="24" xfId="1" applyNumberFormat="1" applyFont="1" applyFill="1" applyBorder="1" applyAlignment="1">
      <alignment horizontal="right" vertical="top" wrapText="1"/>
    </xf>
    <xf numFmtId="174" fontId="11" fillId="2" borderId="18" xfId="1" applyNumberFormat="1" applyFont="1" applyFill="1" applyBorder="1"/>
    <xf numFmtId="0" fontId="14" fillId="12" borderId="24" xfId="1" applyNumberFormat="1" applyFont="1" applyFill="1" applyBorder="1" applyAlignment="1">
      <alignment horizontal="right" vertical="top" wrapText="1"/>
    </xf>
    <xf numFmtId="0" fontId="22" fillId="3" borderId="2" xfId="1" applyFont="1" applyFill="1" applyBorder="1" applyAlignment="1">
      <alignment horizontal="center" vertical="center" wrapText="1"/>
    </xf>
    <xf numFmtId="173" fontId="14" fillId="2" borderId="18" xfId="1" applyNumberFormat="1" applyFont="1" applyFill="1" applyBorder="1"/>
    <xf numFmtId="0" fontId="43" fillId="2" borderId="38" xfId="1" applyFont="1" applyFill="1" applyBorder="1" applyAlignment="1">
      <alignment horizontal="center" wrapText="1"/>
    </xf>
    <xf numFmtId="0" fontId="14" fillId="2" borderId="38" xfId="1" applyFont="1" applyFill="1" applyBorder="1" applyAlignment="1">
      <alignment horizontal="center" wrapText="1"/>
    </xf>
    <xf numFmtId="0" fontId="14" fillId="2" borderId="39" xfId="1" applyFont="1" applyFill="1" applyBorder="1" applyAlignment="1">
      <alignment horizontal="center" wrapText="1"/>
    </xf>
    <xf numFmtId="173" fontId="14" fillId="2" borderId="22" xfId="1" applyNumberFormat="1" applyFont="1" applyFill="1" applyBorder="1"/>
    <xf numFmtId="0" fontId="17" fillId="15" borderId="24" xfId="1" applyFont="1" applyFill="1" applyBorder="1" applyAlignment="1">
      <alignment horizontal="center" wrapText="1"/>
    </xf>
    <xf numFmtId="0" fontId="14" fillId="2" borderId="6" xfId="1" applyFont="1" applyFill="1" applyBorder="1" applyAlignment="1">
      <alignment horizontal="center" wrapText="1"/>
    </xf>
    <xf numFmtId="0" fontId="11" fillId="2" borderId="39" xfId="1" applyFont="1" applyFill="1" applyBorder="1" applyAlignment="1">
      <alignment horizontal="center" wrapText="1"/>
    </xf>
    <xf numFmtId="0" fontId="17" fillId="12" borderId="24" xfId="1" applyFont="1" applyFill="1" applyBorder="1" applyAlignment="1">
      <alignment horizontal="center" wrapText="1"/>
    </xf>
    <xf numFmtId="173" fontId="21" fillId="6" borderId="58" xfId="1" applyNumberFormat="1" applyFont="1" applyFill="1" applyBorder="1"/>
    <xf numFmtId="172" fontId="19" fillId="4" borderId="43" xfId="1" applyNumberFormat="1" applyFont="1" applyFill="1" applyBorder="1" applyAlignment="1">
      <alignment horizontal="center" wrapText="1"/>
    </xf>
    <xf numFmtId="172" fontId="43" fillId="4" borderId="43" xfId="1" applyNumberFormat="1" applyFont="1" applyFill="1" applyBorder="1" applyAlignment="1">
      <alignment horizontal="center" wrapText="1"/>
    </xf>
    <xf numFmtId="165" fontId="19" fillId="4" borderId="41" xfId="1" applyNumberFormat="1" applyFont="1" applyFill="1" applyBorder="1" applyAlignment="1">
      <alignment horizontal="center" wrapText="1"/>
    </xf>
    <xf numFmtId="165" fontId="19" fillId="4" borderId="54" xfId="1" applyNumberFormat="1" applyFont="1" applyFill="1" applyBorder="1" applyAlignment="1">
      <alignment horizontal="center" wrapText="1"/>
    </xf>
    <xf numFmtId="173" fontId="21" fillId="6" borderId="41" xfId="1" applyNumberFormat="1" applyFont="1" applyFill="1" applyBorder="1"/>
    <xf numFmtId="0" fontId="14" fillId="15" borderId="24" xfId="1" applyNumberFormat="1" applyFont="1" applyFill="1" applyBorder="1" applyAlignment="1">
      <alignment horizontal="left" vertical="top" wrapText="1"/>
    </xf>
    <xf numFmtId="177" fontId="33" fillId="4" borderId="26" xfId="1" applyNumberFormat="1" applyFont="1" applyFill="1" applyBorder="1" applyAlignment="1">
      <alignment horizontal="right" wrapText="1"/>
    </xf>
    <xf numFmtId="173" fontId="12" fillId="4" borderId="43" xfId="1" applyNumberFormat="1" applyFont="1" applyFill="1" applyBorder="1" applyAlignment="1">
      <alignment horizontal="right" wrapText="1"/>
    </xf>
    <xf numFmtId="165" fontId="12" fillId="4" borderId="54" xfId="1" applyNumberFormat="1" applyFont="1" applyFill="1" applyBorder="1" applyAlignment="1">
      <alignment horizontal="center" wrapText="1"/>
    </xf>
    <xf numFmtId="0" fontId="14" fillId="12" borderId="24" xfId="1" applyNumberFormat="1" applyFont="1" applyFill="1" applyBorder="1" applyAlignment="1">
      <alignment horizontal="left" vertical="top" wrapText="1"/>
    </xf>
    <xf numFmtId="0" fontId="18" fillId="0" borderId="12" xfId="1" applyFont="1" applyBorder="1" applyAlignment="1">
      <alignment horizontal="right"/>
    </xf>
    <xf numFmtId="0" fontId="18" fillId="11" borderId="25" xfId="1" applyFont="1" applyFill="1" applyBorder="1" applyAlignment="1">
      <alignment horizontal="right"/>
    </xf>
    <xf numFmtId="3" fontId="16" fillId="0" borderId="45" xfId="1" applyNumberFormat="1" applyFont="1" applyBorder="1"/>
    <xf numFmtId="172" fontId="15" fillId="0" borderId="1" xfId="1" applyNumberFormat="1" applyFont="1" applyBorder="1"/>
    <xf numFmtId="172" fontId="40" fillId="0" borderId="1" xfId="1" applyNumberFormat="1" applyFont="1" applyBorder="1"/>
    <xf numFmtId="165" fontId="15" fillId="0" borderId="44" xfId="1" applyNumberFormat="1" applyFont="1" applyBorder="1"/>
    <xf numFmtId="174" fontId="46" fillId="8" borderId="25" xfId="1" applyNumberFormat="1" applyFont="1" applyFill="1" applyBorder="1"/>
    <xf numFmtId="172" fontId="40" fillId="0" borderId="1" xfId="1" applyNumberFormat="1" applyFont="1" applyFill="1" applyBorder="1"/>
    <xf numFmtId="165" fontId="15" fillId="0" borderId="55" xfId="1" applyNumberFormat="1" applyFont="1" applyBorder="1"/>
    <xf numFmtId="3" fontId="16" fillId="0" borderId="28" xfId="1" applyNumberFormat="1" applyFont="1" applyBorder="1"/>
    <xf numFmtId="0" fontId="18" fillId="15" borderId="24" xfId="1" applyFont="1" applyFill="1" applyBorder="1" applyAlignment="1">
      <alignment horizontal="right"/>
    </xf>
    <xf numFmtId="177" fontId="47" fillId="0" borderId="45" xfId="1" applyNumberFormat="1" applyFont="1" applyFill="1" applyBorder="1" applyAlignment="1">
      <alignment horizontal="right" wrapText="1"/>
    </xf>
    <xf numFmtId="172" fontId="48" fillId="0" borderId="55" xfId="1" applyNumberFormat="1" applyFont="1" applyBorder="1"/>
    <xf numFmtId="0" fontId="18" fillId="12" borderId="24" xfId="1" applyFont="1" applyFill="1" applyBorder="1" applyAlignment="1">
      <alignment horizontal="right"/>
    </xf>
    <xf numFmtId="3" fontId="52" fillId="0" borderId="28" xfId="1" applyNumberFormat="1" applyFont="1" applyBorder="1" applyAlignment="1">
      <alignment horizontal="right"/>
    </xf>
    <xf numFmtId="173" fontId="47" fillId="0" borderId="1" xfId="1" applyNumberFormat="1" applyFont="1" applyBorder="1" applyAlignment="1">
      <alignment horizontal="right"/>
    </xf>
    <xf numFmtId="3" fontId="16" fillId="0" borderId="45" xfId="1" applyNumberFormat="1" applyFont="1" applyFill="1" applyBorder="1"/>
    <xf numFmtId="3" fontId="16" fillId="0" borderId="28" xfId="1" applyNumberFormat="1" applyFont="1" applyFill="1" applyBorder="1"/>
    <xf numFmtId="3" fontId="52" fillId="0" borderId="28" xfId="1" applyNumberFormat="1" applyFont="1" applyFill="1" applyBorder="1" applyAlignment="1">
      <alignment horizontal="right"/>
    </xf>
    <xf numFmtId="0" fontId="18" fillId="0" borderId="15" xfId="1" applyFont="1" applyBorder="1" applyAlignment="1">
      <alignment horizontal="right"/>
    </xf>
    <xf numFmtId="3" fontId="16" fillId="0" borderId="60" xfId="1" applyNumberFormat="1" applyFont="1" applyFill="1" applyBorder="1"/>
    <xf numFmtId="172" fontId="15" fillId="0" borderId="37" xfId="1" applyNumberFormat="1" applyFont="1" applyBorder="1"/>
    <xf numFmtId="172" fontId="40" fillId="0" borderId="37" xfId="1" applyNumberFormat="1" applyFont="1" applyFill="1" applyBorder="1"/>
    <xf numFmtId="165" fontId="15" fillId="0" borderId="63" xfId="1" applyNumberFormat="1" applyFont="1" applyBorder="1"/>
    <xf numFmtId="165" fontId="15" fillId="0" borderId="62" xfId="1" applyNumberFormat="1" applyFont="1" applyBorder="1"/>
    <xf numFmtId="3" fontId="16" fillId="0" borderId="31" xfId="1" applyNumberFormat="1" applyFont="1" applyFill="1" applyBorder="1"/>
    <xf numFmtId="3" fontId="52" fillId="0" borderId="31" xfId="1" applyNumberFormat="1" applyFont="1" applyFill="1" applyBorder="1" applyAlignment="1">
      <alignment horizontal="right"/>
    </xf>
    <xf numFmtId="173" fontId="47" fillId="0" borderId="37" xfId="1" applyNumberFormat="1" applyFont="1" applyBorder="1" applyAlignment="1">
      <alignment horizontal="right"/>
    </xf>
    <xf numFmtId="172" fontId="48" fillId="0" borderId="62" xfId="1" applyNumberFormat="1" applyFont="1" applyBorder="1"/>
    <xf numFmtId="0" fontId="14" fillId="0" borderId="2" xfId="1" applyFont="1" applyBorder="1" applyAlignment="1">
      <alignment horizontal="right"/>
    </xf>
    <xf numFmtId="0" fontId="14" fillId="11" borderId="25" xfId="1" applyFont="1" applyFill="1" applyBorder="1" applyAlignment="1">
      <alignment horizontal="right"/>
    </xf>
    <xf numFmtId="173" fontId="14" fillId="0" borderId="3" xfId="1" applyNumberFormat="1" applyFont="1" applyBorder="1"/>
    <xf numFmtId="172" fontId="43" fillId="0" borderId="3" xfId="1" applyNumberFormat="1" applyFont="1" applyBorder="1"/>
    <xf numFmtId="174" fontId="14" fillId="0" borderId="3" xfId="1" applyNumberFormat="1" applyFont="1" applyBorder="1"/>
    <xf numFmtId="174" fontId="14" fillId="8" borderId="25" xfId="1" applyNumberFormat="1" applyFont="1" applyFill="1" applyBorder="1"/>
    <xf numFmtId="0" fontId="14" fillId="15" borderId="24" xfId="1" applyFont="1" applyFill="1" applyBorder="1" applyAlignment="1">
      <alignment horizontal="right"/>
    </xf>
    <xf numFmtId="3" fontId="11" fillId="0" borderId="2" xfId="1" applyNumberFormat="1" applyFont="1" applyBorder="1"/>
    <xf numFmtId="3" fontId="51" fillId="0" borderId="3" xfId="1" applyNumberFormat="1" applyFont="1" applyBorder="1"/>
    <xf numFmtId="174" fontId="11" fillId="0" borderId="3" xfId="1" applyNumberFormat="1" applyFont="1" applyBorder="1"/>
    <xf numFmtId="174" fontId="11" fillId="0" borderId="4" xfId="1" applyNumberFormat="1" applyFont="1" applyBorder="1"/>
    <xf numFmtId="0" fontId="14" fillId="12" borderId="24" xfId="1" applyFont="1" applyFill="1" applyBorder="1" applyAlignment="1">
      <alignment horizontal="right"/>
    </xf>
    <xf numFmtId="0" fontId="22" fillId="11" borderId="10" xfId="1" applyFont="1" applyFill="1" applyBorder="1" applyAlignment="1">
      <alignment horizontal="center" wrapText="1"/>
    </xf>
    <xf numFmtId="173" fontId="14" fillId="11" borderId="49" xfId="1" applyNumberFormat="1" applyFont="1" applyFill="1" applyBorder="1"/>
    <xf numFmtId="172" fontId="43" fillId="11" borderId="49" xfId="1" applyNumberFormat="1" applyFont="1" applyFill="1" applyBorder="1"/>
    <xf numFmtId="174" fontId="14" fillId="11" borderId="49" xfId="1" applyNumberFormat="1" applyFont="1" applyFill="1" applyBorder="1"/>
    <xf numFmtId="3" fontId="11" fillId="11" borderId="10" xfId="1" applyNumberFormat="1" applyFont="1" applyFill="1" applyBorder="1"/>
    <xf numFmtId="3" fontId="51" fillId="11" borderId="49" xfId="1" applyNumberFormat="1" applyFont="1" applyFill="1" applyBorder="1"/>
    <xf numFmtId="174" fontId="11" fillId="11" borderId="49" xfId="1" applyNumberFormat="1" applyFont="1" applyFill="1" applyBorder="1"/>
    <xf numFmtId="174" fontId="11" fillId="11" borderId="50" xfId="1" applyNumberFormat="1" applyFont="1" applyFill="1" applyBorder="1"/>
    <xf numFmtId="0" fontId="14" fillId="6" borderId="30" xfId="1" applyFont="1" applyFill="1" applyBorder="1" applyAlignment="1">
      <alignment horizontal="center"/>
    </xf>
    <xf numFmtId="0" fontId="14" fillId="11" borderId="25" xfId="1" applyFont="1" applyFill="1" applyBorder="1" applyAlignment="1">
      <alignment horizontal="center"/>
    </xf>
    <xf numFmtId="3" fontId="17" fillId="6" borderId="52" xfId="1" applyNumberFormat="1" applyFont="1" applyFill="1" applyBorder="1"/>
    <xf numFmtId="173" fontId="40" fillId="6" borderId="11" xfId="1" applyNumberFormat="1" applyFont="1" applyFill="1" applyBorder="1"/>
    <xf numFmtId="174" fontId="17" fillId="6" borderId="11" xfId="1" applyNumberFormat="1" applyFont="1" applyFill="1" applyBorder="1"/>
    <xf numFmtId="174" fontId="17" fillId="6" borderId="53" xfId="1" applyNumberFormat="1" applyFont="1" applyFill="1" applyBorder="1"/>
    <xf numFmtId="174" fontId="17" fillId="8" borderId="25" xfId="1" applyNumberFormat="1" applyFont="1" applyFill="1" applyBorder="1"/>
    <xf numFmtId="3" fontId="17" fillId="6" borderId="11" xfId="1" applyNumberFormat="1" applyFont="1" applyFill="1" applyBorder="1"/>
    <xf numFmtId="0" fontId="14" fillId="15" borderId="24" xfId="1" applyFont="1" applyFill="1" applyBorder="1" applyAlignment="1">
      <alignment horizontal="center"/>
    </xf>
    <xf numFmtId="3" fontId="0" fillId="6" borderId="35" xfId="1" applyNumberFormat="1" applyFont="1" applyFill="1" applyBorder="1"/>
    <xf numFmtId="3" fontId="53" fillId="6" borderId="11" xfId="1" applyNumberFormat="1" applyFont="1" applyFill="1" applyBorder="1"/>
    <xf numFmtId="174" fontId="0" fillId="6" borderId="11" xfId="1" applyNumberFormat="1" applyFont="1" applyFill="1" applyBorder="1"/>
    <xf numFmtId="174" fontId="0" fillId="6" borderId="64" xfId="1" applyNumberFormat="1" applyFont="1" applyFill="1" applyBorder="1"/>
    <xf numFmtId="0" fontId="14" fillId="12" borderId="24" xfId="1" applyFont="1" applyFill="1" applyBorder="1" applyAlignment="1">
      <alignment horizontal="center"/>
    </xf>
    <xf numFmtId="178" fontId="21" fillId="0" borderId="12" xfId="1" applyNumberFormat="1" applyFont="1" applyBorder="1" applyAlignment="1">
      <alignment horizontal="right"/>
    </xf>
    <xf numFmtId="178" fontId="21" fillId="11" borderId="25" xfId="1" applyNumberFormat="1" applyFont="1" applyFill="1" applyBorder="1" applyAlignment="1">
      <alignment horizontal="right"/>
    </xf>
    <xf numFmtId="178" fontId="34" fillId="0" borderId="45" xfId="1" applyNumberFormat="1" applyFont="1" applyFill="1" applyBorder="1"/>
    <xf numFmtId="178" fontId="34" fillId="0" borderId="1" xfId="1" applyNumberFormat="1" applyFont="1" applyBorder="1"/>
    <xf numFmtId="178" fontId="34" fillId="0" borderId="44" xfId="1" applyNumberFormat="1" applyFont="1" applyBorder="1"/>
    <xf numFmtId="178" fontId="34" fillId="8" borderId="25" xfId="1" applyNumberFormat="1" applyFont="1" applyFill="1" applyBorder="1"/>
    <xf numFmtId="178" fontId="34" fillId="0" borderId="1" xfId="1" applyNumberFormat="1" applyFont="1" applyFill="1" applyBorder="1"/>
    <xf numFmtId="178" fontId="21" fillId="15" borderId="24" xfId="1" applyNumberFormat="1" applyFont="1" applyFill="1" applyBorder="1" applyAlignment="1">
      <alignment horizontal="right"/>
    </xf>
    <xf numFmtId="178" fontId="47" fillId="0" borderId="28" xfId="1" applyNumberFormat="1" applyFont="1" applyFill="1" applyBorder="1"/>
    <xf numFmtId="178" fontId="47" fillId="0" borderId="1" xfId="1" applyNumberFormat="1" applyFont="1" applyBorder="1"/>
    <xf numFmtId="178" fontId="47" fillId="0" borderId="55" xfId="1" applyNumberFormat="1" applyFont="1" applyBorder="1"/>
    <xf numFmtId="178" fontId="21" fillId="12" borderId="24" xfId="1" applyNumberFormat="1" applyFont="1" applyFill="1" applyBorder="1" applyAlignment="1">
      <alignment horizontal="right"/>
    </xf>
    <xf numFmtId="0" fontId="19" fillId="0" borderId="12" xfId="1" applyFont="1" applyBorder="1" applyAlignment="1">
      <alignment horizontal="right"/>
    </xf>
    <xf numFmtId="0" fontId="19" fillId="11" borderId="25" xfId="1" applyFont="1" applyFill="1" applyBorder="1" applyAlignment="1">
      <alignment horizontal="right"/>
    </xf>
    <xf numFmtId="4" fontId="15" fillId="0" borderId="45" xfId="1" applyNumberFormat="1" applyFont="1" applyFill="1" applyBorder="1"/>
    <xf numFmtId="173" fontId="15" fillId="0" borderId="1" xfId="1" applyNumberFormat="1" applyFont="1" applyBorder="1"/>
    <xf numFmtId="174" fontId="15" fillId="0" borderId="1" xfId="1" applyNumberFormat="1" applyFont="1" applyBorder="1"/>
    <xf numFmtId="174" fontId="15" fillId="0" borderId="44" xfId="1" applyNumberFormat="1" applyFont="1" applyBorder="1"/>
    <xf numFmtId="174" fontId="15" fillId="8" borderId="25" xfId="1" applyNumberFormat="1" applyFont="1" applyFill="1" applyBorder="1"/>
    <xf numFmtId="4" fontId="15" fillId="0" borderId="1" xfId="1" applyNumberFormat="1" applyFont="1" applyFill="1" applyBorder="1"/>
    <xf numFmtId="0" fontId="19" fillId="15" borderId="24" xfId="1" applyFont="1" applyFill="1" applyBorder="1" applyAlignment="1">
      <alignment horizontal="right"/>
    </xf>
    <xf numFmtId="3" fontId="48" fillId="0" borderId="28" xfId="1" applyNumberFormat="1" applyFont="1" applyFill="1" applyBorder="1"/>
    <xf numFmtId="3" fontId="48" fillId="0" borderId="1" xfId="1" applyNumberFormat="1" applyFont="1" applyBorder="1"/>
    <xf numFmtId="174" fontId="48" fillId="0" borderId="1" xfId="1" applyNumberFormat="1" applyFont="1" applyBorder="1"/>
    <xf numFmtId="174" fontId="48" fillId="0" borderId="55" xfId="1" applyNumberFormat="1" applyFont="1" applyBorder="1"/>
    <xf numFmtId="0" fontId="19" fillId="12" borderId="24" xfId="1" applyFont="1" applyFill="1" applyBorder="1" applyAlignment="1">
      <alignment horizontal="right"/>
    </xf>
    <xf numFmtId="172" fontId="15" fillId="0" borderId="45" xfId="1" applyNumberFormat="1" applyFont="1" applyFill="1" applyBorder="1"/>
    <xf numFmtId="172" fontId="15" fillId="0" borderId="1" xfId="1" applyNumberFormat="1" applyFont="1" applyFill="1" applyBorder="1"/>
    <xf numFmtId="0" fontId="54" fillId="0" borderId="12" xfId="1" applyFont="1" applyBorder="1" applyAlignment="1">
      <alignment horizontal="right"/>
    </xf>
    <xf numFmtId="0" fontId="54" fillId="11" borderId="25" xfId="1" applyFont="1" applyFill="1" applyBorder="1" applyAlignment="1">
      <alignment horizontal="right"/>
    </xf>
    <xf numFmtId="172" fontId="54" fillId="0" borderId="45" xfId="1" applyNumberFormat="1" applyFont="1" applyFill="1" applyBorder="1"/>
    <xf numFmtId="172" fontId="54" fillId="0" borderId="1" xfId="1" applyNumberFormat="1" applyFont="1" applyBorder="1"/>
    <xf numFmtId="172" fontId="54" fillId="0" borderId="44" xfId="1" applyNumberFormat="1" applyFont="1" applyBorder="1"/>
    <xf numFmtId="172" fontId="54" fillId="8" borderId="25" xfId="1" applyNumberFormat="1" applyFont="1" applyFill="1" applyBorder="1"/>
    <xf numFmtId="172" fontId="54" fillId="0" borderId="1" xfId="1" applyNumberFormat="1" applyFont="1" applyFill="1" applyBorder="1"/>
    <xf numFmtId="0" fontId="54" fillId="15" borderId="24" xfId="1" applyFont="1" applyFill="1" applyBorder="1" applyAlignment="1">
      <alignment horizontal="right"/>
    </xf>
    <xf numFmtId="172" fontId="55" fillId="0" borderId="28" xfId="1" applyNumberFormat="1" applyFont="1" applyFill="1" applyBorder="1"/>
    <xf numFmtId="172" fontId="55" fillId="0" borderId="1" xfId="1" applyNumberFormat="1" applyFont="1" applyBorder="1"/>
    <xf numFmtId="172" fontId="55" fillId="0" borderId="55" xfId="1" applyNumberFormat="1" applyFont="1" applyBorder="1"/>
    <xf numFmtId="0" fontId="54" fillId="12" borderId="24" xfId="1" applyFont="1" applyFill="1" applyBorder="1" applyAlignment="1">
      <alignment horizontal="right"/>
    </xf>
    <xf numFmtId="0" fontId="21" fillId="0" borderId="14" xfId="1" applyFont="1" applyBorder="1" applyAlignment="1">
      <alignment horizontal="right"/>
    </xf>
    <xf numFmtId="172" fontId="21" fillId="0" borderId="60" xfId="1" applyNumberFormat="1" applyFont="1" applyFill="1" applyBorder="1"/>
    <xf numFmtId="172" fontId="54" fillId="0" borderId="37" xfId="1" applyNumberFormat="1" applyFont="1" applyBorder="1"/>
    <xf numFmtId="172" fontId="54" fillId="0" borderId="63" xfId="1" applyNumberFormat="1" applyFont="1" applyBorder="1"/>
    <xf numFmtId="172" fontId="21" fillId="0" borderId="37" xfId="1" applyNumberFormat="1" applyFont="1" applyFill="1" applyBorder="1"/>
    <xf numFmtId="0" fontId="21" fillId="15" borderId="24" xfId="1" applyFont="1" applyFill="1" applyBorder="1" applyAlignment="1">
      <alignment horizontal="right"/>
    </xf>
    <xf numFmtId="172" fontId="55" fillId="0" borderId="31" xfId="1" applyNumberFormat="1" applyFont="1" applyFill="1" applyBorder="1"/>
    <xf numFmtId="172" fontId="55" fillId="0" borderId="37" xfId="1" applyNumberFormat="1" applyFont="1" applyBorder="1"/>
    <xf numFmtId="172" fontId="55" fillId="0" borderId="62" xfId="1" applyNumberFormat="1" applyFont="1" applyBorder="1"/>
    <xf numFmtId="0" fontId="21" fillId="12" borderId="24" xfId="1" applyFont="1" applyFill="1" applyBorder="1" applyAlignment="1">
      <alignment horizontal="right"/>
    </xf>
    <xf numFmtId="0" fontId="56" fillId="0" borderId="15" xfId="1" applyFont="1" applyBorder="1" applyAlignment="1">
      <alignment horizontal="right"/>
    </xf>
    <xf numFmtId="0" fontId="56" fillId="11" borderId="25" xfId="1" applyFont="1" applyFill="1" applyBorder="1" applyAlignment="1">
      <alignment horizontal="right"/>
    </xf>
    <xf numFmtId="172" fontId="54" fillId="0" borderId="60" xfId="1" applyNumberFormat="1" applyFont="1" applyFill="1" applyBorder="1"/>
    <xf numFmtId="173" fontId="57" fillId="0" borderId="37" xfId="1" applyNumberFormat="1" applyFont="1" applyBorder="1"/>
    <xf numFmtId="174" fontId="57" fillId="0" borderId="37" xfId="1" applyNumberFormat="1" applyFont="1" applyBorder="1"/>
    <xf numFmtId="174" fontId="57" fillId="0" borderId="63" xfId="1" applyNumberFormat="1" applyFont="1" applyBorder="1"/>
    <xf numFmtId="174" fontId="57" fillId="8" borderId="25" xfId="1" applyNumberFormat="1" applyFont="1" applyFill="1" applyBorder="1"/>
    <xf numFmtId="172" fontId="54" fillId="0" borderId="37" xfId="1" applyNumberFormat="1" applyFont="1" applyFill="1" applyBorder="1"/>
    <xf numFmtId="0" fontId="56" fillId="15" borderId="24" xfId="1" applyFont="1" applyFill="1" applyBorder="1" applyAlignment="1">
      <alignment horizontal="right"/>
    </xf>
    <xf numFmtId="172" fontId="58" fillId="0" borderId="31" xfId="1" applyNumberFormat="1" applyFont="1" applyBorder="1"/>
    <xf numFmtId="172" fontId="59" fillId="0" borderId="37" xfId="1" applyNumberFormat="1" applyFont="1" applyBorder="1"/>
    <xf numFmtId="172" fontId="59" fillId="0" borderId="62" xfId="1" applyNumberFormat="1" applyFont="1" applyBorder="1"/>
    <xf numFmtId="0" fontId="56" fillId="12" borderId="24" xfId="1" applyFont="1" applyFill="1" applyBorder="1" applyAlignment="1">
      <alignment horizontal="right"/>
    </xf>
    <xf numFmtId="0" fontId="14" fillId="6" borderId="13" xfId="1" applyFont="1" applyFill="1" applyBorder="1" applyAlignment="1">
      <alignment horizontal="center"/>
    </xf>
    <xf numFmtId="3" fontId="15" fillId="6" borderId="42" xfId="1" applyNumberFormat="1" applyFont="1" applyFill="1" applyBorder="1"/>
    <xf numFmtId="173" fontId="15" fillId="6" borderId="43" xfId="1" applyNumberFormat="1" applyFont="1" applyFill="1" applyBorder="1"/>
    <xf numFmtId="174" fontId="15" fillId="6" borderId="43" xfId="1" applyNumberFormat="1" applyFont="1" applyFill="1" applyBorder="1"/>
    <xf numFmtId="174" fontId="15" fillId="6" borderId="41" xfId="1" applyNumberFormat="1" applyFont="1" applyFill="1" applyBorder="1"/>
    <xf numFmtId="3" fontId="15" fillId="6" borderId="43" xfId="1" applyNumberFormat="1" applyFont="1" applyFill="1" applyBorder="1"/>
    <xf numFmtId="3" fontId="48" fillId="6" borderId="26" xfId="1" applyNumberFormat="1" applyFont="1" applyFill="1" applyBorder="1"/>
    <xf numFmtId="3" fontId="48" fillId="6" borderId="43" xfId="1" applyNumberFormat="1" applyFont="1" applyFill="1" applyBorder="1"/>
    <xf numFmtId="174" fontId="48" fillId="6" borderId="43" xfId="1" applyNumberFormat="1" applyFont="1" applyFill="1" applyBorder="1"/>
    <xf numFmtId="174" fontId="48" fillId="6" borderId="54" xfId="1" applyNumberFormat="1" applyFont="1" applyFill="1" applyBorder="1"/>
    <xf numFmtId="0" fontId="21" fillId="0" borderId="12" xfId="1" applyFont="1" applyBorder="1" applyAlignment="1">
      <alignment horizontal="right"/>
    </xf>
    <xf numFmtId="3" fontId="34" fillId="0" borderId="45" xfId="1" applyNumberFormat="1" applyFont="1" applyFill="1" applyBorder="1"/>
    <xf numFmtId="173" fontId="34" fillId="0" borderId="1" xfId="1" applyNumberFormat="1" applyFont="1" applyBorder="1"/>
    <xf numFmtId="174" fontId="34" fillId="0" borderId="1" xfId="1" applyNumberFormat="1" applyFont="1" applyBorder="1"/>
    <xf numFmtId="174" fontId="34" fillId="0" borderId="44" xfId="1" applyNumberFormat="1" applyFont="1" applyBorder="1"/>
    <xf numFmtId="174" fontId="34" fillId="8" borderId="25" xfId="1" applyNumberFormat="1" applyFont="1" applyFill="1" applyBorder="1"/>
    <xf numFmtId="3" fontId="34" fillId="0" borderId="1" xfId="1" applyNumberFormat="1" applyFont="1" applyFill="1" applyBorder="1"/>
    <xf numFmtId="3" fontId="47" fillId="0" borderId="28" xfId="1" applyNumberFormat="1" applyFont="1" applyFill="1" applyBorder="1"/>
    <xf numFmtId="3" fontId="47" fillId="0" borderId="1" xfId="1" applyNumberFormat="1" applyFont="1" applyBorder="1"/>
    <xf numFmtId="174" fontId="47" fillId="0" borderId="1" xfId="1" applyNumberFormat="1" applyFont="1" applyBorder="1"/>
    <xf numFmtId="174" fontId="47" fillId="0" borderId="55" xfId="1" applyNumberFormat="1" applyFont="1" applyBorder="1"/>
    <xf numFmtId="172" fontId="19" fillId="0" borderId="12" xfId="1" applyNumberFormat="1" applyFont="1" applyBorder="1" applyAlignment="1">
      <alignment horizontal="right"/>
    </xf>
    <xf numFmtId="172" fontId="19" fillId="11" borderId="25" xfId="1" applyNumberFormat="1" applyFont="1" applyFill="1" applyBorder="1" applyAlignment="1">
      <alignment horizontal="right"/>
    </xf>
    <xf numFmtId="172" fontId="15" fillId="0" borderId="44" xfId="1" applyNumberFormat="1" applyFont="1" applyBorder="1"/>
    <xf numFmtId="172" fontId="15" fillId="8" borderId="25" xfId="1" applyNumberFormat="1" applyFont="1" applyFill="1" applyBorder="1"/>
    <xf numFmtId="172" fontId="19" fillId="15" borderId="24" xfId="1" applyNumberFormat="1" applyFont="1" applyFill="1" applyBorder="1" applyAlignment="1">
      <alignment horizontal="right"/>
    </xf>
    <xf numFmtId="172" fontId="48" fillId="0" borderId="28" xfId="1" applyNumberFormat="1" applyFont="1" applyFill="1" applyBorder="1"/>
    <xf numFmtId="172" fontId="48" fillId="0" borderId="1" xfId="1" applyNumberFormat="1" applyFont="1" applyBorder="1"/>
    <xf numFmtId="172" fontId="19" fillId="12" borderId="24" xfId="1" applyNumberFormat="1" applyFont="1" applyFill="1" applyBorder="1" applyAlignment="1">
      <alignment horizontal="right"/>
    </xf>
    <xf numFmtId="3" fontId="15" fillId="0" borderId="45" xfId="1" applyNumberFormat="1" applyFont="1" applyFill="1" applyBorder="1"/>
    <xf numFmtId="3" fontId="15" fillId="0" borderId="1" xfId="1" applyNumberFormat="1" applyFont="1" applyFill="1" applyBorder="1"/>
    <xf numFmtId="173" fontId="48" fillId="0" borderId="28" xfId="1" applyNumberFormat="1" applyFont="1" applyBorder="1"/>
    <xf numFmtId="179" fontId="21" fillId="0" borderId="12" xfId="1" applyNumberFormat="1" applyFont="1" applyBorder="1" applyAlignment="1">
      <alignment horizontal="right"/>
    </xf>
    <xf numFmtId="179" fontId="21" fillId="11" borderId="25" xfId="1" applyNumberFormat="1" applyFont="1" applyFill="1" applyBorder="1" applyAlignment="1">
      <alignment horizontal="right"/>
    </xf>
    <xf numFmtId="179" fontId="34" fillId="0" borderId="45" xfId="1" applyNumberFormat="1" applyFont="1" applyFill="1" applyBorder="1"/>
    <xf numFmtId="179" fontId="34" fillId="0" borderId="1" xfId="1" applyNumberFormat="1" applyFont="1" applyBorder="1"/>
    <xf numFmtId="179" fontId="34" fillId="0" borderId="44" xfId="1" applyNumberFormat="1" applyFont="1" applyBorder="1"/>
    <xf numFmtId="179" fontId="34" fillId="8" borderId="25" xfId="1" applyNumberFormat="1" applyFont="1" applyFill="1" applyBorder="1"/>
    <xf numFmtId="179" fontId="34" fillId="0" borderId="1" xfId="1" applyNumberFormat="1" applyFont="1" applyFill="1" applyBorder="1"/>
    <xf numFmtId="179" fontId="21" fillId="15" borderId="24" xfId="1" applyNumberFormat="1" applyFont="1" applyFill="1" applyBorder="1" applyAlignment="1">
      <alignment horizontal="right"/>
    </xf>
    <xf numFmtId="179" fontId="47" fillId="0" borderId="28" xfId="1" applyNumberFormat="1" applyFont="1" applyBorder="1"/>
    <xf numFmtId="179" fontId="47" fillId="0" borderId="1" xfId="1" applyNumberFormat="1" applyFont="1" applyBorder="1"/>
    <xf numFmtId="179" fontId="47" fillId="0" borderId="55" xfId="1" applyNumberFormat="1" applyFont="1" applyBorder="1"/>
    <xf numFmtId="179" fontId="21" fillId="12" borderId="24" xfId="1" applyNumberFormat="1" applyFont="1" applyFill="1" applyBorder="1" applyAlignment="1">
      <alignment horizontal="right"/>
    </xf>
    <xf numFmtId="0" fontId="19" fillId="0" borderId="14" xfId="1" applyFont="1" applyBorder="1" applyAlignment="1">
      <alignment horizontal="right"/>
    </xf>
    <xf numFmtId="180" fontId="19" fillId="0" borderId="47" xfId="1" applyNumberFormat="1" applyFont="1" applyFill="1" applyBorder="1"/>
    <xf numFmtId="173" fontId="19" fillId="0" borderId="48" xfId="1" applyNumberFormat="1" applyFont="1" applyBorder="1"/>
    <xf numFmtId="174" fontId="19" fillId="0" borderId="48" xfId="1" applyNumberFormat="1" applyFont="1" applyBorder="1"/>
    <xf numFmtId="174" fontId="19" fillId="0" borderId="46" xfId="1" applyNumberFormat="1" applyFont="1" applyBorder="1"/>
    <xf numFmtId="174" fontId="19" fillId="8" borderId="25" xfId="1" applyNumberFormat="1" applyFont="1" applyFill="1" applyBorder="1"/>
    <xf numFmtId="180" fontId="19" fillId="0" borderId="48" xfId="1" applyNumberFormat="1" applyFont="1" applyFill="1" applyBorder="1"/>
    <xf numFmtId="181" fontId="49" fillId="0" borderId="33" xfId="1" applyNumberFormat="1" applyFont="1" applyBorder="1"/>
    <xf numFmtId="3" fontId="12" fillId="0" borderId="48" xfId="1" applyNumberFormat="1" applyFont="1" applyBorder="1"/>
    <xf numFmtId="174" fontId="12" fillId="0" borderId="48" xfId="1" applyNumberFormat="1" applyFont="1" applyBorder="1"/>
    <xf numFmtId="174" fontId="12" fillId="0" borderId="56" xfId="1" applyNumberFormat="1" applyFont="1" applyBorder="1"/>
    <xf numFmtId="0" fontId="14" fillId="0" borderId="10" xfId="1" applyFont="1" applyBorder="1" applyAlignment="1">
      <alignment horizontal="right"/>
    </xf>
    <xf numFmtId="173" fontId="14" fillId="0" borderId="65" xfId="1" applyNumberFormat="1" applyFont="1" applyBorder="1"/>
    <xf numFmtId="173" fontId="43" fillId="0" borderId="66" xfId="1" applyNumberFormat="1" applyFont="1" applyBorder="1"/>
    <xf numFmtId="174" fontId="14" fillId="0" borderId="66" xfId="1" applyNumberFormat="1" applyFont="1" applyBorder="1"/>
    <xf numFmtId="174" fontId="14" fillId="0" borderId="67" xfId="1" applyNumberFormat="1" applyFont="1" applyBorder="1"/>
    <xf numFmtId="173" fontId="14" fillId="0" borderId="66" xfId="1" applyNumberFormat="1" applyFont="1" applyBorder="1"/>
    <xf numFmtId="3" fontId="11" fillId="0" borderId="68" xfId="1" applyNumberFormat="1" applyFont="1" applyBorder="1"/>
    <xf numFmtId="3" fontId="51" fillId="0" borderId="66" xfId="1" applyNumberFormat="1" applyFont="1" applyBorder="1"/>
    <xf numFmtId="174" fontId="11" fillId="0" borderId="66" xfId="1" applyNumberFormat="1" applyFont="1" applyBorder="1"/>
    <xf numFmtId="174" fontId="11" fillId="0" borderId="69" xfId="1" applyNumberFormat="1" applyFont="1" applyBorder="1"/>
    <xf numFmtId="0" fontId="14" fillId="0" borderId="24" xfId="1" applyFont="1" applyBorder="1" applyAlignment="1">
      <alignment horizontal="right"/>
    </xf>
    <xf numFmtId="173" fontId="14" fillId="0" borderId="0" xfId="1" applyNumberFormat="1" applyFont="1" applyBorder="1"/>
    <xf numFmtId="173" fontId="43" fillId="0" borderId="0" xfId="1" applyNumberFormat="1" applyFont="1" applyBorder="1"/>
    <xf numFmtId="174" fontId="14" fillId="0" borderId="8" xfId="1" applyNumberFormat="1" applyFont="1" applyBorder="1"/>
    <xf numFmtId="174" fontId="14" fillId="0" borderId="70" xfId="1" applyNumberFormat="1" applyFont="1" applyBorder="1"/>
    <xf numFmtId="173" fontId="14" fillId="0" borderId="70" xfId="1" applyNumberFormat="1" applyFont="1" applyBorder="1"/>
    <xf numFmtId="3" fontId="11" fillId="0" borderId="71" xfId="1" applyNumberFormat="1" applyFont="1" applyBorder="1"/>
    <xf numFmtId="3" fontId="51" fillId="0" borderId="0" xfId="1" applyNumberFormat="1" applyFont="1" applyBorder="1"/>
    <xf numFmtId="174" fontId="11" fillId="0" borderId="9" xfId="1" applyNumberFormat="1" applyFont="1" applyBorder="1"/>
    <xf numFmtId="174" fontId="11" fillId="0" borderId="72" xfId="1" applyNumberFormat="1" applyFont="1" applyBorder="1"/>
    <xf numFmtId="167" fontId="14" fillId="0" borderId="0" xfId="1" applyNumberFormat="1" applyFont="1" applyBorder="1"/>
    <xf numFmtId="10" fontId="43" fillId="0" borderId="0" xfId="1" applyNumberFormat="1" applyFont="1" applyBorder="1"/>
    <xf numFmtId="167" fontId="14" fillId="0" borderId="70" xfId="1" applyNumberFormat="1" applyFont="1" applyBorder="1"/>
    <xf numFmtId="0" fontId="11" fillId="16" borderId="5" xfId="1" applyFont="1" applyFill="1" applyBorder="1" applyAlignment="1">
      <alignment horizontal="center"/>
    </xf>
    <xf numFmtId="0" fontId="22" fillId="11" borderId="25" xfId="1" applyNumberFormat="1" applyFont="1" applyFill="1" applyBorder="1" applyAlignment="1">
      <alignment horizontal="center" vertical="top" wrapText="1"/>
    </xf>
    <xf numFmtId="173" fontId="14" fillId="2" borderId="20" xfId="1" applyNumberFormat="1" applyFont="1" applyFill="1" applyBorder="1" applyAlignment="1">
      <alignment horizontal="center" wrapText="1"/>
    </xf>
    <xf numFmtId="174" fontId="14" fillId="2" borderId="57" xfId="1" applyNumberFormat="1" applyFont="1" applyFill="1" applyBorder="1" applyAlignment="1">
      <alignment horizontal="center" wrapText="1"/>
    </xf>
    <xf numFmtId="174" fontId="14" fillId="2" borderId="21" xfId="1" applyNumberFormat="1" applyFont="1" applyFill="1" applyBorder="1" applyAlignment="1">
      <alignment horizontal="center" wrapText="1"/>
    </xf>
    <xf numFmtId="0" fontId="22" fillId="15" borderId="24" xfId="1" applyNumberFormat="1" applyFont="1" applyFill="1" applyBorder="1" applyAlignment="1">
      <alignment horizontal="center" vertical="top" wrapText="1"/>
    </xf>
    <xf numFmtId="0" fontId="22" fillId="12" borderId="24" xfId="1" applyNumberFormat="1" applyFont="1" applyFill="1" applyBorder="1" applyAlignment="1">
      <alignment horizontal="center" vertical="top" wrapText="1"/>
    </xf>
    <xf numFmtId="0" fontId="17" fillId="0" borderId="0" xfId="1" applyFont="1" applyAlignment="1">
      <alignment wrapText="1"/>
    </xf>
    <xf numFmtId="0" fontId="11" fillId="11" borderId="25" xfId="1" applyNumberFormat="1" applyFont="1" applyFill="1" applyBorder="1" applyAlignment="1">
      <alignment horizontal="center" vertical="top" wrapText="1"/>
    </xf>
    <xf numFmtId="173" fontId="12" fillId="8" borderId="20" xfId="1" applyNumberFormat="1" applyFont="1" applyFill="1" applyBorder="1" applyAlignment="1">
      <alignment horizontal="center" wrapText="1"/>
    </xf>
    <xf numFmtId="173" fontId="12" fillId="8" borderId="57" xfId="1" applyNumberFormat="1" applyFont="1" applyFill="1" applyBorder="1" applyAlignment="1">
      <alignment horizontal="center" wrapText="1"/>
    </xf>
    <xf numFmtId="173" fontId="12" fillId="8" borderId="21" xfId="1" applyNumberFormat="1" applyFont="1" applyFill="1" applyBorder="1" applyAlignment="1">
      <alignment horizontal="center" wrapText="1"/>
    </xf>
    <xf numFmtId="10" fontId="12" fillId="8" borderId="21" xfId="1" applyNumberFormat="1" applyFont="1" applyFill="1" applyBorder="1" applyAlignment="1">
      <alignment horizontal="center" wrapText="1"/>
    </xf>
    <xf numFmtId="174" fontId="49" fillId="8" borderId="25" xfId="1" applyNumberFormat="1" applyFont="1" applyFill="1" applyBorder="1" applyAlignment="1">
      <alignment horizontal="center" wrapText="1"/>
    </xf>
    <xf numFmtId="10" fontId="12" fillId="8" borderId="22" xfId="1" applyNumberFormat="1" applyFont="1" applyFill="1" applyBorder="1" applyAlignment="1">
      <alignment horizontal="center" wrapText="1"/>
    </xf>
    <xf numFmtId="173" fontId="12" fillId="8" borderId="23" xfId="1" applyNumberFormat="1" applyFont="1" applyFill="1" applyBorder="1" applyAlignment="1">
      <alignment horizontal="center" wrapText="1"/>
    </xf>
    <xf numFmtId="0" fontId="11" fillId="15" borderId="24" xfId="1" applyNumberFormat="1" applyFont="1" applyFill="1" applyBorder="1" applyAlignment="1">
      <alignment horizontal="center" vertical="top" wrapText="1"/>
    </xf>
    <xf numFmtId="0" fontId="11" fillId="12" borderId="24" xfId="1" applyNumberFormat="1" applyFont="1" applyFill="1" applyBorder="1" applyAlignment="1">
      <alignment horizontal="center" vertical="top" wrapText="1"/>
    </xf>
    <xf numFmtId="172" fontId="19" fillId="7" borderId="42" xfId="1" applyNumberFormat="1" applyFont="1" applyFill="1" applyBorder="1" applyAlignment="1">
      <alignment horizontal="right"/>
    </xf>
    <xf numFmtId="173" fontId="19" fillId="7" borderId="43" xfId="1" applyNumberFormat="1" applyFont="1" applyFill="1" applyBorder="1" applyAlignment="1">
      <alignment horizontal="right"/>
    </xf>
    <xf numFmtId="10" fontId="19" fillId="7" borderId="41" xfId="1" applyNumberFormat="1" applyFont="1" applyFill="1" applyBorder="1" applyAlignment="1">
      <alignment horizontal="right"/>
    </xf>
    <xf numFmtId="10" fontId="31" fillId="8" borderId="25" xfId="1" applyNumberFormat="1" applyFont="1" applyFill="1" applyBorder="1" applyAlignment="1">
      <alignment horizontal="right"/>
    </xf>
    <xf numFmtId="10" fontId="19" fillId="7" borderId="54" xfId="1" applyNumberFormat="1" applyFont="1" applyFill="1" applyBorder="1" applyAlignment="1">
      <alignment horizontal="right"/>
    </xf>
    <xf numFmtId="172" fontId="19" fillId="7" borderId="26" xfId="1" applyNumberFormat="1" applyFont="1" applyFill="1" applyBorder="1" applyAlignment="1">
      <alignment horizontal="right"/>
    </xf>
    <xf numFmtId="0" fontId="14" fillId="4" borderId="12" xfId="1" applyNumberFormat="1" applyFont="1" applyFill="1" applyBorder="1" applyAlignment="1">
      <alignment horizontal="left" vertical="top" wrapText="1" indent="2"/>
    </xf>
    <xf numFmtId="0" fontId="14" fillId="11" borderId="25" xfId="1" applyNumberFormat="1" applyFont="1" applyFill="1" applyBorder="1" applyAlignment="1">
      <alignment horizontal="left" vertical="top" wrapText="1" indent="2"/>
    </xf>
    <xf numFmtId="173" fontId="19" fillId="4" borderId="1" xfId="1" applyNumberFormat="1" applyFont="1" applyFill="1" applyBorder="1" applyAlignment="1">
      <alignment horizontal="right" vertical="top"/>
    </xf>
    <xf numFmtId="10" fontId="19" fillId="4" borderId="44" xfId="1" applyNumberFormat="1" applyFont="1" applyFill="1" applyBorder="1" applyAlignment="1">
      <alignment horizontal="right" vertical="top"/>
    </xf>
    <xf numFmtId="10" fontId="31" fillId="8" borderId="25" xfId="1" applyNumberFormat="1" applyFont="1" applyFill="1" applyBorder="1" applyAlignment="1">
      <alignment horizontal="right" vertical="top"/>
    </xf>
    <xf numFmtId="10" fontId="19" fillId="4" borderId="55" xfId="1" applyNumberFormat="1" applyFont="1" applyFill="1" applyBorder="1" applyAlignment="1">
      <alignment horizontal="right" vertical="top"/>
    </xf>
    <xf numFmtId="175" fontId="19" fillId="4" borderId="28" xfId="1" applyNumberFormat="1" applyFont="1" applyFill="1" applyBorder="1" applyAlignment="1">
      <alignment horizontal="right" vertical="top"/>
    </xf>
    <xf numFmtId="0" fontId="14" fillId="15" borderId="24" xfId="1" applyNumberFormat="1" applyFont="1" applyFill="1" applyBorder="1" applyAlignment="1">
      <alignment horizontal="left" vertical="top" wrapText="1" indent="2"/>
    </xf>
    <xf numFmtId="173" fontId="19" fillId="4" borderId="28" xfId="1" applyNumberFormat="1" applyFont="1" applyFill="1" applyBorder="1" applyAlignment="1">
      <alignment horizontal="right" vertical="top"/>
    </xf>
    <xf numFmtId="10" fontId="19" fillId="4" borderId="28" xfId="1" applyNumberFormat="1" applyFont="1" applyFill="1" applyBorder="1" applyAlignment="1">
      <alignment horizontal="right" vertical="top"/>
    </xf>
    <xf numFmtId="0" fontId="14" fillId="12" borderId="24" xfId="1" applyNumberFormat="1" applyFont="1" applyFill="1" applyBorder="1" applyAlignment="1">
      <alignment horizontal="left" vertical="top" wrapText="1" indent="2"/>
    </xf>
    <xf numFmtId="0" fontId="17" fillId="11" borderId="25" xfId="1" applyNumberFormat="1" applyFont="1" applyFill="1" applyBorder="1" applyAlignment="1">
      <alignment horizontal="left" vertical="top" wrapText="1" indent="2"/>
    </xf>
    <xf numFmtId="173" fontId="15" fillId="0" borderId="1" xfId="1" applyNumberFormat="1" applyFont="1" applyBorder="1" applyAlignment="1">
      <alignment horizontal="right" vertical="top"/>
    </xf>
    <xf numFmtId="10" fontId="15" fillId="0" borderId="44" xfId="1" applyNumberFormat="1" applyFont="1" applyBorder="1" applyAlignment="1">
      <alignment horizontal="right" vertical="top"/>
    </xf>
    <xf numFmtId="10" fontId="15" fillId="0" borderId="55" xfId="1" applyNumberFormat="1" applyFont="1" applyBorder="1" applyAlignment="1">
      <alignment horizontal="right" vertical="top"/>
    </xf>
    <xf numFmtId="0" fontId="17" fillId="15" borderId="24" xfId="1" applyNumberFormat="1" applyFont="1" applyFill="1" applyBorder="1" applyAlignment="1">
      <alignment horizontal="left" vertical="top" wrapText="1" indent="2"/>
    </xf>
    <xf numFmtId="0" fontId="17" fillId="12" borderId="24" xfId="1" applyNumberFormat="1" applyFont="1" applyFill="1" applyBorder="1" applyAlignment="1">
      <alignment horizontal="left" vertical="top" wrapText="1" indent="2"/>
    </xf>
    <xf numFmtId="175" fontId="19" fillId="6" borderId="45" xfId="1" applyNumberFormat="1" applyFont="1" applyFill="1" applyBorder="1" applyAlignment="1">
      <alignment horizontal="right" vertical="top"/>
    </xf>
    <xf numFmtId="173" fontId="19" fillId="6" borderId="1" xfId="1" applyNumberFormat="1" applyFont="1" applyFill="1" applyBorder="1" applyAlignment="1">
      <alignment horizontal="right" vertical="top"/>
    </xf>
    <xf numFmtId="10" fontId="19" fillId="6" borderId="44" xfId="1" applyNumberFormat="1" applyFont="1" applyFill="1" applyBorder="1" applyAlignment="1">
      <alignment horizontal="right" vertical="top"/>
    </xf>
    <xf numFmtId="10" fontId="19" fillId="6" borderId="55" xfId="1" applyNumberFormat="1" applyFont="1" applyFill="1" applyBorder="1" applyAlignment="1">
      <alignment horizontal="right" vertical="top"/>
    </xf>
    <xf numFmtId="175" fontId="19" fillId="6" borderId="28" xfId="1" applyNumberFormat="1" applyFont="1" applyFill="1" applyBorder="1" applyAlignment="1">
      <alignment horizontal="right" vertical="top"/>
    </xf>
    <xf numFmtId="175" fontId="19" fillId="4" borderId="31" xfId="1" applyNumberFormat="1" applyFont="1" applyFill="1" applyBorder="1" applyAlignment="1">
      <alignment horizontal="right" vertical="top"/>
    </xf>
    <xf numFmtId="175" fontId="19" fillId="4" borderId="32" xfId="1" applyNumberFormat="1" applyFont="1" applyFill="1" applyBorder="1" applyAlignment="1">
      <alignment horizontal="right" vertical="top"/>
    </xf>
    <xf numFmtId="173" fontId="19" fillId="4" borderId="31" xfId="1" applyNumberFormat="1" applyFont="1" applyFill="1" applyBorder="1" applyAlignment="1">
      <alignment horizontal="right" vertical="top"/>
    </xf>
    <xf numFmtId="10" fontId="19" fillId="4" borderId="31" xfId="1" applyNumberFormat="1" applyFont="1" applyFill="1" applyBorder="1" applyAlignment="1">
      <alignment horizontal="right" vertical="top"/>
    </xf>
    <xf numFmtId="180" fontId="19" fillId="4" borderId="45" xfId="1" applyNumberFormat="1" applyFont="1" applyFill="1" applyBorder="1" applyAlignment="1">
      <alignment horizontal="right" vertical="top"/>
    </xf>
    <xf numFmtId="180" fontId="19" fillId="4" borderId="28" xfId="1" applyNumberFormat="1" applyFont="1" applyFill="1" applyBorder="1" applyAlignment="1">
      <alignment horizontal="right" vertical="top"/>
    </xf>
    <xf numFmtId="10" fontId="46" fillId="8" borderId="25" xfId="1" applyNumberFormat="1" applyFont="1" applyFill="1" applyBorder="1" applyAlignment="1">
      <alignment horizontal="right" vertical="center"/>
    </xf>
    <xf numFmtId="0" fontId="17" fillId="11" borderId="25" xfId="1" applyNumberFormat="1" applyFont="1" applyFill="1" applyBorder="1" applyAlignment="1">
      <alignment horizontal="left" vertical="center" wrapText="1"/>
    </xf>
    <xf numFmtId="0" fontId="17" fillId="15" borderId="25" xfId="1" applyNumberFormat="1" applyFont="1" applyFill="1" applyBorder="1" applyAlignment="1">
      <alignment horizontal="left" vertical="center" wrapText="1"/>
    </xf>
    <xf numFmtId="0" fontId="17" fillId="12" borderId="25" xfId="1" applyNumberFormat="1" applyFont="1" applyFill="1" applyBorder="1" applyAlignment="1">
      <alignment horizontal="left" vertical="center" wrapText="1"/>
    </xf>
    <xf numFmtId="0" fontId="14" fillId="4" borderId="12" xfId="1" applyNumberFormat="1" applyFont="1" applyFill="1" applyBorder="1" applyAlignment="1">
      <alignment horizontal="center" vertical="top" wrapText="1"/>
    </xf>
    <xf numFmtId="173" fontId="19" fillId="4" borderId="1" xfId="1" applyNumberFormat="1" applyFont="1" applyFill="1" applyBorder="1" applyAlignment="1">
      <alignment horizontal="right"/>
    </xf>
    <xf numFmtId="10" fontId="19" fillId="4" borderId="44" xfId="1" applyNumberFormat="1" applyFont="1" applyFill="1" applyBorder="1" applyAlignment="1">
      <alignment horizontal="right"/>
    </xf>
    <xf numFmtId="10" fontId="19" fillId="4" borderId="55" xfId="1" applyNumberFormat="1" applyFont="1" applyFill="1" applyBorder="1" applyAlignment="1">
      <alignment horizontal="right"/>
    </xf>
    <xf numFmtId="175" fontId="14" fillId="6" borderId="45" xfId="1" applyNumberFormat="1" applyFont="1" applyFill="1" applyBorder="1" applyAlignment="1">
      <alignment horizontal="right" vertical="top"/>
    </xf>
    <xf numFmtId="173" fontId="19" fillId="7" borderId="43" xfId="1" applyNumberFormat="1" applyFont="1" applyFill="1" applyBorder="1" applyAlignment="1">
      <alignment horizontal="right" vertical="top"/>
    </xf>
    <xf numFmtId="10" fontId="19" fillId="7" borderId="41" xfId="1" applyNumberFormat="1" applyFont="1" applyFill="1" applyBorder="1" applyAlignment="1">
      <alignment horizontal="right" vertical="top"/>
    </xf>
    <xf numFmtId="10" fontId="19" fillId="7" borderId="54" xfId="1" applyNumberFormat="1" applyFont="1" applyFill="1" applyBorder="1" applyAlignment="1">
      <alignment horizontal="right" vertical="top"/>
    </xf>
    <xf numFmtId="175" fontId="19" fillId="7" borderId="26" xfId="1" applyNumberFormat="1" applyFont="1" applyFill="1" applyBorder="1" applyAlignment="1">
      <alignment horizontal="right" vertical="top"/>
    </xf>
    <xf numFmtId="0" fontId="11" fillId="11" borderId="25" xfId="1" applyNumberFormat="1" applyFont="1" applyFill="1" applyBorder="1" applyAlignment="1">
      <alignment horizontal="left" vertical="top" wrapText="1"/>
    </xf>
    <xf numFmtId="10" fontId="12" fillId="8" borderId="38" xfId="1" applyNumberFormat="1" applyFont="1" applyFill="1" applyBorder="1" applyAlignment="1">
      <alignment horizontal="right"/>
    </xf>
    <xf numFmtId="10" fontId="49" fillId="8" borderId="25" xfId="1" applyNumberFormat="1" applyFont="1" applyFill="1" applyBorder="1" applyAlignment="1">
      <alignment horizontal="right"/>
    </xf>
    <xf numFmtId="10" fontId="12" fillId="8" borderId="39" xfId="1" applyNumberFormat="1" applyFont="1" applyFill="1" applyBorder="1" applyAlignment="1">
      <alignment horizontal="right"/>
    </xf>
    <xf numFmtId="0" fontId="11" fillId="15" borderId="24" xfId="1" applyNumberFormat="1" applyFont="1" applyFill="1" applyBorder="1" applyAlignment="1">
      <alignment horizontal="left" vertical="top" wrapText="1"/>
    </xf>
    <xf numFmtId="0" fontId="11" fillId="12" borderId="24" xfId="1" applyNumberFormat="1" applyFont="1" applyFill="1" applyBorder="1" applyAlignment="1">
      <alignment horizontal="left" vertical="top" wrapText="1"/>
    </xf>
    <xf numFmtId="175" fontId="19" fillId="13" borderId="27" xfId="1" applyNumberFormat="1" applyFont="1" applyFill="1" applyBorder="1" applyAlignment="1">
      <alignment horizontal="right"/>
    </xf>
    <xf numFmtId="173" fontId="19" fillId="6" borderId="28" xfId="1" applyNumberFormat="1" applyFont="1" applyFill="1" applyBorder="1" applyAlignment="1">
      <alignment horizontal="right" vertical="top"/>
    </xf>
    <xf numFmtId="10" fontId="19" fillId="6" borderId="28" xfId="1" applyNumberFormat="1" applyFont="1" applyFill="1" applyBorder="1" applyAlignment="1">
      <alignment horizontal="right" vertical="top"/>
    </xf>
    <xf numFmtId="0" fontId="17" fillId="11" borderId="25" xfId="1" applyNumberFormat="1" applyFont="1" applyFill="1" applyBorder="1" applyAlignment="1">
      <alignment horizontal="left" vertical="top" wrapText="1" indent="3"/>
    </xf>
    <xf numFmtId="173" fontId="19" fillId="0" borderId="1" xfId="1" applyNumberFormat="1" applyFont="1" applyFill="1" applyBorder="1" applyAlignment="1">
      <alignment horizontal="right" vertical="top"/>
    </xf>
    <xf numFmtId="10" fontId="19" fillId="0" borderId="44" xfId="1" applyNumberFormat="1" applyFont="1" applyFill="1" applyBorder="1" applyAlignment="1">
      <alignment horizontal="right" vertical="top"/>
    </xf>
    <xf numFmtId="10" fontId="19" fillId="0" borderId="55" xfId="1" applyNumberFormat="1" applyFont="1" applyFill="1" applyBorder="1" applyAlignment="1">
      <alignment horizontal="right" vertical="top"/>
    </xf>
    <xf numFmtId="175" fontId="26" fillId="0" borderId="45" xfId="1" applyNumberFormat="1" applyFont="1" applyBorder="1" applyAlignment="1">
      <alignment horizontal="right" vertical="top"/>
    </xf>
    <xf numFmtId="175" fontId="26" fillId="0" borderId="28" xfId="1" applyNumberFormat="1" applyFont="1" applyBorder="1" applyAlignment="1">
      <alignment horizontal="right" vertical="top"/>
    </xf>
    <xf numFmtId="0" fontId="17" fillId="15" borderId="24" xfId="1" applyNumberFormat="1" applyFont="1" applyFill="1" applyBorder="1" applyAlignment="1">
      <alignment horizontal="left" vertical="top" wrapText="1" indent="3"/>
    </xf>
    <xf numFmtId="0" fontId="17" fillId="12" borderId="24" xfId="1" applyNumberFormat="1" applyFont="1" applyFill="1" applyBorder="1" applyAlignment="1">
      <alignment horizontal="left" vertical="top" wrapText="1" indent="3"/>
    </xf>
    <xf numFmtId="175" fontId="14" fillId="0" borderId="45" xfId="1" applyNumberFormat="1" applyFont="1" applyFill="1" applyBorder="1" applyAlignment="1">
      <alignment horizontal="right" vertical="top"/>
    </xf>
    <xf numFmtId="175" fontId="14" fillId="0" borderId="28" xfId="1" applyNumberFormat="1" applyFont="1" applyFill="1" applyBorder="1" applyAlignment="1">
      <alignment horizontal="right" vertical="top"/>
    </xf>
    <xf numFmtId="173" fontId="12" fillId="8" borderId="7" xfId="1" applyNumberFormat="1" applyFont="1" applyFill="1" applyBorder="1" applyAlignment="1">
      <alignment horizontal="right"/>
    </xf>
    <xf numFmtId="0" fontId="17" fillId="11" borderId="25" xfId="1" applyFont="1" applyFill="1" applyBorder="1"/>
    <xf numFmtId="0" fontId="17" fillId="15" borderId="25" xfId="1" applyFont="1" applyFill="1" applyBorder="1"/>
    <xf numFmtId="0" fontId="17" fillId="12" borderId="25" xfId="1" applyFont="1" applyFill="1" applyBorder="1"/>
    <xf numFmtId="173" fontId="12" fillId="7" borderId="43" xfId="1" applyNumberFormat="1" applyFont="1" applyFill="1" applyBorder="1" applyAlignment="1">
      <alignment horizontal="right"/>
    </xf>
    <xf numFmtId="173" fontId="12" fillId="7" borderId="54" xfId="1" applyNumberFormat="1" applyFont="1" applyFill="1" applyBorder="1" applyAlignment="1">
      <alignment horizontal="right"/>
    </xf>
    <xf numFmtId="0" fontId="17" fillId="15" borderId="25" xfId="1" applyNumberFormat="1" applyFont="1" applyFill="1" applyBorder="1" applyAlignment="1">
      <alignment horizontal="left" vertical="top" wrapText="1" indent="2"/>
    </xf>
    <xf numFmtId="10" fontId="26" fillId="8" borderId="25" xfId="1" applyNumberFormat="1" applyFont="1" applyFill="1" applyBorder="1" applyAlignment="1">
      <alignment horizontal="right" vertical="top"/>
    </xf>
    <xf numFmtId="0" fontId="26" fillId="11" borderId="25" xfId="1" applyNumberFormat="1" applyFont="1" applyFill="1" applyBorder="1" applyAlignment="1">
      <alignment horizontal="left" vertical="top" wrapText="1" indent="2"/>
    </xf>
    <xf numFmtId="0" fontId="26" fillId="15" borderId="25" xfId="1" applyNumberFormat="1" applyFont="1" applyFill="1" applyBorder="1" applyAlignment="1">
      <alignment horizontal="left" vertical="top" wrapText="1" indent="2"/>
    </xf>
    <xf numFmtId="0" fontId="26" fillId="0" borderId="0" xfId="1" applyFont="1"/>
    <xf numFmtId="174" fontId="41" fillId="8" borderId="25" xfId="1" applyNumberFormat="1" applyFont="1" applyFill="1" applyBorder="1"/>
    <xf numFmtId="4" fontId="0" fillId="0" borderId="0" xfId="1" applyNumberFormat="1" applyFont="1"/>
    <xf numFmtId="0" fontId="53" fillId="0" borderId="0" xfId="1" applyFont="1"/>
    <xf numFmtId="0" fontId="14" fillId="17" borderId="13" xfId="1" applyNumberFormat="1" applyFont="1" applyFill="1" applyBorder="1" applyAlignment="1">
      <alignment horizontal="left" vertical="top" wrapText="1"/>
    </xf>
    <xf numFmtId="175" fontId="19" fillId="17" borderId="42" xfId="1" applyNumberFormat="1" applyFont="1" applyFill="1" applyBorder="1" applyAlignment="1">
      <alignment horizontal="right"/>
    </xf>
    <xf numFmtId="173" fontId="19" fillId="17" borderId="43" xfId="1" applyNumberFormat="1" applyFont="1" applyFill="1" applyBorder="1" applyAlignment="1">
      <alignment horizontal="right"/>
    </xf>
    <xf numFmtId="10" fontId="19" fillId="17" borderId="41" xfId="1" applyNumberFormat="1" applyFont="1" applyFill="1" applyBorder="1" applyAlignment="1">
      <alignment horizontal="right"/>
    </xf>
    <xf numFmtId="10" fontId="19" fillId="17" borderId="54" xfId="1" applyNumberFormat="1" applyFont="1" applyFill="1" applyBorder="1" applyAlignment="1">
      <alignment horizontal="right"/>
    </xf>
    <xf numFmtId="175" fontId="19" fillId="17" borderId="26" xfId="1" applyNumberFormat="1" applyFont="1" applyFill="1" applyBorder="1" applyAlignment="1">
      <alignment horizontal="right"/>
    </xf>
    <xf numFmtId="175" fontId="19" fillId="0" borderId="45" xfId="1" applyNumberFormat="1" applyFont="1" applyFill="1" applyBorder="1" applyAlignment="1">
      <alignment horizontal="right" vertical="top"/>
    </xf>
    <xf numFmtId="175" fontId="19" fillId="0" borderId="28" xfId="1" applyNumberFormat="1" applyFont="1" applyFill="1" applyBorder="1" applyAlignment="1">
      <alignment horizontal="right" vertical="top"/>
    </xf>
    <xf numFmtId="0" fontId="14" fillId="0" borderId="29" xfId="1" applyNumberFormat="1" applyFont="1" applyFill="1" applyBorder="1" applyAlignment="1">
      <alignment horizontal="left" vertical="top" wrapText="1" indent="2"/>
    </xf>
    <xf numFmtId="172" fontId="5" fillId="6" borderId="1" xfId="1" applyNumberFormat="1" applyFont="1" applyFill="1" applyBorder="1" applyAlignment="1">
      <alignment horizontal="center"/>
    </xf>
    <xf numFmtId="0" fontId="2" fillId="0" borderId="0" xfId="1" applyAlignment="1" applyProtection="1">
      <alignment wrapText="1"/>
    </xf>
    <xf numFmtId="0" fontId="2" fillId="0" borderId="0" xfId="1" applyProtection="1"/>
    <xf numFmtId="165" fontId="61" fillId="0" borderId="0" xfId="1" applyNumberFormat="1" applyFont="1" applyProtection="1"/>
    <xf numFmtId="165" fontId="2" fillId="0" borderId="0" xfId="1" applyNumberFormat="1" applyProtection="1"/>
    <xf numFmtId="0" fontId="62" fillId="0" borderId="0" xfId="1" applyFont="1" applyProtection="1"/>
    <xf numFmtId="0" fontId="63" fillId="0" borderId="0" xfId="1" applyFont="1" applyAlignment="1" applyProtection="1"/>
    <xf numFmtId="0" fontId="63" fillId="0" borderId="0" xfId="1" applyFont="1" applyProtection="1"/>
    <xf numFmtId="0" fontId="2" fillId="4" borderId="16" xfId="1" applyFill="1" applyBorder="1" applyAlignment="1" applyProtection="1">
      <alignment wrapText="1"/>
    </xf>
    <xf numFmtId="0" fontId="5" fillId="4" borderId="19" xfId="1" applyFont="1" applyFill="1" applyBorder="1" applyAlignment="1" applyProtection="1">
      <alignment horizontal="center"/>
    </xf>
    <xf numFmtId="0" fontId="2" fillId="4" borderId="17" xfId="1" applyFill="1" applyBorder="1" applyProtection="1"/>
    <xf numFmtId="0" fontId="5" fillId="4" borderId="18" xfId="1" applyFont="1" applyFill="1" applyBorder="1" applyAlignment="1" applyProtection="1">
      <alignment horizontal="right"/>
    </xf>
    <xf numFmtId="0" fontId="5" fillId="18" borderId="2" xfId="1" applyFont="1" applyFill="1" applyBorder="1" applyProtection="1"/>
    <xf numFmtId="0" fontId="5" fillId="19" borderId="16" xfId="1" applyFont="1" applyFill="1" applyBorder="1" applyProtection="1"/>
    <xf numFmtId="165" fontId="64" fillId="19" borderId="17" xfId="1" applyNumberFormat="1" applyFont="1" applyFill="1" applyBorder="1" applyProtection="1"/>
    <xf numFmtId="0" fontId="5" fillId="19" borderId="17" xfId="1" applyFont="1" applyFill="1" applyBorder="1" applyProtection="1"/>
    <xf numFmtId="165" fontId="5" fillId="19" borderId="17" xfId="1" applyNumberFormat="1" applyFont="1" applyFill="1" applyBorder="1" applyProtection="1"/>
    <xf numFmtId="182" fontId="5" fillId="19" borderId="17" xfId="1" applyNumberFormat="1" applyFont="1" applyFill="1" applyBorder="1" applyAlignment="1" applyProtection="1">
      <alignment horizontal="center"/>
    </xf>
    <xf numFmtId="182" fontId="65" fillId="19" borderId="17" xfId="1" applyNumberFormat="1" applyFont="1" applyFill="1" applyBorder="1" applyAlignment="1" applyProtection="1">
      <alignment horizontal="center"/>
    </xf>
    <xf numFmtId="0" fontId="5" fillId="19" borderId="3" xfId="1" applyFont="1" applyFill="1" applyBorder="1" applyProtection="1"/>
    <xf numFmtId="182" fontId="5" fillId="19" borderId="3" xfId="1" applyNumberFormat="1" applyFont="1" applyFill="1" applyBorder="1" applyAlignment="1" applyProtection="1">
      <alignment horizontal="center"/>
    </xf>
    <xf numFmtId="182" fontId="65" fillId="19" borderId="3" xfId="1" applyNumberFormat="1" applyFont="1" applyFill="1" applyBorder="1" applyAlignment="1" applyProtection="1">
      <alignment horizontal="center"/>
    </xf>
    <xf numFmtId="182" fontId="65" fillId="19" borderId="18" xfId="1" applyNumberFormat="1" applyFont="1" applyFill="1" applyBorder="1" applyAlignment="1" applyProtection="1">
      <alignment horizontal="center"/>
    </xf>
    <xf numFmtId="0" fontId="2" fillId="4" borderId="24" xfId="1" applyFill="1" applyBorder="1" applyAlignment="1" applyProtection="1">
      <alignment wrapText="1"/>
    </xf>
    <xf numFmtId="0" fontId="5" fillId="4" borderId="25" xfId="1" applyFont="1" applyFill="1" applyBorder="1" applyAlignment="1" applyProtection="1">
      <alignment horizontal="center"/>
    </xf>
    <xf numFmtId="0" fontId="2" fillId="4" borderId="0" xfId="1" applyFill="1" applyBorder="1" applyProtection="1"/>
    <xf numFmtId="0" fontId="5" fillId="4" borderId="73" xfId="1" applyFont="1" applyFill="1" applyBorder="1" applyAlignment="1" applyProtection="1">
      <alignment horizontal="right"/>
    </xf>
    <xf numFmtId="0" fontId="5" fillId="18" borderId="5" xfId="1" applyFont="1" applyFill="1" applyBorder="1" applyProtection="1"/>
    <xf numFmtId="0" fontId="5" fillId="7" borderId="16" xfId="1" applyFont="1" applyFill="1" applyBorder="1" applyProtection="1"/>
    <xf numFmtId="165" fontId="64" fillId="7" borderId="17" xfId="1" applyNumberFormat="1" applyFont="1" applyFill="1" applyBorder="1" applyProtection="1"/>
    <xf numFmtId="0" fontId="5" fillId="7" borderId="17" xfId="1" applyFont="1" applyFill="1" applyBorder="1" applyProtection="1"/>
    <xf numFmtId="165" fontId="5" fillId="7" borderId="17" xfId="1" applyNumberFormat="1" applyFont="1" applyFill="1" applyBorder="1" applyProtection="1"/>
    <xf numFmtId="182" fontId="5" fillId="6" borderId="19" xfId="1" applyNumberFormat="1" applyFont="1" applyFill="1" applyBorder="1" applyAlignment="1" applyProtection="1">
      <alignment horizontal="center"/>
    </xf>
    <xf numFmtId="182" fontId="65" fillId="14" borderId="18" xfId="1" applyNumberFormat="1" applyFont="1" applyFill="1" applyBorder="1" applyAlignment="1" applyProtection="1">
      <alignment horizontal="center"/>
    </xf>
    <xf numFmtId="182" fontId="65" fillId="18" borderId="17" xfId="1" applyNumberFormat="1" applyFont="1" applyFill="1" applyBorder="1" applyAlignment="1" applyProtection="1">
      <alignment horizontal="center"/>
    </xf>
    <xf numFmtId="182" fontId="5" fillId="16" borderId="19" xfId="1" applyNumberFormat="1" applyFont="1" applyFill="1" applyBorder="1" applyAlignment="1" applyProtection="1">
      <alignment horizontal="center"/>
    </xf>
    <xf numFmtId="182" fontId="65" fillId="16" borderId="19" xfId="1" applyNumberFormat="1" applyFont="1" applyFill="1" applyBorder="1" applyAlignment="1" applyProtection="1">
      <alignment horizontal="center"/>
    </xf>
    <xf numFmtId="0" fontId="5" fillId="4" borderId="10" xfId="1" applyFont="1" applyFill="1" applyBorder="1" applyAlignment="1" applyProtection="1">
      <alignment horizontal="center" wrapText="1"/>
    </xf>
    <xf numFmtId="0" fontId="2" fillId="4" borderId="49" xfId="1" applyFont="1" applyFill="1" applyBorder="1" applyProtection="1"/>
    <xf numFmtId="0" fontId="2" fillId="4" borderId="50" xfId="1" applyFont="1" applyFill="1" applyBorder="1" applyProtection="1"/>
    <xf numFmtId="0" fontId="2" fillId="18" borderId="2" xfId="1" applyFont="1" applyFill="1" applyBorder="1" applyProtection="1"/>
    <xf numFmtId="181" fontId="5" fillId="4" borderId="2" xfId="1" applyNumberFormat="1" applyFont="1" applyFill="1" applyBorder="1" applyAlignment="1" applyProtection="1">
      <alignment horizontal="center"/>
    </xf>
    <xf numFmtId="165" fontId="64" fillId="4" borderId="3" xfId="1" applyNumberFormat="1" applyFont="1" applyFill="1" applyBorder="1" applyAlignment="1" applyProtection="1">
      <alignment horizontal="center"/>
    </xf>
    <xf numFmtId="181" fontId="5" fillId="8" borderId="2" xfId="1" applyNumberFormat="1" applyFont="1" applyFill="1" applyBorder="1" applyAlignment="1" applyProtection="1">
      <alignment horizontal="center"/>
    </xf>
    <xf numFmtId="165" fontId="64" fillId="4" borderId="4" xfId="1" applyNumberFormat="1" applyFont="1" applyFill="1" applyBorder="1" applyAlignment="1" applyProtection="1">
      <alignment horizontal="center"/>
    </xf>
    <xf numFmtId="182" fontId="5" fillId="6" borderId="25" xfId="1" applyNumberFormat="1" applyFont="1" applyFill="1" applyBorder="1" applyAlignment="1" applyProtection="1">
      <alignment horizontal="center"/>
    </xf>
    <xf numFmtId="182" fontId="65" fillId="14" borderId="73" xfId="1" applyNumberFormat="1" applyFont="1" applyFill="1" applyBorder="1" applyAlignment="1" applyProtection="1">
      <alignment horizontal="center"/>
    </xf>
    <xf numFmtId="182" fontId="65" fillId="18" borderId="0" xfId="1" applyNumberFormat="1" applyFont="1" applyFill="1" applyBorder="1" applyAlignment="1" applyProtection="1">
      <alignment horizontal="center"/>
    </xf>
    <xf numFmtId="182" fontId="5" fillId="16" borderId="51" xfId="1" applyNumberFormat="1" applyFont="1" applyFill="1" applyBorder="1" applyAlignment="1" applyProtection="1">
      <alignment horizontal="center"/>
    </xf>
    <xf numFmtId="182" fontId="65" fillId="16" borderId="25" xfId="1" applyNumberFormat="1" applyFont="1" applyFill="1" applyBorder="1" applyAlignment="1" applyProtection="1">
      <alignment horizontal="center"/>
    </xf>
    <xf numFmtId="181" fontId="5" fillId="4" borderId="68" xfId="1" applyNumberFormat="1" applyFont="1" applyFill="1" applyBorder="1" applyAlignment="1" applyProtection="1">
      <alignment horizontal="center"/>
    </xf>
    <xf numFmtId="165" fontId="64" fillId="14" borderId="49" xfId="1" applyNumberFormat="1" applyFont="1" applyFill="1" applyBorder="1" applyAlignment="1" applyProtection="1">
      <alignment horizontal="center"/>
    </xf>
    <xf numFmtId="181" fontId="5" fillId="8" borderId="68" xfId="1" applyNumberFormat="1" applyFont="1" applyFill="1" applyBorder="1" applyAlignment="1" applyProtection="1">
      <alignment horizontal="center"/>
    </xf>
    <xf numFmtId="165" fontId="64" fillId="14" borderId="50" xfId="1" applyNumberFormat="1" applyFont="1" applyFill="1" applyBorder="1" applyAlignment="1" applyProtection="1">
      <alignment horizontal="center"/>
    </xf>
    <xf numFmtId="182" fontId="5" fillId="6" borderId="5" xfId="1" applyNumberFormat="1" applyFont="1" applyFill="1" applyBorder="1" applyAlignment="1" applyProtection="1">
      <alignment horizontal="center"/>
    </xf>
    <xf numFmtId="182" fontId="65" fillId="14" borderId="4" xfId="1" applyNumberFormat="1" applyFont="1" applyFill="1" applyBorder="1" applyAlignment="1" applyProtection="1">
      <alignment horizontal="center"/>
    </xf>
    <xf numFmtId="182" fontId="65" fillId="18" borderId="49" xfId="1" applyNumberFormat="1" applyFont="1" applyFill="1" applyBorder="1" applyAlignment="1" applyProtection="1">
      <alignment horizontal="center"/>
    </xf>
    <xf numFmtId="182" fontId="5" fillId="16" borderId="10" xfId="1" applyNumberFormat="1" applyFont="1" applyFill="1" applyBorder="1" applyAlignment="1" applyProtection="1">
      <alignment horizontal="center"/>
    </xf>
    <xf numFmtId="182" fontId="65" fillId="16" borderId="51" xfId="1" applyNumberFormat="1" applyFont="1" applyFill="1" applyBorder="1" applyAlignment="1" applyProtection="1">
      <alignment horizontal="center"/>
    </xf>
    <xf numFmtId="0" fontId="5" fillId="4" borderId="2" xfId="1" applyFont="1" applyFill="1" applyBorder="1" applyAlignment="1" applyProtection="1">
      <alignment horizontal="center" wrapText="1"/>
    </xf>
    <xf numFmtId="0" fontId="5" fillId="4" borderId="51" xfId="1" applyFont="1" applyFill="1" applyBorder="1" applyAlignment="1" applyProtection="1">
      <alignment horizontal="center"/>
    </xf>
    <xf numFmtId="0" fontId="2" fillId="4" borderId="6" xfId="1" applyFont="1" applyFill="1" applyBorder="1" applyProtection="1"/>
    <xf numFmtId="0" fontId="2" fillId="4" borderId="39" xfId="1" applyFont="1" applyFill="1" applyBorder="1" applyProtection="1"/>
    <xf numFmtId="177" fontId="5" fillId="0" borderId="6" xfId="1" applyNumberFormat="1" applyFont="1" applyFill="1" applyBorder="1" applyAlignment="1" applyProtection="1">
      <alignment horizontal="center"/>
      <protection locked="0"/>
    </xf>
    <xf numFmtId="165" fontId="64" fillId="14" borderId="3" xfId="1" applyNumberFormat="1" applyFont="1" applyFill="1" applyBorder="1" applyAlignment="1" applyProtection="1">
      <alignment horizontal="center"/>
    </xf>
    <xf numFmtId="165" fontId="64" fillId="14" borderId="4" xfId="1" applyNumberFormat="1" applyFont="1" applyFill="1" applyBorder="1" applyAlignment="1" applyProtection="1">
      <alignment horizontal="center"/>
    </xf>
    <xf numFmtId="182" fontId="5" fillId="6" borderId="51" xfId="1" applyNumberFormat="1" applyFont="1" applyFill="1" applyBorder="1" applyAlignment="1" applyProtection="1">
      <alignment horizontal="center"/>
    </xf>
    <xf numFmtId="182" fontId="65" fillId="14" borderId="50" xfId="1" applyNumberFormat="1" applyFont="1" applyFill="1" applyBorder="1" applyAlignment="1" applyProtection="1">
      <alignment horizontal="center"/>
    </xf>
    <xf numFmtId="182" fontId="5" fillId="16" borderId="6" xfId="1" applyNumberFormat="1" applyFont="1" applyFill="1" applyBorder="1" applyAlignment="1" applyProtection="1">
      <alignment horizontal="center"/>
    </xf>
    <xf numFmtId="182" fontId="65" fillId="16" borderId="69" xfId="1" applyNumberFormat="1" applyFont="1" applyFill="1" applyBorder="1" applyAlignment="1" applyProtection="1">
      <alignment horizontal="center"/>
    </xf>
    <xf numFmtId="0" fontId="66" fillId="0" borderId="53" xfId="1" applyFont="1" applyBorder="1" applyAlignment="1" applyProtection="1">
      <alignment horizontal="left" wrapText="1"/>
    </xf>
    <xf numFmtId="0" fontId="66" fillId="0" borderId="36" xfId="1" applyFont="1" applyBorder="1" applyAlignment="1" applyProtection="1">
      <alignment horizontal="left" indent="1"/>
    </xf>
    <xf numFmtId="0" fontId="2" fillId="0" borderId="35" xfId="1" applyFont="1" applyBorder="1" applyProtection="1"/>
    <xf numFmtId="0" fontId="2" fillId="0" borderId="64" xfId="1" applyFont="1" applyBorder="1" applyProtection="1">
      <protection locked="0"/>
    </xf>
    <xf numFmtId="0" fontId="2" fillId="18" borderId="30" xfId="1" applyFont="1" applyFill="1" applyBorder="1" applyProtection="1"/>
    <xf numFmtId="174" fontId="66" fillId="0" borderId="35" xfId="1" applyNumberFormat="1" applyFont="1" applyFill="1" applyBorder="1" applyAlignment="1" applyProtection="1">
      <alignment horizontal="center"/>
      <protection locked="0"/>
    </xf>
    <xf numFmtId="165" fontId="67" fillId="14" borderId="74" xfId="1" applyNumberFormat="1" applyFont="1" applyFill="1" applyBorder="1" applyAlignment="1" applyProtection="1">
      <alignment horizontal="center"/>
    </xf>
    <xf numFmtId="165" fontId="67" fillId="14" borderId="75" xfId="1" applyNumberFormat="1" applyFont="1" applyFill="1" applyBorder="1" applyAlignment="1" applyProtection="1">
      <alignment horizontal="center"/>
    </xf>
    <xf numFmtId="182" fontId="5" fillId="6" borderId="27" xfId="1" applyNumberFormat="1" applyFont="1" applyFill="1" applyBorder="1" applyAlignment="1" applyProtection="1">
      <alignment horizontal="center"/>
    </xf>
    <xf numFmtId="182" fontId="65" fillId="14" borderId="76" xfId="1" applyNumberFormat="1" applyFont="1" applyFill="1" applyBorder="1" applyAlignment="1" applyProtection="1">
      <alignment horizontal="center"/>
    </xf>
    <xf numFmtId="182" fontId="65" fillId="18" borderId="74" xfId="1" applyNumberFormat="1" applyFont="1" applyFill="1" applyBorder="1" applyAlignment="1" applyProtection="1">
      <alignment horizontal="center"/>
    </xf>
    <xf numFmtId="182" fontId="5" fillId="16" borderId="26" xfId="1" applyNumberFormat="1" applyFont="1" applyFill="1" applyBorder="1" applyAlignment="1" applyProtection="1">
      <alignment horizontal="center"/>
    </xf>
    <xf numFmtId="182" fontId="65" fillId="16" borderId="54" xfId="1" applyNumberFormat="1" applyFont="1" applyFill="1" applyBorder="1" applyAlignment="1" applyProtection="1">
      <alignment horizontal="center"/>
    </xf>
    <xf numFmtId="0" fontId="2" fillId="0" borderId="0" xfId="1" applyFont="1" applyProtection="1"/>
    <xf numFmtId="0" fontId="7" fillId="0" borderId="63" xfId="1" applyFont="1" applyBorder="1" applyAlignment="1" applyProtection="1">
      <alignment horizontal="left" wrapText="1"/>
    </xf>
    <xf numFmtId="0" fontId="7" fillId="0" borderId="34" xfId="1" applyFont="1" applyBorder="1" applyAlignment="1" applyProtection="1">
      <alignment horizontal="left" indent="1"/>
    </xf>
    <xf numFmtId="0" fontId="2" fillId="0" borderId="31" xfId="1" applyFont="1" applyBorder="1" applyProtection="1"/>
    <xf numFmtId="10" fontId="2" fillId="0" borderId="62" xfId="1" applyNumberFormat="1" applyBorder="1" applyProtection="1"/>
    <xf numFmtId="0" fontId="2" fillId="18" borderId="15" xfId="1" applyFont="1" applyFill="1" applyBorder="1" applyProtection="1"/>
    <xf numFmtId="165" fontId="7" fillId="4" borderId="31" xfId="1" applyNumberFormat="1" applyFont="1" applyFill="1" applyBorder="1" applyProtection="1"/>
    <xf numFmtId="165" fontId="68" fillId="14" borderId="61" xfId="1" applyNumberFormat="1" applyFont="1" applyFill="1" applyBorder="1" applyProtection="1"/>
    <xf numFmtId="165" fontId="7" fillId="4" borderId="32" xfId="1" applyNumberFormat="1" applyFont="1" applyFill="1" applyBorder="1" applyProtection="1"/>
    <xf numFmtId="165" fontId="68" fillId="14" borderId="77" xfId="1" applyNumberFormat="1" applyFont="1" applyFill="1" applyBorder="1" applyProtection="1"/>
    <xf numFmtId="182" fontId="5" fillId="6" borderId="34" xfId="1" applyNumberFormat="1" applyFont="1" applyFill="1" applyBorder="1" applyAlignment="1" applyProtection="1">
      <alignment horizontal="center"/>
    </xf>
    <xf numFmtId="182" fontId="65" fillId="14" borderId="78" xfId="1" applyNumberFormat="1" applyFont="1" applyFill="1" applyBorder="1" applyAlignment="1" applyProtection="1">
      <alignment horizontal="center"/>
    </xf>
    <xf numFmtId="182" fontId="65" fillId="18" borderId="61" xfId="1" applyNumberFormat="1" applyFont="1" applyFill="1" applyBorder="1" applyAlignment="1" applyProtection="1">
      <alignment horizontal="center"/>
    </xf>
    <xf numFmtId="182" fontId="5" fillId="16" borderId="33" xfId="1" applyNumberFormat="1" applyFont="1" applyFill="1" applyBorder="1" applyAlignment="1" applyProtection="1">
      <alignment horizontal="center"/>
    </xf>
    <xf numFmtId="182" fontId="65" fillId="16" borderId="56" xfId="1" applyNumberFormat="1" applyFont="1" applyFill="1" applyBorder="1" applyAlignment="1" applyProtection="1">
      <alignment horizontal="center"/>
    </xf>
    <xf numFmtId="0" fontId="65" fillId="6" borderId="13" xfId="1" applyFont="1" applyFill="1" applyBorder="1" applyAlignment="1" applyProtection="1">
      <alignment horizontal="left" wrapText="1"/>
    </xf>
    <xf numFmtId="0" fontId="65" fillId="6" borderId="13" xfId="1" applyFont="1" applyFill="1" applyBorder="1" applyAlignment="1" applyProtection="1">
      <alignment horizontal="left" indent="1"/>
    </xf>
    <xf numFmtId="0" fontId="65" fillId="6" borderId="26" xfId="1" applyFont="1" applyFill="1" applyBorder="1" applyProtection="1"/>
    <xf numFmtId="0" fontId="65" fillId="6" borderId="54" xfId="1" applyFont="1" applyFill="1" applyBorder="1" applyProtection="1"/>
    <xf numFmtId="0" fontId="65" fillId="18" borderId="13" xfId="1" applyFont="1" applyFill="1" applyBorder="1" applyProtection="1"/>
    <xf numFmtId="165" fontId="65" fillId="6" borderId="26" xfId="1" applyNumberFormat="1" applyFont="1" applyFill="1" applyBorder="1" applyProtection="1"/>
    <xf numFmtId="165" fontId="69" fillId="14" borderId="58" xfId="1" applyNumberFormat="1" applyFont="1" applyFill="1" applyBorder="1" applyProtection="1"/>
    <xf numFmtId="165" fontId="65" fillId="6" borderId="19" xfId="1" applyNumberFormat="1" applyFont="1" applyFill="1" applyBorder="1" applyProtection="1"/>
    <xf numFmtId="165" fontId="69" fillId="14" borderId="76" xfId="1" applyNumberFormat="1" applyFont="1" applyFill="1" applyBorder="1" applyProtection="1"/>
    <xf numFmtId="182" fontId="65" fillId="6" borderId="27" xfId="1" applyNumberFormat="1" applyFont="1" applyFill="1" applyBorder="1" applyAlignment="1" applyProtection="1">
      <alignment horizontal="center"/>
    </xf>
    <xf numFmtId="182" fontId="65" fillId="18" borderId="58" xfId="1" applyNumberFormat="1" applyFont="1" applyFill="1" applyBorder="1" applyAlignment="1" applyProtection="1">
      <alignment horizontal="center"/>
    </xf>
    <xf numFmtId="165" fontId="65" fillId="6" borderId="27" xfId="1" applyNumberFormat="1" applyFont="1" applyFill="1" applyBorder="1" applyProtection="1"/>
    <xf numFmtId="182" fontId="65" fillId="16" borderId="26" xfId="1" applyNumberFormat="1" applyFont="1" applyFill="1" applyBorder="1" applyAlignment="1" applyProtection="1">
      <alignment horizontal="center"/>
    </xf>
    <xf numFmtId="0" fontId="70" fillId="0" borderId="12" xfId="1" applyFont="1" applyBorder="1" applyAlignment="1" applyProtection="1">
      <alignment horizontal="left" wrapText="1"/>
    </xf>
    <xf numFmtId="0" fontId="71" fillId="0" borderId="12" xfId="1" applyFont="1" applyBorder="1" applyAlignment="1" applyProtection="1">
      <alignment horizontal="left" indent="1"/>
    </xf>
    <xf numFmtId="0" fontId="72" fillId="0" borderId="28" xfId="1" applyFont="1" applyBorder="1" applyProtection="1"/>
    <xf numFmtId="181" fontId="73" fillId="0" borderId="55" xfId="1" applyNumberFormat="1" applyFont="1" applyBorder="1" applyProtection="1"/>
    <xf numFmtId="0" fontId="72" fillId="18" borderId="12" xfId="1" applyFont="1" applyFill="1" applyBorder="1" applyProtection="1"/>
    <xf numFmtId="165" fontId="70" fillId="0" borderId="28" xfId="1" applyNumberFormat="1" applyFont="1" applyBorder="1" applyProtection="1">
      <protection locked="0"/>
    </xf>
    <xf numFmtId="165" fontId="74" fillId="14" borderId="59" xfId="1" applyNumberFormat="1" applyFont="1" applyFill="1" applyBorder="1" applyProtection="1"/>
    <xf numFmtId="165" fontId="70" fillId="0" borderId="27" xfId="1" applyNumberFormat="1" applyFont="1" applyBorder="1" applyProtection="1">
      <protection locked="0"/>
    </xf>
    <xf numFmtId="165" fontId="74" fillId="14" borderId="79" xfId="1" applyNumberFormat="1" applyFont="1" applyFill="1" applyBorder="1" applyProtection="1"/>
    <xf numFmtId="182" fontId="72" fillId="6" borderId="29" xfId="1" applyNumberFormat="1" applyFont="1" applyFill="1" applyBorder="1" applyAlignment="1" applyProtection="1">
      <alignment horizontal="center"/>
    </xf>
    <xf numFmtId="182" fontId="72" fillId="14" borderId="79" xfId="1" applyNumberFormat="1" applyFont="1" applyFill="1" applyBorder="1" applyAlignment="1" applyProtection="1">
      <alignment horizontal="center"/>
    </xf>
    <xf numFmtId="182" fontId="72" fillId="18" borderId="59" xfId="1" applyNumberFormat="1" applyFont="1" applyFill="1" applyBorder="1" applyAlignment="1" applyProtection="1">
      <alignment horizontal="center"/>
    </xf>
    <xf numFmtId="165" fontId="70" fillId="0" borderId="29" xfId="1" applyNumberFormat="1" applyFont="1" applyBorder="1" applyProtection="1">
      <protection locked="0"/>
    </xf>
    <xf numFmtId="182" fontId="72" fillId="16" borderId="28" xfId="1" applyNumberFormat="1" applyFont="1" applyFill="1" applyBorder="1" applyAlignment="1" applyProtection="1">
      <alignment horizontal="center"/>
    </xf>
    <xf numFmtId="182" fontId="72" fillId="16" borderId="55" xfId="1" applyNumberFormat="1" applyFont="1" applyFill="1" applyBorder="1" applyAlignment="1" applyProtection="1">
      <alignment horizontal="center"/>
    </xf>
    <xf numFmtId="0" fontId="72" fillId="0" borderId="55" xfId="1" applyFont="1" applyBorder="1" applyProtection="1"/>
    <xf numFmtId="0" fontId="70" fillId="0" borderId="14" xfId="1" applyFont="1" applyBorder="1" applyAlignment="1" applyProtection="1">
      <alignment horizontal="left" wrapText="1"/>
    </xf>
    <xf numFmtId="0" fontId="71" fillId="0" borderId="14" xfId="1" applyFont="1" applyBorder="1" applyAlignment="1" applyProtection="1">
      <alignment horizontal="left" indent="1"/>
    </xf>
    <xf numFmtId="0" fontId="72" fillId="0" borderId="33" xfId="1" applyFont="1" applyBorder="1" applyProtection="1"/>
    <xf numFmtId="0" fontId="72" fillId="0" borderId="56" xfId="1" applyFont="1" applyBorder="1" applyProtection="1"/>
    <xf numFmtId="0" fontId="72" fillId="18" borderId="14" xfId="1" applyFont="1" applyFill="1" applyBorder="1" applyProtection="1"/>
    <xf numFmtId="165" fontId="70" fillId="0" borderId="33" xfId="1" applyNumberFormat="1" applyFont="1" applyBorder="1" applyProtection="1">
      <protection locked="0"/>
    </xf>
    <xf numFmtId="165" fontId="74" fillId="14" borderId="80" xfId="1" applyNumberFormat="1" applyFont="1" applyFill="1" applyBorder="1" applyProtection="1"/>
    <xf numFmtId="165" fontId="70" fillId="0" borderId="34" xfId="1" applyNumberFormat="1" applyFont="1" applyBorder="1" applyProtection="1">
      <protection locked="0"/>
    </xf>
    <xf numFmtId="165" fontId="74" fillId="14" borderId="78" xfId="1" applyNumberFormat="1" applyFont="1" applyFill="1" applyBorder="1" applyProtection="1"/>
    <xf numFmtId="182" fontId="72" fillId="6" borderId="34" xfId="1" applyNumberFormat="1" applyFont="1" applyFill="1" applyBorder="1" applyAlignment="1" applyProtection="1">
      <alignment horizontal="center"/>
    </xf>
    <xf numFmtId="182" fontId="72" fillId="14" borderId="78" xfId="1" applyNumberFormat="1" applyFont="1" applyFill="1" applyBorder="1" applyAlignment="1" applyProtection="1">
      <alignment horizontal="center"/>
    </xf>
    <xf numFmtId="182" fontId="72" fillId="18" borderId="80" xfId="1" applyNumberFormat="1" applyFont="1" applyFill="1" applyBorder="1" applyAlignment="1" applyProtection="1">
      <alignment horizontal="center"/>
    </xf>
    <xf numFmtId="182" fontId="72" fillId="16" borderId="33" xfId="1" applyNumberFormat="1" applyFont="1" applyFill="1" applyBorder="1" applyAlignment="1" applyProtection="1">
      <alignment horizontal="center"/>
    </xf>
    <xf numFmtId="182" fontId="72" fillId="16" borderId="56" xfId="1" applyNumberFormat="1" applyFont="1" applyFill="1" applyBorder="1" applyAlignment="1" applyProtection="1">
      <alignment horizontal="center"/>
    </xf>
    <xf numFmtId="0" fontId="75" fillId="6" borderId="13" xfId="1" applyFont="1" applyFill="1" applyBorder="1" applyAlignment="1" applyProtection="1">
      <alignment horizontal="left" wrapText="1"/>
    </xf>
    <xf numFmtId="0" fontId="75" fillId="6" borderId="13" xfId="1" applyFont="1" applyFill="1" applyBorder="1" applyAlignment="1" applyProtection="1">
      <alignment horizontal="left" indent="1"/>
    </xf>
    <xf numFmtId="9" fontId="75" fillId="6" borderId="26" xfId="1" applyNumberFormat="1" applyFont="1" applyFill="1" applyBorder="1" applyProtection="1"/>
    <xf numFmtId="9" fontId="75" fillId="6" borderId="27" xfId="1" applyNumberFormat="1" applyFont="1" applyFill="1" applyBorder="1" applyProtection="1"/>
    <xf numFmtId="0" fontId="75" fillId="6" borderId="14" xfId="1" applyFont="1" applyFill="1" applyBorder="1" applyAlignment="1" applyProtection="1">
      <alignment horizontal="left" wrapText="1"/>
    </xf>
    <xf numFmtId="0" fontId="75" fillId="6" borderId="14" xfId="1" applyFont="1" applyFill="1" applyBorder="1" applyAlignment="1" applyProtection="1">
      <alignment horizontal="left" indent="1"/>
    </xf>
    <xf numFmtId="0" fontId="65" fillId="6" borderId="33" xfId="1" applyFont="1" applyFill="1" applyBorder="1" applyProtection="1"/>
    <xf numFmtId="0" fontId="65" fillId="6" borderId="56" xfId="1" applyFont="1" applyFill="1" applyBorder="1" applyProtection="1"/>
    <xf numFmtId="0" fontId="65" fillId="18" borderId="14" xfId="1" applyFont="1" applyFill="1" applyBorder="1" applyProtection="1"/>
    <xf numFmtId="178" fontId="75" fillId="6" borderId="33" xfId="1" applyNumberFormat="1" applyFont="1" applyFill="1" applyBorder="1" applyProtection="1"/>
    <xf numFmtId="165" fontId="69" fillId="14" borderId="80" xfId="1" applyNumberFormat="1" applyFont="1" applyFill="1" applyBorder="1" applyProtection="1"/>
    <xf numFmtId="178" fontId="75" fillId="6" borderId="34" xfId="1" applyNumberFormat="1" applyFont="1" applyFill="1" applyBorder="1" applyProtection="1"/>
    <xf numFmtId="165" fontId="69" fillId="14" borderId="78" xfId="1" applyNumberFormat="1" applyFont="1" applyFill="1" applyBorder="1" applyProtection="1"/>
    <xf numFmtId="182" fontId="65" fillId="6" borderId="34" xfId="1" applyNumberFormat="1" applyFont="1" applyFill="1" applyBorder="1" applyAlignment="1" applyProtection="1">
      <alignment horizontal="center"/>
    </xf>
    <xf numFmtId="182" fontId="65" fillId="18" borderId="80" xfId="1" applyNumberFormat="1" applyFont="1" applyFill="1" applyBorder="1" applyAlignment="1" applyProtection="1">
      <alignment horizontal="center"/>
    </xf>
    <xf numFmtId="182" fontId="65" fillId="16" borderId="33" xfId="1" applyNumberFormat="1" applyFont="1" applyFill="1" applyBorder="1" applyAlignment="1" applyProtection="1">
      <alignment horizontal="center"/>
    </xf>
    <xf numFmtId="0" fontId="76" fillId="0" borderId="13" xfId="1" applyFont="1" applyBorder="1" applyAlignment="1" applyProtection="1">
      <alignment horizontal="left" wrapText="1"/>
    </xf>
    <xf numFmtId="0" fontId="76" fillId="0" borderId="13" xfId="1" applyFont="1" applyBorder="1" applyAlignment="1" applyProtection="1">
      <alignment horizontal="left" indent="1"/>
    </xf>
    <xf numFmtId="0" fontId="62" fillId="0" borderId="26" xfId="1" applyFont="1" applyBorder="1" applyProtection="1"/>
    <xf numFmtId="0" fontId="62" fillId="0" borderId="54" xfId="1" applyFont="1" applyBorder="1" applyProtection="1"/>
    <xf numFmtId="0" fontId="62" fillId="18" borderId="13" xfId="1" applyFont="1" applyFill="1" applyBorder="1" applyProtection="1"/>
    <xf numFmtId="178" fontId="65" fillId="20" borderId="26" xfId="1" applyNumberFormat="1" applyFont="1" applyFill="1" applyBorder="1" applyProtection="1"/>
    <xf numFmtId="178" fontId="65" fillId="6" borderId="27" xfId="1" applyNumberFormat="1" applyFont="1" applyFill="1" applyBorder="1" applyAlignment="1" applyProtection="1">
      <alignment horizontal="center"/>
    </xf>
    <xf numFmtId="178" fontId="65" fillId="14" borderId="76" xfId="1" applyNumberFormat="1" applyFont="1" applyFill="1" applyBorder="1" applyAlignment="1" applyProtection="1">
      <alignment horizontal="center"/>
    </xf>
    <xf numFmtId="178" fontId="65" fillId="18" borderId="58" xfId="1" applyNumberFormat="1" applyFont="1" applyFill="1" applyBorder="1" applyAlignment="1" applyProtection="1">
      <alignment horizontal="center"/>
    </xf>
    <xf numFmtId="178" fontId="65" fillId="16" borderId="26" xfId="1" applyNumberFormat="1" applyFont="1" applyFill="1" applyBorder="1" applyAlignment="1" applyProtection="1">
      <alignment horizontal="center"/>
    </xf>
    <xf numFmtId="178" fontId="65" fillId="16" borderId="54" xfId="1" applyNumberFormat="1" applyFont="1" applyFill="1" applyBorder="1" applyAlignment="1" applyProtection="1">
      <alignment horizontal="center"/>
    </xf>
    <xf numFmtId="0" fontId="77" fillId="0" borderId="0" xfId="1" applyFont="1" applyProtection="1"/>
    <xf numFmtId="0" fontId="71" fillId="0" borderId="12" xfId="1" applyFont="1" applyBorder="1" applyAlignment="1" applyProtection="1">
      <alignment horizontal="left" wrapText="1"/>
    </xf>
    <xf numFmtId="0" fontId="62" fillId="0" borderId="28" xfId="1" applyFont="1" applyBorder="1" applyProtection="1"/>
    <xf numFmtId="0" fontId="62" fillId="0" borderId="55" xfId="1" applyFont="1" applyBorder="1" applyProtection="1"/>
    <xf numFmtId="0" fontId="62" fillId="18" borderId="12" xfId="1" applyFont="1" applyFill="1" applyBorder="1" applyProtection="1"/>
    <xf numFmtId="178" fontId="71" fillId="20" borderId="28" xfId="1" applyNumberFormat="1" applyFont="1" applyFill="1" applyBorder="1" applyProtection="1"/>
    <xf numFmtId="178" fontId="75" fillId="6" borderId="29" xfId="1" applyNumberFormat="1" applyFont="1" applyFill="1" applyBorder="1" applyAlignment="1" applyProtection="1">
      <alignment horizontal="center"/>
    </xf>
    <xf numFmtId="178" fontId="75" fillId="14" borderId="79" xfId="1" applyNumberFormat="1" applyFont="1" applyFill="1" applyBorder="1" applyAlignment="1" applyProtection="1">
      <alignment horizontal="center"/>
    </xf>
    <xf numFmtId="178" fontId="75" fillId="18" borderId="59" xfId="1" applyNumberFormat="1" applyFont="1" applyFill="1" applyBorder="1" applyAlignment="1" applyProtection="1">
      <alignment horizontal="center"/>
    </xf>
    <xf numFmtId="178" fontId="75" fillId="16" borderId="28" xfId="1" applyNumberFormat="1" applyFont="1" applyFill="1" applyBorder="1" applyAlignment="1" applyProtection="1">
      <alignment horizontal="center"/>
    </xf>
    <xf numFmtId="178" fontId="75" fillId="16" borderId="55" xfId="1" applyNumberFormat="1" applyFont="1" applyFill="1" applyBorder="1" applyAlignment="1" applyProtection="1">
      <alignment horizontal="center"/>
    </xf>
    <xf numFmtId="0" fontId="62" fillId="0" borderId="28" xfId="1" applyFont="1" applyFill="1" applyBorder="1" applyProtection="1"/>
    <xf numFmtId="0" fontId="62" fillId="0" borderId="55" xfId="1" applyFont="1" applyFill="1" applyBorder="1" applyProtection="1"/>
    <xf numFmtId="0" fontId="71" fillId="0" borderId="14" xfId="1" applyFont="1" applyBorder="1" applyAlignment="1" applyProtection="1">
      <alignment horizontal="left" wrapText="1"/>
    </xf>
    <xf numFmtId="0" fontId="62" fillId="0" borderId="33" xfId="1" applyFont="1" applyBorder="1" applyProtection="1"/>
    <xf numFmtId="0" fontId="62" fillId="0" borderId="56" xfId="1" applyFont="1" applyBorder="1" applyProtection="1"/>
    <xf numFmtId="0" fontId="62" fillId="18" borderId="14" xfId="1" applyFont="1" applyFill="1" applyBorder="1" applyProtection="1"/>
    <xf numFmtId="178" fontId="71" fillId="20" borderId="33" xfId="1" applyNumberFormat="1" applyFont="1" applyFill="1" applyBorder="1" applyProtection="1"/>
    <xf numFmtId="0" fontId="7" fillId="3" borderId="13" xfId="1" applyFont="1" applyFill="1" applyBorder="1" applyAlignment="1" applyProtection="1">
      <alignment wrapText="1"/>
    </xf>
    <xf numFmtId="0" fontId="7" fillId="3" borderId="13" xfId="1" applyFont="1" applyFill="1" applyBorder="1" applyProtection="1"/>
    <xf numFmtId="0" fontId="3" fillId="3" borderId="26" xfId="1" applyFont="1" applyFill="1" applyBorder="1" applyAlignment="1" applyProtection="1">
      <alignment horizontal="center"/>
    </xf>
    <xf numFmtId="0" fontId="9" fillId="3" borderId="54" xfId="1" applyFont="1" applyFill="1" applyBorder="1" applyAlignment="1" applyProtection="1">
      <alignment horizontal="center"/>
    </xf>
    <xf numFmtId="0" fontId="3" fillId="18" borderId="13" xfId="1" applyFont="1" applyFill="1" applyBorder="1" applyProtection="1"/>
    <xf numFmtId="165" fontId="7" fillId="3" borderId="26" xfId="1" applyNumberFormat="1" applyFont="1" applyFill="1" applyBorder="1" applyProtection="1"/>
    <xf numFmtId="165" fontId="68" fillId="3" borderId="58" xfId="1" applyNumberFormat="1" applyFont="1" applyFill="1" applyBorder="1" applyProtection="1"/>
    <xf numFmtId="165" fontId="7" fillId="3" borderId="27" xfId="1" applyNumberFormat="1" applyFont="1" applyFill="1" applyBorder="1" applyProtection="1"/>
    <xf numFmtId="165" fontId="68" fillId="3" borderId="76" xfId="1" applyNumberFormat="1" applyFont="1" applyFill="1" applyBorder="1" applyProtection="1"/>
    <xf numFmtId="165" fontId="7" fillId="3" borderId="27" xfId="1" applyNumberFormat="1" applyFont="1" applyFill="1" applyBorder="1" applyAlignment="1" applyProtection="1">
      <alignment horizontal="right"/>
    </xf>
    <xf numFmtId="165" fontId="78" fillId="3" borderId="76" xfId="1" applyNumberFormat="1" applyFont="1" applyFill="1" applyBorder="1" applyAlignment="1" applyProtection="1">
      <alignment horizontal="right"/>
    </xf>
    <xf numFmtId="165" fontId="78" fillId="18" borderId="58" xfId="1" applyNumberFormat="1" applyFont="1" applyFill="1" applyBorder="1" applyAlignment="1" applyProtection="1">
      <alignment horizontal="right"/>
    </xf>
    <xf numFmtId="165" fontId="7" fillId="3" borderId="26" xfId="1" applyNumberFormat="1" applyFont="1" applyFill="1" applyBorder="1" applyAlignment="1" applyProtection="1">
      <alignment horizontal="right"/>
    </xf>
    <xf numFmtId="165" fontId="78" fillId="3" borderId="54" xfId="1" applyNumberFormat="1" applyFont="1" applyFill="1" applyBorder="1" applyAlignment="1" applyProtection="1">
      <alignment horizontal="right"/>
    </xf>
    <xf numFmtId="0" fontId="3" fillId="0" borderId="0" xfId="1" applyFont="1" applyProtection="1"/>
    <xf numFmtId="0" fontId="24" fillId="0" borderId="12" xfId="1" applyFont="1" applyFill="1" applyBorder="1" applyAlignment="1" applyProtection="1">
      <alignment wrapText="1"/>
    </xf>
    <xf numFmtId="0" fontId="24" fillId="0" borderId="12" xfId="1" applyFont="1" applyFill="1" applyBorder="1" applyProtection="1"/>
    <xf numFmtId="0" fontId="24" fillId="0" borderId="28" xfId="1" applyFont="1" applyFill="1" applyBorder="1" applyProtection="1"/>
    <xf numFmtId="0" fontId="24" fillId="0" borderId="55" xfId="1" applyFont="1" applyFill="1" applyBorder="1" applyProtection="1"/>
    <xf numFmtId="0" fontId="2" fillId="18" borderId="12" xfId="1" applyFont="1" applyFill="1" applyBorder="1" applyProtection="1"/>
    <xf numFmtId="165" fontId="35" fillId="20" borderId="28" xfId="1" applyNumberFormat="1" applyFont="1" applyFill="1" applyBorder="1" applyProtection="1"/>
    <xf numFmtId="165" fontId="79" fillId="14" borderId="59" xfId="1" applyNumberFormat="1" applyFont="1" applyFill="1" applyBorder="1" applyProtection="1"/>
    <xf numFmtId="165" fontId="35" fillId="20" borderId="29" xfId="1" applyNumberFormat="1" applyFont="1" applyFill="1" applyBorder="1" applyProtection="1"/>
    <xf numFmtId="165" fontId="79" fillId="14" borderId="79" xfId="1" applyNumberFormat="1" applyFont="1" applyFill="1" applyBorder="1" applyProtection="1"/>
    <xf numFmtId="165" fontId="7" fillId="6" borderId="29" xfId="1" applyNumberFormat="1" applyFont="1" applyFill="1" applyBorder="1" applyAlignment="1" applyProtection="1">
      <alignment horizontal="right"/>
    </xf>
    <xf numFmtId="165" fontId="65" fillId="14" borderId="79" xfId="1" applyNumberFormat="1" applyFont="1" applyFill="1" applyBorder="1" applyAlignment="1" applyProtection="1">
      <alignment horizontal="right"/>
    </xf>
    <xf numFmtId="165" fontId="65" fillId="18" borderId="59" xfId="1" applyNumberFormat="1" applyFont="1" applyFill="1" applyBorder="1" applyAlignment="1" applyProtection="1">
      <alignment horizontal="right"/>
    </xf>
    <xf numFmtId="165" fontId="7" fillId="16" borderId="28" xfId="1" applyNumberFormat="1" applyFont="1" applyFill="1" applyBorder="1" applyAlignment="1" applyProtection="1">
      <alignment horizontal="right"/>
    </xf>
    <xf numFmtId="165" fontId="65" fillId="16" borderId="55" xfId="1" applyNumberFormat="1" applyFont="1" applyFill="1" applyBorder="1" applyAlignment="1" applyProtection="1">
      <alignment horizontal="right"/>
    </xf>
    <xf numFmtId="10" fontId="24" fillId="0" borderId="28" xfId="1" applyNumberFormat="1" applyFont="1" applyFill="1" applyBorder="1" applyProtection="1"/>
    <xf numFmtId="0" fontId="24" fillId="0" borderId="55" xfId="1" applyFont="1" applyFill="1" applyBorder="1" applyProtection="1">
      <protection locked="0"/>
    </xf>
    <xf numFmtId="0" fontId="24" fillId="0" borderId="14" xfId="1" applyFont="1" applyFill="1" applyBorder="1" applyAlignment="1" applyProtection="1">
      <alignment wrapText="1"/>
    </xf>
    <xf numFmtId="0" fontId="24" fillId="0" borderId="14" xfId="1" applyFont="1" applyFill="1" applyBorder="1" applyProtection="1"/>
    <xf numFmtId="10" fontId="24" fillId="0" borderId="31" xfId="1" applyNumberFormat="1" applyFont="1" applyFill="1" applyBorder="1" applyProtection="1"/>
    <xf numFmtId="0" fontId="24" fillId="0" borderId="62" xfId="1" applyFont="1" applyFill="1" applyBorder="1" applyProtection="1">
      <protection locked="0"/>
    </xf>
    <xf numFmtId="0" fontId="2" fillId="18" borderId="14" xfId="1" applyFont="1" applyFill="1" applyBorder="1" applyProtection="1"/>
    <xf numFmtId="165" fontId="35" fillId="20" borderId="33" xfId="1" applyNumberFormat="1" applyFont="1" applyFill="1" applyBorder="1" applyProtection="1"/>
    <xf numFmtId="165" fontId="79" fillId="14" borderId="80" xfId="1" applyNumberFormat="1" applyFont="1" applyFill="1" applyBorder="1" applyProtection="1"/>
    <xf numFmtId="165" fontId="35" fillId="20" borderId="34" xfId="1" applyNumberFormat="1" applyFont="1" applyFill="1" applyBorder="1" applyProtection="1"/>
    <xf numFmtId="165" fontId="79" fillId="14" borderId="78" xfId="1" applyNumberFormat="1" applyFont="1" applyFill="1" applyBorder="1" applyProtection="1"/>
    <xf numFmtId="165" fontId="7" fillId="6" borderId="34" xfId="1" applyNumberFormat="1" applyFont="1" applyFill="1" applyBorder="1" applyAlignment="1" applyProtection="1">
      <alignment horizontal="right"/>
    </xf>
    <xf numFmtId="165" fontId="65" fillId="14" borderId="78" xfId="1" applyNumberFormat="1" applyFont="1" applyFill="1" applyBorder="1" applyAlignment="1" applyProtection="1">
      <alignment horizontal="right"/>
    </xf>
    <xf numFmtId="165" fontId="65" fillId="18" borderId="80" xfId="1" applyNumberFormat="1" applyFont="1" applyFill="1" applyBorder="1" applyAlignment="1" applyProtection="1">
      <alignment horizontal="right"/>
    </xf>
    <xf numFmtId="165" fontId="7" fillId="16" borderId="33" xfId="1" applyNumberFormat="1" applyFont="1" applyFill="1" applyBorder="1" applyAlignment="1" applyProtection="1">
      <alignment horizontal="right"/>
    </xf>
    <xf numFmtId="165" fontId="65" fillId="16" borderId="56" xfId="1" applyNumberFormat="1" applyFont="1" applyFill="1" applyBorder="1" applyAlignment="1" applyProtection="1">
      <alignment horizontal="right"/>
    </xf>
    <xf numFmtId="0" fontId="7" fillId="8" borderId="13" xfId="1" applyFont="1" applyFill="1" applyBorder="1" applyAlignment="1" applyProtection="1">
      <alignment wrapText="1"/>
    </xf>
    <xf numFmtId="0" fontId="7" fillId="8" borderId="13" xfId="1" applyFont="1" applyFill="1" applyBorder="1" applyProtection="1"/>
    <xf numFmtId="0" fontId="3" fillId="8" borderId="26" xfId="1" applyFont="1" applyFill="1" applyBorder="1" applyProtection="1"/>
    <xf numFmtId="0" fontId="3" fillId="8" borderId="54" xfId="1" applyFont="1" applyFill="1" applyBorder="1" applyProtection="1"/>
    <xf numFmtId="0" fontId="3" fillId="18" borderId="58" xfId="1" applyFont="1" applyFill="1" applyBorder="1" applyProtection="1"/>
    <xf numFmtId="165" fontId="7" fillId="8" borderId="26" xfId="1" applyNumberFormat="1" applyFont="1" applyFill="1" applyBorder="1" applyProtection="1"/>
    <xf numFmtId="165" fontId="68" fillId="8" borderId="58" xfId="1" applyNumberFormat="1" applyFont="1" applyFill="1" applyBorder="1" applyProtection="1"/>
    <xf numFmtId="165" fontId="7" fillId="8" borderId="27" xfId="1" applyNumberFormat="1" applyFont="1" applyFill="1" applyBorder="1" applyProtection="1"/>
    <xf numFmtId="165" fontId="68" fillId="8" borderId="76" xfId="1" applyNumberFormat="1" applyFont="1" applyFill="1" applyBorder="1" applyProtection="1"/>
    <xf numFmtId="165" fontId="7" fillId="8" borderId="27" xfId="1" applyNumberFormat="1" applyFont="1" applyFill="1" applyBorder="1" applyAlignment="1" applyProtection="1">
      <alignment horizontal="right"/>
    </xf>
    <xf numFmtId="165" fontId="78" fillId="8" borderId="76" xfId="1" applyNumberFormat="1" applyFont="1" applyFill="1" applyBorder="1" applyAlignment="1" applyProtection="1">
      <alignment horizontal="right"/>
    </xf>
    <xf numFmtId="165" fontId="7" fillId="8" borderId="26" xfId="1" applyNumberFormat="1" applyFont="1" applyFill="1" applyBorder="1" applyAlignment="1" applyProtection="1">
      <alignment horizontal="right"/>
    </xf>
    <xf numFmtId="165" fontId="78" fillId="8" borderId="54" xfId="1" applyNumberFormat="1" applyFont="1" applyFill="1" applyBorder="1" applyAlignment="1" applyProtection="1">
      <alignment horizontal="right"/>
    </xf>
    <xf numFmtId="0" fontId="9" fillId="4" borderId="12" xfId="1" applyFont="1" applyFill="1" applyBorder="1" applyAlignment="1" applyProtection="1">
      <alignment horizontal="left" wrapText="1"/>
    </xf>
    <xf numFmtId="0" fontId="9" fillId="4" borderId="12" xfId="1" applyFont="1" applyFill="1" applyBorder="1" applyAlignment="1" applyProtection="1">
      <alignment horizontal="left"/>
    </xf>
    <xf numFmtId="0" fontId="3" fillId="4" borderId="28" xfId="1" applyFont="1" applyFill="1" applyBorder="1" applyProtection="1"/>
    <xf numFmtId="0" fontId="3" fillId="4" borderId="55" xfId="1" applyFont="1" applyFill="1" applyBorder="1" applyProtection="1"/>
    <xf numFmtId="0" fontId="3" fillId="18" borderId="59" xfId="1" applyFont="1" applyFill="1" applyBorder="1" applyProtection="1"/>
    <xf numFmtId="165" fontId="9" fillId="4" borderId="28" xfId="1" applyNumberFormat="1" applyFont="1" applyFill="1" applyBorder="1" applyProtection="1"/>
    <xf numFmtId="165" fontId="68" fillId="4" borderId="59" xfId="1" applyNumberFormat="1" applyFont="1" applyFill="1" applyBorder="1" applyProtection="1"/>
    <xf numFmtId="165" fontId="9" fillId="4" borderId="29" xfId="1" applyNumberFormat="1" applyFont="1" applyFill="1" applyBorder="1" applyProtection="1"/>
    <xf numFmtId="165" fontId="68" fillId="4" borderId="79" xfId="1" applyNumberFormat="1" applyFont="1" applyFill="1" applyBorder="1" applyProtection="1"/>
    <xf numFmtId="165" fontId="7" fillId="4" borderId="29" xfId="1" applyNumberFormat="1" applyFont="1" applyFill="1" applyBorder="1" applyAlignment="1" applyProtection="1">
      <alignment horizontal="right"/>
    </xf>
    <xf numFmtId="165" fontId="78" fillId="4" borderId="79" xfId="1" applyNumberFormat="1" applyFont="1" applyFill="1" applyBorder="1" applyAlignment="1" applyProtection="1">
      <alignment horizontal="right"/>
    </xf>
    <xf numFmtId="165" fontId="78" fillId="18" borderId="59" xfId="1" applyNumberFormat="1" applyFont="1" applyFill="1" applyBorder="1" applyAlignment="1" applyProtection="1">
      <alignment horizontal="right"/>
    </xf>
    <xf numFmtId="165" fontId="7" fillId="2" borderId="28" xfId="1" applyNumberFormat="1" applyFont="1" applyFill="1" applyBorder="1" applyAlignment="1" applyProtection="1">
      <alignment horizontal="right"/>
    </xf>
    <xf numFmtId="165" fontId="78" fillId="2" borderId="55" xfId="1" applyNumberFormat="1" applyFont="1" applyFill="1" applyBorder="1" applyAlignment="1" applyProtection="1">
      <alignment horizontal="right"/>
    </xf>
    <xf numFmtId="0" fontId="2" fillId="18" borderId="59" xfId="1" applyFill="1" applyBorder="1" applyProtection="1"/>
    <xf numFmtId="0" fontId="7" fillId="21" borderId="2" xfId="1" applyFont="1" applyFill="1" applyBorder="1" applyAlignment="1" applyProtection="1">
      <alignment horizontal="left" wrapText="1"/>
    </xf>
    <xf numFmtId="0" fontId="7" fillId="21" borderId="2" xfId="1" applyFont="1" applyFill="1" applyBorder="1" applyAlignment="1" applyProtection="1">
      <alignment horizontal="left" indent="1"/>
    </xf>
    <xf numFmtId="0" fontId="80" fillId="21" borderId="68" xfId="1" applyFont="1" applyFill="1" applyBorder="1" applyProtection="1"/>
    <xf numFmtId="0" fontId="80" fillId="21" borderId="69" xfId="1" applyFont="1" applyFill="1" applyBorder="1" applyProtection="1"/>
    <xf numFmtId="0" fontId="80" fillId="18" borderId="2" xfId="1" applyFont="1" applyFill="1" applyBorder="1" applyProtection="1"/>
    <xf numFmtId="165" fontId="7" fillId="21" borderId="23" xfId="1" applyNumberFormat="1" applyFont="1" applyFill="1" applyBorder="1" applyProtection="1"/>
    <xf numFmtId="165" fontId="68" fillId="21" borderId="17" xfId="1" applyNumberFormat="1" applyFont="1" applyFill="1" applyBorder="1" applyProtection="1"/>
    <xf numFmtId="165" fontId="7" fillId="21" borderId="5" xfId="1" applyNumberFormat="1" applyFont="1" applyFill="1" applyBorder="1" applyProtection="1"/>
    <xf numFmtId="165" fontId="68" fillId="21" borderId="4" xfId="1" applyNumberFormat="1" applyFont="1" applyFill="1" applyBorder="1" applyProtection="1"/>
    <xf numFmtId="165" fontId="7" fillId="21" borderId="5" xfId="1" applyNumberFormat="1" applyFont="1" applyFill="1" applyBorder="1" applyAlignment="1" applyProtection="1">
      <alignment horizontal="right"/>
    </xf>
    <xf numFmtId="165" fontId="78" fillId="21" borderId="4" xfId="1" applyNumberFormat="1" applyFont="1" applyFill="1" applyBorder="1" applyAlignment="1" applyProtection="1">
      <alignment horizontal="right"/>
    </xf>
    <xf numFmtId="165" fontId="78" fillId="18" borderId="3" xfId="1" applyNumberFormat="1" applyFont="1" applyFill="1" applyBorder="1" applyAlignment="1" applyProtection="1">
      <alignment horizontal="right"/>
    </xf>
    <xf numFmtId="165" fontId="7" fillId="21" borderId="6" xfId="1" applyNumberFormat="1" applyFont="1" applyFill="1" applyBorder="1" applyProtection="1"/>
    <xf numFmtId="165" fontId="7" fillId="3" borderId="6" xfId="1" applyNumberFormat="1" applyFont="1" applyFill="1" applyBorder="1" applyAlignment="1" applyProtection="1">
      <alignment horizontal="right"/>
    </xf>
    <xf numFmtId="165" fontId="78" fillId="3" borderId="39" xfId="1" applyNumberFormat="1" applyFont="1" applyFill="1" applyBorder="1" applyAlignment="1" applyProtection="1">
      <alignment horizontal="right"/>
    </xf>
    <xf numFmtId="165" fontId="68" fillId="8" borderId="41" xfId="1" applyNumberFormat="1" applyFont="1" applyFill="1" applyBorder="1" applyProtection="1"/>
    <xf numFmtId="0" fontId="9" fillId="4" borderId="12" xfId="1" applyFont="1" applyFill="1" applyBorder="1" applyAlignment="1" applyProtection="1">
      <alignment wrapText="1"/>
    </xf>
    <xf numFmtId="0" fontId="9" fillId="4" borderId="12" xfId="1" applyFont="1" applyFill="1" applyBorder="1" applyProtection="1"/>
    <xf numFmtId="0" fontId="81" fillId="4" borderId="28" xfId="1" applyFont="1" applyFill="1" applyBorder="1" applyProtection="1"/>
    <xf numFmtId="0" fontId="81" fillId="4" borderId="55" xfId="1" applyFont="1" applyFill="1" applyBorder="1" applyProtection="1"/>
    <xf numFmtId="165" fontId="68" fillId="4" borderId="44" xfId="1" applyNumberFormat="1" applyFont="1" applyFill="1" applyBorder="1" applyProtection="1"/>
    <xf numFmtId="165" fontId="7" fillId="4" borderId="29" xfId="1" applyNumberFormat="1" applyFont="1" applyFill="1" applyBorder="1" applyAlignment="1" applyProtection="1">
      <alignment horizontal="center"/>
    </xf>
    <xf numFmtId="165" fontId="78" fillId="4" borderId="79" xfId="1" applyNumberFormat="1" applyFont="1" applyFill="1" applyBorder="1" applyAlignment="1" applyProtection="1">
      <alignment horizontal="center"/>
    </xf>
    <xf numFmtId="165" fontId="78" fillId="18" borderId="59" xfId="1" applyNumberFormat="1" applyFont="1" applyFill="1" applyBorder="1" applyAlignment="1" applyProtection="1">
      <alignment horizontal="center"/>
    </xf>
    <xf numFmtId="165" fontId="7" fillId="2" borderId="28" xfId="1" applyNumberFormat="1" applyFont="1" applyFill="1" applyBorder="1" applyAlignment="1" applyProtection="1">
      <alignment horizontal="center"/>
    </xf>
    <xf numFmtId="165" fontId="78" fillId="2" borderId="55" xfId="1" applyNumberFormat="1" applyFont="1" applyFill="1" applyBorder="1" applyAlignment="1" applyProtection="1">
      <alignment horizontal="center"/>
    </xf>
    <xf numFmtId="0" fontId="75" fillId="0" borderId="12" xfId="1" applyFont="1" applyBorder="1" applyAlignment="1" applyProtection="1">
      <alignment horizontal="left" wrapText="1"/>
    </xf>
    <xf numFmtId="0" fontId="75" fillId="0" borderId="12" xfId="1" applyFont="1" applyBorder="1" applyAlignment="1" applyProtection="1">
      <alignment horizontal="left" wrapText="1" indent="1"/>
    </xf>
    <xf numFmtId="0" fontId="65" fillId="0" borderId="28" xfId="1" applyFont="1" applyBorder="1" applyProtection="1"/>
    <xf numFmtId="0" fontId="65" fillId="0" borderId="55" xfId="1" applyFont="1" applyBorder="1" applyProtection="1"/>
    <xf numFmtId="0" fontId="65" fillId="18" borderId="59" xfId="1" applyFont="1" applyFill="1" applyBorder="1" applyProtection="1"/>
    <xf numFmtId="165" fontId="82" fillId="20" borderId="28" xfId="1" applyNumberFormat="1" applyFont="1" applyFill="1" applyBorder="1" applyProtection="1"/>
    <xf numFmtId="165" fontId="83" fillId="14" borderId="44" xfId="1" applyNumberFormat="1" applyFont="1" applyFill="1" applyBorder="1" applyProtection="1"/>
    <xf numFmtId="165" fontId="82" fillId="20" borderId="29" xfId="1" applyNumberFormat="1" applyFont="1" applyFill="1" applyBorder="1" applyProtection="1"/>
    <xf numFmtId="165" fontId="83" fillId="14" borderId="79" xfId="1" applyNumberFormat="1" applyFont="1" applyFill="1" applyBorder="1" applyProtection="1"/>
    <xf numFmtId="165" fontId="84" fillId="6" borderId="29" xfId="1" applyNumberFormat="1" applyFont="1" applyFill="1" applyBorder="1" applyAlignment="1" applyProtection="1">
      <alignment horizontal="right"/>
    </xf>
    <xf numFmtId="165" fontId="78" fillId="16" borderId="28" xfId="1" applyNumberFormat="1" applyFont="1" applyFill="1" applyBorder="1" applyAlignment="1" applyProtection="1">
      <alignment horizontal="right"/>
    </xf>
    <xf numFmtId="0" fontId="85" fillId="0" borderId="12" xfId="1" applyFont="1" applyBorder="1" applyAlignment="1" applyProtection="1">
      <alignment horizontal="left" wrapText="1"/>
    </xf>
    <xf numFmtId="0" fontId="71" fillId="0" borderId="12" xfId="1" applyFont="1" applyBorder="1" applyAlignment="1" applyProtection="1">
      <alignment horizontal="left" wrapText="1" indent="1"/>
    </xf>
    <xf numFmtId="0" fontId="62" fillId="18" borderId="59" xfId="1" applyFont="1" applyFill="1" applyBorder="1" applyProtection="1"/>
    <xf numFmtId="165" fontId="86" fillId="20" borderId="28" xfId="1" applyNumberFormat="1" applyFont="1" applyFill="1" applyBorder="1" applyProtection="1"/>
    <xf numFmtId="165" fontId="79" fillId="14" borderId="44" xfId="1" applyNumberFormat="1" applyFont="1" applyFill="1" applyBorder="1" applyProtection="1"/>
    <xf numFmtId="165" fontId="86" fillId="20" borderId="29" xfId="1" applyNumberFormat="1" applyFont="1" applyFill="1" applyBorder="1" applyProtection="1"/>
    <xf numFmtId="165" fontId="78" fillId="6" borderId="29" xfId="1" applyNumberFormat="1" applyFont="1" applyFill="1" applyBorder="1" applyAlignment="1" applyProtection="1">
      <alignment horizontal="right"/>
    </xf>
    <xf numFmtId="9" fontId="62" fillId="0" borderId="28" xfId="1" applyNumberFormat="1" applyFont="1" applyBorder="1" applyProtection="1"/>
    <xf numFmtId="0" fontId="75" fillId="0" borderId="12" xfId="1" applyFont="1" applyBorder="1" applyAlignment="1" applyProtection="1">
      <alignment horizontal="left" indent="1"/>
    </xf>
    <xf numFmtId="0" fontId="71" fillId="0" borderId="15" xfId="1" applyFont="1" applyBorder="1" applyAlignment="1" applyProtection="1">
      <alignment horizontal="left" indent="1"/>
    </xf>
    <xf numFmtId="0" fontId="62" fillId="18" borderId="61" xfId="1" applyFont="1" applyFill="1" applyBorder="1" applyProtection="1"/>
    <xf numFmtId="165" fontId="79" fillId="14" borderId="77" xfId="1" applyNumberFormat="1" applyFont="1" applyFill="1" applyBorder="1" applyProtection="1"/>
    <xf numFmtId="165" fontId="65" fillId="18" borderId="61" xfId="1" applyNumberFormat="1" applyFont="1" applyFill="1" applyBorder="1" applyAlignment="1" applyProtection="1">
      <alignment horizontal="right"/>
    </xf>
    <xf numFmtId="165" fontId="86" fillId="20" borderId="31" xfId="1" applyNumberFormat="1" applyFont="1" applyFill="1" applyBorder="1" applyProtection="1"/>
    <xf numFmtId="165" fontId="86" fillId="20" borderId="32" xfId="1" applyNumberFormat="1" applyFont="1" applyFill="1" applyBorder="1" applyProtection="1"/>
    <xf numFmtId="0" fontId="8" fillId="4" borderId="12" xfId="1" applyFont="1" applyFill="1" applyBorder="1" applyAlignment="1" applyProtection="1">
      <alignment horizontal="left" wrapText="1"/>
    </xf>
    <xf numFmtId="0" fontId="9" fillId="4" borderId="12" xfId="1" applyFont="1" applyFill="1" applyBorder="1" applyAlignment="1" applyProtection="1">
      <alignment horizontal="left" indent="2"/>
    </xf>
    <xf numFmtId="0" fontId="2" fillId="4" borderId="28" xfId="1" applyFill="1" applyBorder="1" applyProtection="1"/>
    <xf numFmtId="0" fontId="2" fillId="4" borderId="55" xfId="1" applyFill="1" applyBorder="1" applyProtection="1"/>
    <xf numFmtId="165" fontId="65" fillId="2" borderId="55" xfId="1" applyNumberFormat="1" applyFont="1" applyFill="1" applyBorder="1" applyAlignment="1" applyProtection="1">
      <alignment horizontal="right"/>
    </xf>
    <xf numFmtId="0" fontId="87" fillId="0" borderId="12" xfId="1" applyNumberFormat="1" applyFont="1" applyBorder="1" applyAlignment="1" applyProtection="1">
      <alignment horizontal="left" vertical="top" wrapText="1"/>
    </xf>
    <xf numFmtId="0" fontId="88" fillId="0" borderId="12" xfId="1" applyNumberFormat="1" applyFont="1" applyBorder="1" applyAlignment="1" applyProtection="1">
      <alignment horizontal="left" vertical="top" wrapText="1" indent="3"/>
    </xf>
    <xf numFmtId="0" fontId="2" fillId="0" borderId="28" xfId="1" applyBorder="1" applyProtection="1"/>
    <xf numFmtId="10" fontId="2" fillId="0" borderId="55" xfId="1" applyNumberFormat="1" applyBorder="1" applyProtection="1">
      <protection locked="0"/>
    </xf>
    <xf numFmtId="10" fontId="2" fillId="18" borderId="59" xfId="1" applyNumberFormat="1" applyFill="1" applyBorder="1" applyProtection="1"/>
    <xf numFmtId="165" fontId="71" fillId="20" borderId="28" xfId="1" applyNumberFormat="1" applyFont="1" applyFill="1" applyBorder="1" applyProtection="1"/>
    <xf numFmtId="165" fontId="74" fillId="14" borderId="44" xfId="1" applyNumberFormat="1" applyFont="1" applyFill="1" applyBorder="1" applyProtection="1"/>
    <xf numFmtId="0" fontId="87" fillId="0" borderId="15" xfId="1" applyNumberFormat="1" applyFont="1" applyBorder="1" applyAlignment="1" applyProtection="1">
      <alignment horizontal="left" vertical="top" wrapText="1"/>
    </xf>
    <xf numFmtId="0" fontId="88" fillId="0" borderId="15" xfId="1" applyNumberFormat="1" applyFont="1" applyBorder="1" applyAlignment="1" applyProtection="1">
      <alignment horizontal="left" vertical="top" wrapText="1" indent="3"/>
    </xf>
    <xf numFmtId="0" fontId="2" fillId="0" borderId="62" xfId="1" applyBorder="1" applyProtection="1">
      <protection locked="0"/>
    </xf>
    <xf numFmtId="165" fontId="89" fillId="20" borderId="31" xfId="1" applyNumberFormat="1" applyFont="1" applyFill="1" applyBorder="1" applyProtection="1">
      <protection locked="0"/>
    </xf>
    <xf numFmtId="165" fontId="61" fillId="14" borderId="77" xfId="1" applyNumberFormat="1" applyFont="1" applyFill="1" applyBorder="1" applyProtection="1"/>
    <xf numFmtId="165" fontId="7" fillId="6" borderId="32" xfId="1" applyNumberFormat="1" applyFont="1" applyFill="1" applyBorder="1" applyAlignment="1" applyProtection="1">
      <alignment horizontal="right"/>
    </xf>
    <xf numFmtId="165" fontId="65" fillId="14" borderId="77" xfId="1" applyNumberFormat="1" applyFont="1" applyFill="1" applyBorder="1" applyAlignment="1" applyProtection="1">
      <alignment horizontal="right"/>
    </xf>
    <xf numFmtId="165" fontId="7" fillId="16" borderId="31" xfId="1" applyNumberFormat="1" applyFont="1" applyFill="1" applyBorder="1" applyAlignment="1" applyProtection="1">
      <alignment horizontal="right"/>
    </xf>
    <xf numFmtId="165" fontId="65" fillId="16" borderId="62" xfId="1" applyNumberFormat="1" applyFont="1" applyFill="1" applyBorder="1" applyAlignment="1" applyProtection="1">
      <alignment horizontal="right"/>
    </xf>
    <xf numFmtId="177" fontId="90" fillId="0" borderId="27" xfId="1" applyNumberFormat="1" applyFont="1" applyBorder="1" applyAlignment="1" applyProtection="1">
      <alignment horizontal="left" vertical="top" wrapText="1" indent="3"/>
    </xf>
    <xf numFmtId="177" fontId="91" fillId="0" borderId="26" xfId="1" applyNumberFormat="1" applyFont="1" applyBorder="1" applyProtection="1"/>
    <xf numFmtId="177" fontId="91" fillId="0" borderId="54" xfId="1" applyNumberFormat="1" applyFont="1" applyBorder="1" applyProtection="1">
      <protection locked="0"/>
    </xf>
    <xf numFmtId="177" fontId="24" fillId="0" borderId="26" xfId="1" applyNumberFormat="1" applyFont="1" applyFill="1" applyBorder="1" applyProtection="1">
      <protection locked="0"/>
    </xf>
    <xf numFmtId="177" fontId="24" fillId="0" borderId="27" xfId="1" applyNumberFormat="1" applyFont="1" applyFill="1" applyBorder="1" applyProtection="1">
      <protection locked="0"/>
    </xf>
    <xf numFmtId="177" fontId="92" fillId="14" borderId="76" xfId="1" applyNumberFormat="1" applyFont="1" applyFill="1" applyBorder="1" applyProtection="1"/>
    <xf numFmtId="177" fontId="93" fillId="6" borderId="27" xfId="1" applyNumberFormat="1" applyFont="1" applyFill="1" applyBorder="1" applyAlignment="1" applyProtection="1">
      <alignment horizontal="right"/>
    </xf>
    <xf numFmtId="177" fontId="94" fillId="14" borderId="42" xfId="1" applyNumberFormat="1" applyFont="1" applyFill="1" applyBorder="1" applyAlignment="1" applyProtection="1">
      <alignment horizontal="right"/>
    </xf>
    <xf numFmtId="177" fontId="94" fillId="18" borderId="41" xfId="1" applyNumberFormat="1" applyFont="1" applyFill="1" applyBorder="1" applyAlignment="1" applyProtection="1">
      <alignment horizontal="right"/>
    </xf>
    <xf numFmtId="177" fontId="92" fillId="14" borderId="54" xfId="1" applyNumberFormat="1" applyFont="1" applyFill="1" applyBorder="1" applyProtection="1"/>
    <xf numFmtId="177" fontId="94" fillId="14" borderId="76" xfId="1" applyNumberFormat="1" applyFont="1" applyFill="1" applyBorder="1" applyAlignment="1" applyProtection="1">
      <alignment horizontal="right"/>
    </xf>
    <xf numFmtId="177" fontId="93" fillId="16" borderId="26" xfId="1" applyNumberFormat="1" applyFont="1" applyFill="1" applyBorder="1" applyAlignment="1" applyProtection="1">
      <alignment horizontal="right"/>
    </xf>
    <xf numFmtId="177" fontId="94" fillId="16" borderId="54" xfId="1" applyNumberFormat="1" applyFont="1" applyFill="1" applyBorder="1" applyAlignment="1" applyProtection="1">
      <alignment horizontal="right"/>
    </xf>
    <xf numFmtId="177" fontId="91" fillId="0" borderId="0" xfId="1" applyNumberFormat="1" applyFont="1" applyProtection="1"/>
    <xf numFmtId="175" fontId="90" fillId="0" borderId="29" xfId="1" applyNumberFormat="1" applyFont="1" applyBorder="1" applyAlignment="1" applyProtection="1">
      <alignment horizontal="left" vertical="top" wrapText="1" indent="3"/>
    </xf>
    <xf numFmtId="175" fontId="91" fillId="0" borderId="28" xfId="1" applyNumberFormat="1" applyFont="1" applyBorder="1" applyProtection="1"/>
    <xf numFmtId="175" fontId="91" fillId="0" borderId="55" xfId="1" applyNumberFormat="1" applyFont="1" applyBorder="1" applyProtection="1">
      <protection locked="0"/>
    </xf>
    <xf numFmtId="175" fontId="91" fillId="18" borderId="0" xfId="1" applyNumberFormat="1" applyFont="1" applyFill="1" applyBorder="1" applyProtection="1"/>
    <xf numFmtId="175" fontId="24" fillId="0" borderId="28" xfId="1" applyNumberFormat="1" applyFont="1" applyFill="1" applyBorder="1" applyProtection="1">
      <protection locked="0"/>
    </xf>
    <xf numFmtId="175" fontId="92" fillId="14" borderId="44" xfId="1" applyNumberFormat="1" applyFont="1" applyFill="1" applyBorder="1" applyProtection="1"/>
    <xf numFmtId="175" fontId="24" fillId="0" borderId="29" xfId="1" applyNumberFormat="1" applyFont="1" applyFill="1" applyBorder="1" applyProtection="1">
      <protection locked="0"/>
    </xf>
    <xf numFmtId="175" fontId="92" fillId="14" borderId="79" xfId="1" applyNumberFormat="1" applyFont="1" applyFill="1" applyBorder="1" applyProtection="1"/>
    <xf numFmtId="175" fontId="93" fillId="6" borderId="29" xfId="1" applyNumberFormat="1" applyFont="1" applyFill="1" applyBorder="1" applyAlignment="1" applyProtection="1">
      <alignment horizontal="right"/>
    </xf>
    <xf numFmtId="175" fontId="94" fillId="14" borderId="45" xfId="1" applyNumberFormat="1" applyFont="1" applyFill="1" applyBorder="1" applyAlignment="1" applyProtection="1">
      <alignment horizontal="right"/>
    </xf>
    <xf numFmtId="175" fontId="94" fillId="18" borderId="44" xfId="1" applyNumberFormat="1" applyFont="1" applyFill="1" applyBorder="1" applyAlignment="1" applyProtection="1">
      <alignment horizontal="right"/>
    </xf>
    <xf numFmtId="175" fontId="92" fillId="14" borderId="55" xfId="1" applyNumberFormat="1" applyFont="1" applyFill="1" applyBorder="1" applyProtection="1"/>
    <xf numFmtId="175" fontId="94" fillId="14" borderId="79" xfId="1" applyNumberFormat="1" applyFont="1" applyFill="1" applyBorder="1" applyAlignment="1" applyProtection="1">
      <alignment horizontal="right"/>
    </xf>
    <xf numFmtId="175" fontId="93" fillId="16" borderId="28" xfId="1" applyNumberFormat="1" applyFont="1" applyFill="1" applyBorder="1" applyAlignment="1" applyProtection="1">
      <alignment horizontal="right"/>
    </xf>
    <xf numFmtId="175" fontId="94" fillId="16" borderId="55" xfId="1" applyNumberFormat="1" applyFont="1" applyFill="1" applyBorder="1" applyAlignment="1" applyProtection="1">
      <alignment horizontal="right"/>
    </xf>
    <xf numFmtId="175" fontId="91" fillId="0" borderId="0" xfId="1" applyNumberFormat="1" applyFont="1" applyProtection="1"/>
    <xf numFmtId="175" fontId="90" fillId="0" borderId="32" xfId="1" applyNumberFormat="1" applyFont="1" applyBorder="1" applyAlignment="1" applyProtection="1">
      <alignment horizontal="left" vertical="top" wrapText="1" indent="3"/>
    </xf>
    <xf numFmtId="175" fontId="91" fillId="0" borderId="31" xfId="1" applyNumberFormat="1" applyFont="1" applyBorder="1" applyProtection="1"/>
    <xf numFmtId="175" fontId="91" fillId="0" borderId="62" xfId="1" applyNumberFormat="1" applyFont="1" applyBorder="1" applyProtection="1">
      <protection locked="0"/>
    </xf>
    <xf numFmtId="175" fontId="24" fillId="0" borderId="31" xfId="1" applyNumberFormat="1" applyFont="1" applyFill="1" applyBorder="1" applyProtection="1">
      <protection locked="0"/>
    </xf>
    <xf numFmtId="175" fontId="92" fillId="14" borderId="63" xfId="1" applyNumberFormat="1" applyFont="1" applyFill="1" applyBorder="1" applyProtection="1"/>
    <xf numFmtId="175" fontId="24" fillId="0" borderId="32" xfId="1" applyNumberFormat="1" applyFont="1" applyFill="1" applyBorder="1" applyProtection="1">
      <protection locked="0"/>
    </xf>
    <xf numFmtId="175" fontId="92" fillId="14" borderId="77" xfId="1" applyNumberFormat="1" applyFont="1" applyFill="1" applyBorder="1" applyProtection="1"/>
    <xf numFmtId="175" fontId="93" fillId="6" borderId="32" xfId="1" applyNumberFormat="1" applyFont="1" applyFill="1" applyBorder="1" applyAlignment="1" applyProtection="1">
      <alignment horizontal="right"/>
    </xf>
    <xf numFmtId="175" fontId="94" fillId="14" borderId="60" xfId="1" applyNumberFormat="1" applyFont="1" applyFill="1" applyBorder="1" applyAlignment="1" applyProtection="1">
      <alignment horizontal="right"/>
    </xf>
    <xf numFmtId="175" fontId="94" fillId="18" borderId="63" xfId="1" applyNumberFormat="1" applyFont="1" applyFill="1" applyBorder="1" applyAlignment="1" applyProtection="1">
      <alignment horizontal="right"/>
    </xf>
    <xf numFmtId="175" fontId="92" fillId="14" borderId="62" xfId="1" applyNumberFormat="1" applyFont="1" applyFill="1" applyBorder="1" applyProtection="1"/>
    <xf numFmtId="175" fontId="94" fillId="14" borderId="77" xfId="1" applyNumberFormat="1" applyFont="1" applyFill="1" applyBorder="1" applyAlignment="1" applyProtection="1">
      <alignment horizontal="right"/>
    </xf>
    <xf numFmtId="175" fontId="93" fillId="16" borderId="31" xfId="1" applyNumberFormat="1" applyFont="1" applyFill="1" applyBorder="1" applyAlignment="1" applyProtection="1">
      <alignment horizontal="right"/>
    </xf>
    <xf numFmtId="175" fontId="94" fillId="16" borderId="62" xfId="1" applyNumberFormat="1" applyFont="1" applyFill="1" applyBorder="1" applyAlignment="1" applyProtection="1">
      <alignment horizontal="right"/>
    </xf>
    <xf numFmtId="173" fontId="90" fillId="0" borderId="34" xfId="1" applyNumberFormat="1" applyFont="1" applyBorder="1" applyAlignment="1" applyProtection="1">
      <alignment horizontal="left" vertical="top" wrapText="1" indent="3"/>
    </xf>
    <xf numFmtId="173" fontId="91" fillId="0" borderId="33" xfId="1" applyNumberFormat="1" applyFont="1" applyBorder="1" applyProtection="1"/>
    <xf numFmtId="173" fontId="91" fillId="0" borderId="56" xfId="1" applyNumberFormat="1" applyFont="1" applyBorder="1" applyProtection="1">
      <protection locked="0"/>
    </xf>
    <xf numFmtId="173" fontId="24" fillId="0" borderId="33" xfId="1" applyNumberFormat="1" applyFont="1" applyFill="1" applyBorder="1" applyProtection="1">
      <protection locked="0"/>
    </xf>
    <xf numFmtId="173" fontId="92" fillId="14" borderId="46" xfId="1" applyNumberFormat="1" applyFont="1" applyFill="1" applyBorder="1" applyProtection="1"/>
    <xf numFmtId="173" fontId="24" fillId="0" borderId="34" xfId="1" applyNumberFormat="1" applyFont="1" applyFill="1" applyBorder="1" applyProtection="1">
      <protection locked="0"/>
    </xf>
    <xf numFmtId="173" fontId="92" fillId="14" borderId="78" xfId="1" applyNumberFormat="1" applyFont="1" applyFill="1" applyBorder="1" applyProtection="1"/>
    <xf numFmtId="173" fontId="93" fillId="6" borderId="34" xfId="1" applyNumberFormat="1" applyFont="1" applyFill="1" applyBorder="1" applyAlignment="1" applyProtection="1">
      <alignment horizontal="right"/>
    </xf>
    <xf numFmtId="173" fontId="94" fillId="14" borderId="47" xfId="1" applyNumberFormat="1" applyFont="1" applyFill="1" applyBorder="1" applyAlignment="1" applyProtection="1">
      <alignment horizontal="right"/>
    </xf>
    <xf numFmtId="173" fontId="94" fillId="18" borderId="46" xfId="1" applyNumberFormat="1" applyFont="1" applyFill="1" applyBorder="1" applyAlignment="1" applyProtection="1">
      <alignment horizontal="right"/>
    </xf>
    <xf numFmtId="173" fontId="92" fillId="14" borderId="56" xfId="1" applyNumberFormat="1" applyFont="1" applyFill="1" applyBorder="1" applyProtection="1"/>
    <xf numFmtId="173" fontId="94" fillId="14" borderId="78" xfId="1" applyNumberFormat="1" applyFont="1" applyFill="1" applyBorder="1" applyAlignment="1" applyProtection="1">
      <alignment horizontal="right"/>
    </xf>
    <xf numFmtId="173" fontId="93" fillId="16" borderId="33" xfId="1" applyNumberFormat="1" applyFont="1" applyFill="1" applyBorder="1" applyAlignment="1" applyProtection="1">
      <alignment horizontal="right"/>
    </xf>
    <xf numFmtId="173" fontId="94" fillId="16" borderId="56" xfId="1" applyNumberFormat="1" applyFont="1" applyFill="1" applyBorder="1" applyAlignment="1" applyProtection="1">
      <alignment horizontal="right"/>
    </xf>
    <xf numFmtId="173" fontId="91" fillId="0" borderId="0" xfId="1" applyNumberFormat="1" applyFont="1" applyProtection="1"/>
    <xf numFmtId="173" fontId="91" fillId="18" borderId="0" xfId="1" applyNumberFormat="1" applyFont="1" applyFill="1" applyBorder="1" applyProtection="1"/>
    <xf numFmtId="0" fontId="80" fillId="21" borderId="6" xfId="1" applyFont="1" applyFill="1" applyBorder="1" applyProtection="1"/>
    <xf numFmtId="0" fontId="80" fillId="21" borderId="39" xfId="1" applyFont="1" applyFill="1" applyBorder="1" applyProtection="1"/>
    <xf numFmtId="165" fontId="68" fillId="21" borderId="3" xfId="1" applyNumberFormat="1" applyFont="1" applyFill="1" applyBorder="1" applyProtection="1"/>
    <xf numFmtId="0" fontId="7" fillId="3" borderId="16" xfId="1" applyFont="1" applyFill="1" applyBorder="1" applyAlignment="1" applyProtection="1">
      <alignment horizontal="left" wrapText="1"/>
    </xf>
    <xf numFmtId="0" fontId="7" fillId="3" borderId="2" xfId="1" applyFont="1" applyFill="1" applyBorder="1" applyAlignment="1" applyProtection="1">
      <alignment horizontal="left" indent="1"/>
    </xf>
    <xf numFmtId="0" fontId="80" fillId="3" borderId="23" xfId="1" applyFont="1" applyFill="1" applyBorder="1" applyProtection="1"/>
    <xf numFmtId="0" fontId="80" fillId="3" borderId="22" xfId="1" applyFont="1" applyFill="1" applyBorder="1" applyProtection="1"/>
    <xf numFmtId="165" fontId="7" fillId="3" borderId="6" xfId="1" applyNumberFormat="1" applyFont="1" applyFill="1" applyBorder="1" applyProtection="1"/>
    <xf numFmtId="165" fontId="68" fillId="3" borderId="3" xfId="1" applyNumberFormat="1" applyFont="1" applyFill="1" applyBorder="1" applyProtection="1"/>
    <xf numFmtId="165" fontId="7" fillId="3" borderId="5" xfId="1" applyNumberFormat="1" applyFont="1" applyFill="1" applyBorder="1" applyProtection="1"/>
    <xf numFmtId="165" fontId="68" fillId="3" borderId="4" xfId="1" applyNumberFormat="1" applyFont="1" applyFill="1" applyBorder="1" applyProtection="1"/>
    <xf numFmtId="165" fontId="7" fillId="3" borderId="19" xfId="1" applyNumberFormat="1" applyFont="1" applyFill="1" applyBorder="1" applyAlignment="1" applyProtection="1">
      <alignment horizontal="right"/>
    </xf>
    <xf numFmtId="165" fontId="78" fillId="21" borderId="18" xfId="1" applyNumberFormat="1" applyFont="1" applyFill="1" applyBorder="1" applyAlignment="1" applyProtection="1">
      <alignment horizontal="right"/>
    </xf>
    <xf numFmtId="165" fontId="78" fillId="18" borderId="17" xfId="1" applyNumberFormat="1" applyFont="1" applyFill="1" applyBorder="1" applyAlignment="1" applyProtection="1">
      <alignment horizontal="right"/>
    </xf>
    <xf numFmtId="165" fontId="78" fillId="3" borderId="18" xfId="1" applyNumberFormat="1" applyFont="1" applyFill="1" applyBorder="1" applyAlignment="1" applyProtection="1">
      <alignment horizontal="right"/>
    </xf>
    <xf numFmtId="165" fontId="7" fillId="3" borderId="23" xfId="1" applyNumberFormat="1" applyFont="1" applyFill="1" applyBorder="1" applyAlignment="1" applyProtection="1">
      <alignment horizontal="right"/>
    </xf>
    <xf numFmtId="165" fontId="78" fillId="3" borderId="22" xfId="1" applyNumberFormat="1" applyFont="1" applyFill="1" applyBorder="1" applyAlignment="1" applyProtection="1">
      <alignment horizontal="right"/>
    </xf>
    <xf numFmtId="10" fontId="96" fillId="0" borderId="16" xfId="1" applyNumberFormat="1" applyFont="1" applyFill="1" applyBorder="1" applyAlignment="1" applyProtection="1">
      <alignment horizontal="left" wrapText="1"/>
    </xf>
    <xf numFmtId="10" fontId="96" fillId="0" borderId="2" xfId="1" applyNumberFormat="1" applyFont="1" applyFill="1" applyBorder="1" applyAlignment="1" applyProtection="1">
      <alignment horizontal="left" indent="1"/>
    </xf>
    <xf numFmtId="10" fontId="97" fillId="0" borderId="23" xfId="1" applyNumberFormat="1" applyFont="1" applyFill="1" applyBorder="1" applyProtection="1"/>
    <xf numFmtId="10" fontId="97" fillId="0" borderId="22" xfId="1" applyNumberFormat="1" applyFont="1" applyFill="1" applyBorder="1" applyProtection="1"/>
    <xf numFmtId="10" fontId="97" fillId="18" borderId="2" xfId="1" applyNumberFormat="1" applyFont="1" applyFill="1" applyBorder="1" applyProtection="1"/>
    <xf numFmtId="10" fontId="10" fillId="20" borderId="6" xfId="1" applyNumberFormat="1" applyFont="1" applyFill="1" applyBorder="1" applyProtection="1"/>
    <xf numFmtId="10" fontId="83" fillId="14" borderId="3" xfId="1" applyNumberFormat="1" applyFont="1" applyFill="1" applyBorder="1" applyProtection="1"/>
    <xf numFmtId="10" fontId="10" fillId="20" borderId="5" xfId="1" applyNumberFormat="1" applyFont="1" applyFill="1" applyBorder="1" applyProtection="1"/>
    <xf numFmtId="10" fontId="83" fillId="14" borderId="4" xfId="1" applyNumberFormat="1" applyFont="1" applyFill="1" applyBorder="1" applyProtection="1"/>
    <xf numFmtId="10" fontId="10" fillId="6" borderId="19" xfId="1" applyNumberFormat="1" applyFont="1" applyFill="1" applyBorder="1" applyAlignment="1" applyProtection="1">
      <alignment horizontal="right"/>
    </xf>
    <xf numFmtId="10" fontId="82" fillId="14" borderId="18" xfId="1" applyNumberFormat="1" applyFont="1" applyFill="1" applyBorder="1" applyAlignment="1" applyProtection="1">
      <alignment horizontal="right"/>
    </xf>
    <xf numFmtId="10" fontId="82" fillId="18" borderId="17" xfId="1" applyNumberFormat="1" applyFont="1" applyFill="1" applyBorder="1" applyAlignment="1" applyProtection="1">
      <alignment horizontal="right"/>
    </xf>
    <xf numFmtId="10" fontId="10" fillId="16" borderId="23" xfId="1" applyNumberFormat="1" applyFont="1" applyFill="1" applyBorder="1" applyAlignment="1" applyProtection="1">
      <alignment horizontal="right"/>
    </xf>
    <xf numFmtId="10" fontId="82" fillId="16" borderId="22" xfId="1" applyNumberFormat="1" applyFont="1" applyFill="1" applyBorder="1" applyAlignment="1" applyProtection="1">
      <alignment horizontal="right"/>
    </xf>
    <xf numFmtId="10" fontId="2" fillId="0" borderId="0" xfId="1" applyNumberFormat="1" applyProtection="1"/>
    <xf numFmtId="172" fontId="7" fillId="13" borderId="5" xfId="1" applyNumberFormat="1" applyFont="1" applyFill="1" applyBorder="1" applyProtection="1"/>
    <xf numFmtId="0" fontId="3" fillId="21" borderId="6" xfId="1" applyFont="1" applyFill="1" applyBorder="1" applyProtection="1"/>
    <xf numFmtId="0" fontId="3" fillId="21" borderId="39" xfId="1" applyFont="1" applyFill="1" applyBorder="1" applyProtection="1"/>
    <xf numFmtId="0" fontId="3" fillId="18" borderId="2" xfId="1" applyFont="1" applyFill="1" applyBorder="1" applyProtection="1"/>
    <xf numFmtId="165" fontId="78" fillId="21" borderId="50" xfId="1" applyNumberFormat="1" applyFont="1" applyFill="1" applyBorder="1" applyAlignment="1" applyProtection="1">
      <alignment horizontal="right"/>
    </xf>
    <xf numFmtId="165" fontId="78" fillId="18" borderId="49" xfId="1" applyNumberFormat="1" applyFont="1" applyFill="1" applyBorder="1" applyAlignment="1" applyProtection="1">
      <alignment horizontal="right"/>
    </xf>
    <xf numFmtId="165" fontId="7" fillId="3" borderId="68" xfId="1" applyNumberFormat="1" applyFont="1" applyFill="1" applyBorder="1" applyAlignment="1" applyProtection="1">
      <alignment horizontal="right"/>
    </xf>
    <xf numFmtId="165" fontId="78" fillId="3" borderId="69" xfId="1" applyNumberFormat="1" applyFont="1" applyFill="1" applyBorder="1" applyAlignment="1" applyProtection="1">
      <alignment horizontal="right"/>
    </xf>
    <xf numFmtId="0" fontId="24" fillId="0" borderId="0" xfId="1" applyFont="1" applyFill="1" applyBorder="1" applyAlignment="1" applyProtection="1">
      <alignment horizontal="center"/>
    </xf>
    <xf numFmtId="165" fontId="24" fillId="0" borderId="0" xfId="1" applyNumberFormat="1" applyFont="1" applyFill="1" applyBorder="1" applyAlignment="1" applyProtection="1">
      <alignment horizontal="center"/>
    </xf>
    <xf numFmtId="172" fontId="24" fillId="0" borderId="0" xfId="1" applyNumberFormat="1" applyFont="1" applyFill="1" applyBorder="1" applyAlignment="1" applyProtection="1">
      <alignment horizontal="center"/>
    </xf>
    <xf numFmtId="0" fontId="5" fillId="6" borderId="1" xfId="1" applyFont="1" applyFill="1" applyBorder="1" applyProtection="1"/>
    <xf numFmtId="165" fontId="7" fillId="0" borderId="31" xfId="1" applyNumberFormat="1" applyFont="1" applyFill="1" applyBorder="1" applyProtection="1"/>
    <xf numFmtId="165" fontId="89" fillId="20" borderId="33" xfId="1" applyNumberFormat="1" applyFont="1" applyFill="1" applyBorder="1" applyProtection="1">
      <protection locked="0"/>
    </xf>
    <xf numFmtId="165" fontId="74" fillId="14" borderId="46" xfId="1" applyNumberFormat="1" applyFont="1" applyFill="1" applyBorder="1" applyProtection="1"/>
    <xf numFmtId="165" fontId="89" fillId="20" borderId="34" xfId="1" applyNumberFormat="1" applyFont="1" applyFill="1" applyBorder="1" applyProtection="1">
      <protection locked="0"/>
    </xf>
    <xf numFmtId="177" fontId="91" fillId="18" borderId="0" xfId="1" applyNumberFormat="1" applyFont="1" applyFill="1" applyBorder="1" applyProtection="1"/>
    <xf numFmtId="177" fontId="24" fillId="0" borderId="35" xfId="1" applyNumberFormat="1" applyFont="1" applyFill="1" applyBorder="1" applyProtection="1">
      <protection locked="0"/>
    </xf>
    <xf numFmtId="177" fontId="92" fillId="14" borderId="53" xfId="1" applyNumberFormat="1" applyFont="1" applyFill="1" applyBorder="1" applyProtection="1"/>
    <xf numFmtId="0" fontId="8" fillId="0" borderId="0" xfId="1" applyFont="1" applyFill="1" applyBorder="1" applyAlignment="1" applyProtection="1">
      <alignment horizontal="center"/>
    </xf>
    <xf numFmtId="165" fontId="8" fillId="0" borderId="0" xfId="1" applyNumberFormat="1" applyFont="1" applyFill="1" applyBorder="1" applyAlignment="1" applyProtection="1">
      <alignment horizontal="center"/>
    </xf>
    <xf numFmtId="174" fontId="66" fillId="0" borderId="27" xfId="1" applyNumberFormat="1" applyFont="1" applyFill="1" applyBorder="1" applyAlignment="1" applyProtection="1">
      <alignment horizontal="center"/>
      <protection locked="0"/>
    </xf>
    <xf numFmtId="10" fontId="9" fillId="0" borderId="2" xfId="1" applyNumberFormat="1" applyFont="1" applyFill="1" applyBorder="1" applyAlignment="1" applyProtection="1">
      <alignment horizontal="left" indent="1"/>
    </xf>
    <xf numFmtId="177" fontId="97" fillId="0" borderId="23" xfId="1" applyNumberFormat="1" applyFont="1" applyFill="1" applyBorder="1" applyProtection="1"/>
    <xf numFmtId="165" fontId="65" fillId="8" borderId="26" xfId="1" applyNumberFormat="1" applyFont="1" applyFill="1" applyBorder="1" applyProtection="1"/>
    <xf numFmtId="9" fontId="75" fillId="22" borderId="26" xfId="1" applyNumberFormat="1" applyFont="1" applyFill="1" applyBorder="1" applyProtection="1"/>
    <xf numFmtId="9" fontId="75" fillId="13" borderId="26" xfId="1" applyNumberFormat="1" applyFont="1" applyFill="1" applyBorder="1" applyProtection="1"/>
    <xf numFmtId="9" fontId="75" fillId="22" borderId="27" xfId="1" applyNumberFormat="1" applyFont="1" applyFill="1" applyBorder="1" applyProtection="1"/>
    <xf numFmtId="0" fontId="7" fillId="3" borderId="2" xfId="1" applyFont="1" applyFill="1" applyBorder="1" applyAlignment="1" applyProtection="1">
      <alignment horizontal="left" wrapText="1"/>
    </xf>
    <xf numFmtId="0" fontId="3" fillId="3" borderId="6" xfId="1" applyFont="1" applyFill="1" applyBorder="1" applyProtection="1"/>
    <xf numFmtId="0" fontId="3" fillId="3" borderId="39" xfId="1" applyFont="1" applyFill="1" applyBorder="1" applyProtection="1"/>
    <xf numFmtId="172" fontId="7" fillId="16" borderId="5" xfId="1" applyNumberFormat="1" applyFont="1" applyFill="1" applyBorder="1" applyProtection="1"/>
    <xf numFmtId="0" fontId="5" fillId="0" borderId="0" xfId="1" applyFont="1"/>
    <xf numFmtId="172" fontId="2" fillId="0" borderId="0" xfId="1" applyNumberFormat="1"/>
    <xf numFmtId="0" fontId="5" fillId="6" borderId="1" xfId="1" applyFont="1" applyFill="1" applyBorder="1" applyAlignment="1">
      <alignment horizontal="center"/>
    </xf>
    <xf numFmtId="0" fontId="5" fillId="6" borderId="1" xfId="1" applyFont="1" applyFill="1" applyBorder="1" applyAlignment="1">
      <alignment horizontal="center" wrapText="1"/>
    </xf>
    <xf numFmtId="0" fontId="5" fillId="0" borderId="0" xfId="1" applyFont="1" applyAlignment="1">
      <alignment horizontal="center"/>
    </xf>
    <xf numFmtId="183" fontId="5" fillId="6" borderId="1" xfId="1" applyNumberFormat="1" applyFont="1" applyFill="1" applyBorder="1" applyAlignment="1">
      <alignment horizontal="center"/>
    </xf>
    <xf numFmtId="14" fontId="2" fillId="0" borderId="1" xfId="1" applyNumberFormat="1" applyFill="1" applyBorder="1"/>
    <xf numFmtId="172" fontId="2" fillId="0" borderId="1" xfId="1" applyNumberFormat="1" applyBorder="1"/>
    <xf numFmtId="175" fontId="5" fillId="0" borderId="1" xfId="1" applyNumberFormat="1" applyFont="1" applyBorder="1"/>
    <xf numFmtId="175" fontId="2" fillId="0" borderId="1" xfId="1" applyNumberFormat="1" applyBorder="1"/>
    <xf numFmtId="0" fontId="5" fillId="0" borderId="1" xfId="1" applyFont="1" applyBorder="1" applyAlignment="1">
      <alignment wrapText="1"/>
    </xf>
    <xf numFmtId="0" fontId="2" fillId="0" borderId="1" xfId="1" applyBorder="1"/>
    <xf numFmtId="0" fontId="2" fillId="0" borderId="1" xfId="1" applyFont="1" applyBorder="1" applyAlignment="1">
      <alignment wrapText="1"/>
    </xf>
    <xf numFmtId="14" fontId="2" fillId="24" borderId="1" xfId="1" applyNumberFormat="1" applyFill="1" applyBorder="1"/>
    <xf numFmtId="172" fontId="2" fillId="24" borderId="1" xfId="1" applyNumberFormat="1" applyFill="1" applyBorder="1"/>
    <xf numFmtId="175" fontId="5" fillId="24" borderId="1" xfId="1" applyNumberFormat="1" applyFont="1" applyFill="1" applyBorder="1"/>
    <xf numFmtId="175" fontId="2" fillId="24" borderId="1" xfId="1" applyNumberFormat="1" applyFill="1" applyBorder="1"/>
    <xf numFmtId="0" fontId="2" fillId="24" borderId="1" xfId="1" applyFont="1" applyFill="1" applyBorder="1" applyAlignment="1">
      <alignment wrapText="1"/>
    </xf>
    <xf numFmtId="0" fontId="2" fillId="24" borderId="1" xfId="1" applyFill="1" applyBorder="1"/>
    <xf numFmtId="175" fontId="2" fillId="0" borderId="1" xfId="1" applyNumberFormat="1" applyFont="1" applyBorder="1"/>
    <xf numFmtId="175" fontId="2" fillId="24" borderId="1" xfId="1" applyNumberFormat="1" applyFont="1" applyFill="1" applyBorder="1"/>
    <xf numFmtId="172" fontId="2" fillId="0" borderId="1" xfId="1" applyNumberFormat="1" applyFill="1" applyBorder="1"/>
    <xf numFmtId="0" fontId="2" fillId="0" borderId="1" xfId="1" applyFill="1" applyBorder="1"/>
    <xf numFmtId="0" fontId="5" fillId="24" borderId="1" xfId="1" applyFont="1" applyFill="1" applyBorder="1" applyAlignment="1">
      <alignment wrapText="1"/>
    </xf>
    <xf numFmtId="0" fontId="2" fillId="24" borderId="1" xfId="1" applyFill="1" applyBorder="1" applyAlignment="1">
      <alignment wrapText="1"/>
    </xf>
    <xf numFmtId="14" fontId="2" fillId="24" borderId="1" xfId="1" applyNumberFormat="1" applyFont="1" applyFill="1" applyBorder="1"/>
    <xf numFmtId="172" fontId="2" fillId="24" borderId="1" xfId="1" applyNumberFormat="1" applyFont="1" applyFill="1" applyBorder="1"/>
    <xf numFmtId="0" fontId="2" fillId="24" borderId="1" xfId="1" applyFont="1" applyFill="1" applyBorder="1"/>
    <xf numFmtId="167" fontId="2" fillId="0" borderId="0" xfId="1" applyNumberFormat="1"/>
    <xf numFmtId="10" fontId="2" fillId="0" borderId="0" xfId="1" applyNumberFormat="1"/>
    <xf numFmtId="0" fontId="14" fillId="4" borderId="16" xfId="1" applyFont="1" applyFill="1" applyBorder="1" applyAlignment="1">
      <alignment horizontal="center"/>
    </xf>
    <xf numFmtId="0" fontId="14" fillId="4" borderId="21" xfId="1" applyFont="1" applyFill="1" applyBorder="1" applyAlignment="1">
      <alignment horizontal="center"/>
    </xf>
    <xf numFmtId="0" fontId="14" fillId="4" borderId="44" xfId="1" applyFont="1" applyFill="1" applyBorder="1" applyAlignment="1">
      <alignment horizontal="center"/>
    </xf>
    <xf numFmtId="0" fontId="17" fillId="4" borderId="59" xfId="1" applyFont="1" applyFill="1" applyBorder="1"/>
    <xf numFmtId="167" fontId="17" fillId="4" borderId="59" xfId="1" applyNumberFormat="1" applyFont="1" applyFill="1" applyBorder="1"/>
    <xf numFmtId="10" fontId="17" fillId="4" borderId="45" xfId="1" applyNumberFormat="1" applyFont="1" applyFill="1" applyBorder="1"/>
    <xf numFmtId="0" fontId="14" fillId="4" borderId="18" xfId="1" applyFont="1" applyFill="1" applyBorder="1" applyAlignment="1">
      <alignment horizontal="center" wrapText="1"/>
    </xf>
    <xf numFmtId="0" fontId="14" fillId="4" borderId="19" xfId="1" applyFont="1" applyFill="1" applyBorder="1" applyAlignment="1">
      <alignment horizontal="center" wrapText="1"/>
    </xf>
    <xf numFmtId="0" fontId="14" fillId="4" borderId="10" xfId="1" applyFont="1" applyFill="1" applyBorder="1" applyAlignment="1">
      <alignment horizontal="center"/>
    </xf>
    <xf numFmtId="0" fontId="14" fillId="4" borderId="66" xfId="1" applyFont="1" applyFill="1" applyBorder="1" applyAlignment="1">
      <alignment horizontal="center"/>
    </xf>
    <xf numFmtId="167" fontId="14" fillId="4" borderId="66" xfId="1" applyNumberFormat="1" applyFont="1" applyFill="1" applyBorder="1" applyAlignment="1">
      <alignment horizontal="center"/>
    </xf>
    <xf numFmtId="10" fontId="14" fillId="4" borderId="1" xfId="1" applyNumberFormat="1" applyFont="1" applyFill="1" applyBorder="1" applyAlignment="1">
      <alignment horizontal="center"/>
    </xf>
    <xf numFmtId="0" fontId="14" fillId="4" borderId="50" xfId="1" applyFont="1" applyFill="1" applyBorder="1" applyAlignment="1">
      <alignment horizontal="center" wrapText="1"/>
    </xf>
    <xf numFmtId="0" fontId="14" fillId="4" borderId="51" xfId="1" applyFont="1" applyFill="1" applyBorder="1" applyAlignment="1">
      <alignment horizontal="center" wrapText="1"/>
    </xf>
    <xf numFmtId="0" fontId="14" fillId="4" borderId="24" xfId="1" applyFont="1" applyFill="1" applyBorder="1" applyAlignment="1">
      <alignment horizontal="center"/>
    </xf>
    <xf numFmtId="0" fontId="14" fillId="4" borderId="9" xfId="1" applyFont="1" applyFill="1" applyBorder="1" applyAlignment="1">
      <alignment horizontal="center"/>
    </xf>
    <xf numFmtId="0" fontId="14" fillId="4" borderId="70" xfId="1" applyFont="1" applyFill="1" applyBorder="1" applyAlignment="1">
      <alignment horizontal="center"/>
    </xf>
    <xf numFmtId="0" fontId="14" fillId="4" borderId="8" xfId="1" applyFont="1" applyFill="1" applyBorder="1" applyAlignment="1">
      <alignment horizontal="center"/>
    </xf>
    <xf numFmtId="167" fontId="14" fillId="4" borderId="8" xfId="1" applyNumberFormat="1" applyFont="1" applyFill="1" applyBorder="1" applyAlignment="1">
      <alignment horizontal="center"/>
    </xf>
    <xf numFmtId="10" fontId="14" fillId="4" borderId="0" xfId="1" applyNumberFormat="1" applyFont="1" applyFill="1" applyBorder="1" applyAlignment="1">
      <alignment horizontal="center"/>
    </xf>
    <xf numFmtId="0" fontId="14" fillId="4" borderId="25" xfId="1" applyFont="1" applyFill="1" applyBorder="1" applyAlignment="1">
      <alignment horizontal="center" wrapText="1"/>
    </xf>
    <xf numFmtId="14" fontId="14" fillId="23" borderId="28" xfId="1" applyNumberFormat="1" applyFont="1" applyFill="1" applyBorder="1"/>
    <xf numFmtId="0" fontId="14" fillId="23" borderId="11" xfId="1" applyFont="1" applyFill="1" applyBorder="1"/>
    <xf numFmtId="4" fontId="14" fillId="23" borderId="44" xfId="1" applyNumberFormat="1" applyFont="1" applyFill="1" applyBorder="1"/>
    <xf numFmtId="167" fontId="14" fillId="23" borderId="1" xfId="1" applyNumberFormat="1" applyFont="1" applyFill="1" applyBorder="1"/>
    <xf numFmtId="167" fontId="14" fillId="23" borderId="45" xfId="1" applyNumberFormat="1" applyFont="1" applyFill="1" applyBorder="1"/>
    <xf numFmtId="10" fontId="14" fillId="23" borderId="59" xfId="1" applyNumberFormat="1" applyFont="1" applyFill="1" applyBorder="1"/>
    <xf numFmtId="167" fontId="14" fillId="23" borderId="29" xfId="1" applyNumberFormat="1" applyFont="1" applyFill="1" applyBorder="1" applyAlignment="1">
      <alignment wrapText="1"/>
    </xf>
    <xf numFmtId="14" fontId="17" fillId="0" borderId="28" xfId="1" applyNumberFormat="1" applyFont="1" applyBorder="1"/>
    <xf numFmtId="0" fontId="17" fillId="0" borderId="11" xfId="1" applyFont="1" applyBorder="1"/>
    <xf numFmtId="4" fontId="17" fillId="0" borderId="44" xfId="1" applyNumberFormat="1" applyFont="1" applyBorder="1"/>
    <xf numFmtId="167" fontId="17" fillId="0" borderId="1" xfId="1" applyNumberFormat="1" applyFont="1" applyBorder="1"/>
    <xf numFmtId="167" fontId="17" fillId="0" borderId="45" xfId="1" applyNumberFormat="1" applyFont="1" applyBorder="1"/>
    <xf numFmtId="10" fontId="17" fillId="0" borderId="59" xfId="1" applyNumberFormat="1" applyFont="1" applyBorder="1"/>
    <xf numFmtId="167" fontId="17" fillId="0" borderId="29" xfId="1" applyNumberFormat="1" applyFont="1" applyBorder="1" applyAlignment="1">
      <alignment wrapText="1"/>
    </xf>
    <xf numFmtId="0" fontId="17" fillId="0" borderId="11" xfId="1" applyFont="1" applyFill="1" applyBorder="1"/>
    <xf numFmtId="4" fontId="17" fillId="0" borderId="44" xfId="1" applyNumberFormat="1" applyFont="1" applyFill="1" applyBorder="1"/>
    <xf numFmtId="167" fontId="17" fillId="0" borderId="1" xfId="1" applyNumberFormat="1" applyFont="1" applyFill="1" applyBorder="1"/>
    <xf numFmtId="167" fontId="17" fillId="0" borderId="45" xfId="1" applyNumberFormat="1" applyFont="1" applyFill="1" applyBorder="1"/>
    <xf numFmtId="10" fontId="17" fillId="0" borderId="59" xfId="1" applyNumberFormat="1" applyFont="1" applyFill="1" applyBorder="1"/>
    <xf numFmtId="167" fontId="17" fillId="0" borderId="29" xfId="1" applyNumberFormat="1" applyFont="1" applyFill="1" applyBorder="1" applyAlignment="1">
      <alignment wrapText="1"/>
    </xf>
    <xf numFmtId="14" fontId="17" fillId="0" borderId="28" xfId="1" applyNumberFormat="1" applyFont="1" applyFill="1" applyBorder="1"/>
    <xf numFmtId="14" fontId="19" fillId="23" borderId="28" xfId="1" applyNumberFormat="1" applyFont="1" applyFill="1" applyBorder="1"/>
    <xf numFmtId="0" fontId="19" fillId="23" borderId="11" xfId="1" applyFont="1" applyFill="1" applyBorder="1"/>
    <xf numFmtId="4" fontId="19" fillId="23" borderId="44" xfId="1" applyNumberFormat="1" applyFont="1" applyFill="1" applyBorder="1"/>
    <xf numFmtId="167" fontId="19" fillId="23" borderId="1" xfId="1" applyNumberFormat="1" applyFont="1" applyFill="1" applyBorder="1"/>
    <xf numFmtId="167" fontId="19" fillId="23" borderId="45" xfId="1" applyNumberFormat="1" applyFont="1" applyFill="1" applyBorder="1"/>
    <xf numFmtId="10" fontId="19" fillId="23" borderId="59" xfId="1" applyNumberFormat="1" applyFont="1" applyFill="1" applyBorder="1"/>
    <xf numFmtId="167" fontId="15" fillId="0" borderId="45" xfId="1" applyNumberFormat="1" applyFont="1" applyFill="1" applyBorder="1"/>
    <xf numFmtId="10" fontId="15" fillId="0" borderId="59" xfId="1" applyNumberFormat="1" applyFont="1" applyFill="1" applyBorder="1"/>
    <xf numFmtId="167" fontId="19" fillId="23" borderId="29" xfId="1" applyNumberFormat="1" applyFont="1" applyFill="1" applyBorder="1" applyAlignment="1">
      <alignment wrapText="1"/>
    </xf>
    <xf numFmtId="4" fontId="17" fillId="16" borderId="44" xfId="1" applyNumberFormat="1" applyFont="1" applyFill="1" applyBorder="1"/>
    <xf numFmtId="14" fontId="17" fillId="3" borderId="28" xfId="1" applyNumberFormat="1" applyFont="1" applyFill="1" applyBorder="1"/>
    <xf numFmtId="0" fontId="17" fillId="3" borderId="11" xfId="1" applyFont="1" applyFill="1" applyBorder="1"/>
    <xf numFmtId="4" fontId="17" fillId="3" borderId="44" xfId="1" applyNumberFormat="1" applyFont="1" applyFill="1" applyBorder="1"/>
    <xf numFmtId="167" fontId="17" fillId="3" borderId="1" xfId="1" applyNumberFormat="1" applyFont="1" applyFill="1" applyBorder="1"/>
    <xf numFmtId="167" fontId="17" fillId="3" borderId="45" xfId="1" applyNumberFormat="1" applyFont="1" applyFill="1" applyBorder="1"/>
    <xf numFmtId="167" fontId="15" fillId="3" borderId="45" xfId="1" applyNumberFormat="1" applyFont="1" applyFill="1" applyBorder="1"/>
    <xf numFmtId="10" fontId="15" fillId="3" borderId="59" xfId="1" applyNumberFormat="1" applyFont="1" applyFill="1" applyBorder="1"/>
    <xf numFmtId="167" fontId="17" fillId="3" borderId="29" xfId="1" applyNumberFormat="1" applyFont="1" applyFill="1" applyBorder="1" applyAlignment="1">
      <alignment wrapText="1"/>
    </xf>
    <xf numFmtId="4" fontId="19" fillId="23" borderId="1" xfId="1" applyNumberFormat="1" applyFont="1" applyFill="1" applyBorder="1"/>
    <xf numFmtId="184" fontId="1" fillId="0" borderId="81" xfId="2" applyNumberFormat="1" applyFont="1" applyBorder="1" applyAlignment="1">
      <alignment horizontal="right" vertical="top"/>
    </xf>
    <xf numFmtId="4" fontId="1" fillId="0" borderId="81" xfId="2" applyNumberFormat="1" applyFont="1" applyBorder="1" applyAlignment="1">
      <alignment horizontal="right" vertical="top"/>
    </xf>
    <xf numFmtId="185" fontId="1" fillId="0" borderId="81" xfId="2" applyNumberFormat="1" applyFont="1" applyBorder="1" applyAlignment="1">
      <alignment horizontal="right" vertical="top"/>
    </xf>
    <xf numFmtId="2" fontId="1" fillId="0" borderId="81" xfId="2" applyNumberFormat="1" applyFont="1" applyBorder="1" applyAlignment="1">
      <alignment horizontal="right" vertical="top"/>
    </xf>
    <xf numFmtId="185" fontId="17" fillId="0" borderId="81" xfId="2" applyNumberFormat="1" applyFont="1" applyFill="1" applyBorder="1" applyAlignment="1">
      <alignment horizontal="right" vertical="top"/>
    </xf>
    <xf numFmtId="4" fontId="17" fillId="0" borderId="81" xfId="2" applyNumberFormat="1" applyFont="1" applyFill="1" applyBorder="1" applyAlignment="1">
      <alignment horizontal="right" vertical="top"/>
    </xf>
    <xf numFmtId="2" fontId="17" fillId="0" borderId="81" xfId="2" applyNumberFormat="1" applyFont="1" applyFill="1" applyBorder="1" applyAlignment="1">
      <alignment horizontal="right" vertical="top"/>
    </xf>
    <xf numFmtId="0" fontId="1" fillId="0" borderId="81" xfId="2" applyNumberFormat="1" applyFont="1" applyBorder="1" applyAlignment="1">
      <alignment horizontal="right" vertical="top"/>
    </xf>
    <xf numFmtId="185" fontId="17" fillId="20" borderId="81" xfId="2" applyNumberFormat="1" applyFont="1" applyFill="1" applyBorder="1" applyAlignment="1">
      <alignment horizontal="right" vertical="top"/>
    </xf>
    <xf numFmtId="2" fontId="17" fillId="20" borderId="81" xfId="2" applyNumberFormat="1" applyFont="1" applyFill="1" applyBorder="1" applyAlignment="1">
      <alignment horizontal="right" vertical="top"/>
    </xf>
    <xf numFmtId="2" fontId="1" fillId="0" borderId="81" xfId="2" applyNumberFormat="1" applyFont="1" applyFill="1" applyBorder="1" applyAlignment="1">
      <alignment horizontal="right" vertical="top"/>
    </xf>
    <xf numFmtId="14" fontId="17" fillId="25" borderId="28" xfId="1" applyNumberFormat="1" applyFont="1" applyFill="1" applyBorder="1"/>
    <xf numFmtId="0" fontId="17" fillId="25" borderId="11" xfId="1" applyFont="1" applyFill="1" applyBorder="1"/>
    <xf numFmtId="184" fontId="1" fillId="25" borderId="81" xfId="2" applyNumberFormat="1" applyFont="1" applyFill="1" applyBorder="1" applyAlignment="1">
      <alignment horizontal="right" vertical="top"/>
    </xf>
    <xf numFmtId="4" fontId="1" fillId="25" borderId="81" xfId="2" applyNumberFormat="1" applyFont="1" applyFill="1" applyBorder="1" applyAlignment="1">
      <alignment horizontal="right" vertical="top"/>
    </xf>
    <xf numFmtId="167" fontId="15" fillId="25" borderId="45" xfId="1" applyNumberFormat="1" applyFont="1" applyFill="1" applyBorder="1"/>
    <xf numFmtId="10" fontId="15" fillId="25" borderId="59" xfId="1" applyNumberFormat="1" applyFont="1" applyFill="1" applyBorder="1"/>
    <xf numFmtId="167" fontId="17" fillId="25" borderId="29" xfId="1" applyNumberFormat="1" applyFont="1" applyFill="1" applyBorder="1" applyAlignment="1">
      <alignment wrapText="1"/>
    </xf>
    <xf numFmtId="185" fontId="1" fillId="0" borderId="81" xfId="2" applyNumberFormat="1" applyFont="1" applyFill="1" applyBorder="1" applyAlignment="1">
      <alignment horizontal="right" vertical="top"/>
    </xf>
    <xf numFmtId="4" fontId="1" fillId="0" borderId="81" xfId="2" applyNumberFormat="1" applyFont="1" applyFill="1" applyBorder="1" applyAlignment="1">
      <alignment horizontal="right" vertical="top"/>
    </xf>
    <xf numFmtId="14" fontId="17" fillId="26" borderId="28" xfId="1" applyNumberFormat="1" applyFont="1" applyFill="1" applyBorder="1"/>
    <xf numFmtId="0" fontId="17" fillId="26" borderId="11" xfId="1" applyFont="1" applyFill="1" applyBorder="1"/>
    <xf numFmtId="184" fontId="1" fillId="26" borderId="81" xfId="2" applyNumberFormat="1" applyFont="1" applyFill="1" applyBorder="1" applyAlignment="1">
      <alignment horizontal="right" vertical="top"/>
    </xf>
    <xf numFmtId="4" fontId="1" fillId="26" borderId="81" xfId="2" applyNumberFormat="1" applyFont="1" applyFill="1" applyBorder="1" applyAlignment="1">
      <alignment horizontal="right" vertical="top"/>
    </xf>
    <xf numFmtId="167" fontId="15" fillId="26" borderId="45" xfId="1" applyNumberFormat="1" applyFont="1" applyFill="1" applyBorder="1"/>
    <xf numFmtId="10" fontId="15" fillId="26" borderId="59" xfId="1" applyNumberFormat="1" applyFont="1" applyFill="1" applyBorder="1"/>
    <xf numFmtId="167" fontId="17" fillId="26" borderId="29" xfId="1" applyNumberFormat="1" applyFont="1" applyFill="1" applyBorder="1" applyAlignment="1">
      <alignment wrapText="1"/>
    </xf>
    <xf numFmtId="184" fontId="1" fillId="0" borderId="81" xfId="2" applyNumberFormat="1" applyFont="1" applyFill="1" applyBorder="1" applyAlignment="1">
      <alignment horizontal="right" vertical="top"/>
    </xf>
    <xf numFmtId="14" fontId="17" fillId="16" borderId="28" xfId="1" applyNumberFormat="1" applyFont="1" applyFill="1" applyBorder="1"/>
    <xf numFmtId="0" fontId="17" fillId="16" borderId="11" xfId="1" applyFont="1" applyFill="1" applyBorder="1"/>
    <xf numFmtId="184" fontId="1" fillId="16" borderId="81" xfId="2" applyNumberFormat="1" applyFont="1" applyFill="1" applyBorder="1" applyAlignment="1">
      <alignment horizontal="right" vertical="top"/>
    </xf>
    <xf numFmtId="4" fontId="1" fillId="16" borderId="81" xfId="2" applyNumberFormat="1" applyFont="1" applyFill="1" applyBorder="1" applyAlignment="1">
      <alignment horizontal="right" vertical="top"/>
    </xf>
    <xf numFmtId="167" fontId="15" fillId="16" borderId="45" xfId="1" applyNumberFormat="1" applyFont="1" applyFill="1" applyBorder="1"/>
    <xf numFmtId="10" fontId="15" fillId="16" borderId="59" xfId="1" applyNumberFormat="1" applyFont="1" applyFill="1" applyBorder="1"/>
    <xf numFmtId="167" fontId="17" fillId="16" borderId="29" xfId="1" applyNumberFormat="1" applyFont="1" applyFill="1" applyBorder="1" applyAlignment="1">
      <alignment wrapText="1"/>
    </xf>
    <xf numFmtId="0" fontId="101" fillId="0" borderId="0" xfId="1" applyFont="1"/>
    <xf numFmtId="0" fontId="100" fillId="0" borderId="0" xfId="1" applyFont="1"/>
    <xf numFmtId="0" fontId="101" fillId="4" borderId="19" xfId="1" applyFont="1" applyFill="1" applyBorder="1" applyAlignment="1">
      <alignment wrapText="1"/>
    </xf>
    <xf numFmtId="0" fontId="101" fillId="4" borderId="3" xfId="1" applyFont="1" applyFill="1" applyBorder="1" applyAlignment="1">
      <alignment horizontal="center"/>
    </xf>
    <xf numFmtId="0" fontId="101" fillId="4" borderId="4" xfId="1" applyFont="1" applyFill="1" applyBorder="1" applyAlignment="1">
      <alignment horizontal="center"/>
    </xf>
    <xf numFmtId="0" fontId="101" fillId="4" borderId="2" xfId="1" applyFont="1" applyFill="1" applyBorder="1" applyAlignment="1">
      <alignment horizontal="center"/>
    </xf>
    <xf numFmtId="0" fontId="101" fillId="4" borderId="19" xfId="1" applyFont="1" applyFill="1" applyBorder="1" applyAlignment="1">
      <alignment horizontal="center"/>
    </xf>
    <xf numFmtId="0" fontId="100" fillId="4" borderId="19" xfId="1" applyFont="1" applyFill="1" applyBorder="1" applyAlignment="1">
      <alignment horizontal="center"/>
    </xf>
    <xf numFmtId="10" fontId="100" fillId="4" borderId="19" xfId="1" applyNumberFormat="1" applyFont="1" applyFill="1" applyBorder="1" applyAlignment="1">
      <alignment horizontal="center"/>
    </xf>
    <xf numFmtId="0" fontId="101" fillId="4" borderId="51" xfId="1" applyFont="1" applyFill="1" applyBorder="1"/>
    <xf numFmtId="0" fontId="101" fillId="4" borderId="5" xfId="1" applyFont="1" applyFill="1" applyBorder="1" applyAlignment="1">
      <alignment horizontal="center"/>
    </xf>
    <xf numFmtId="0" fontId="101" fillId="4" borderId="50" xfId="1" applyFont="1" applyFill="1" applyBorder="1" applyAlignment="1">
      <alignment horizontal="center"/>
    </xf>
    <xf numFmtId="0" fontId="101" fillId="4" borderId="51" xfId="1" applyFont="1" applyFill="1" applyBorder="1" applyAlignment="1">
      <alignment horizontal="center"/>
    </xf>
    <xf numFmtId="0" fontId="100" fillId="4" borderId="51" xfId="1" applyFont="1" applyFill="1" applyBorder="1" applyAlignment="1">
      <alignment horizontal="center"/>
    </xf>
    <xf numFmtId="0" fontId="101" fillId="0" borderId="36" xfId="1" applyFont="1" applyBorder="1"/>
    <xf numFmtId="4" fontId="101" fillId="0" borderId="35" xfId="1" applyNumberFormat="1" applyFont="1" applyBorder="1"/>
    <xf numFmtId="172" fontId="101" fillId="0" borderId="64" xfId="1" applyNumberFormat="1" applyFont="1" applyBorder="1"/>
    <xf numFmtId="172" fontId="101" fillId="0" borderId="13" xfId="1" applyNumberFormat="1" applyFont="1" applyBorder="1"/>
    <xf numFmtId="172" fontId="101" fillId="0" borderId="27" xfId="1" applyNumberFormat="1" applyFont="1" applyBorder="1"/>
    <xf numFmtId="172" fontId="100" fillId="0" borderId="13" xfId="1" applyNumberFormat="1" applyFont="1" applyFill="1" applyBorder="1"/>
    <xf numFmtId="0" fontId="101" fillId="0" borderId="27" xfId="1" applyFont="1" applyBorder="1"/>
    <xf numFmtId="4" fontId="101" fillId="0" borderId="28" xfId="1" applyNumberFormat="1" applyFont="1" applyBorder="1"/>
    <xf numFmtId="172" fontId="101" fillId="0" borderId="30" xfId="1" applyNumberFormat="1" applyFont="1" applyBorder="1"/>
    <xf numFmtId="172" fontId="101" fillId="0" borderId="36" xfId="1" applyNumberFormat="1" applyFont="1" applyBorder="1"/>
    <xf numFmtId="172" fontId="100" fillId="0" borderId="30" xfId="1" applyNumberFormat="1" applyFont="1" applyFill="1" applyBorder="1"/>
    <xf numFmtId="0" fontId="101" fillId="0" borderId="29" xfId="1" applyFont="1" applyBorder="1"/>
    <xf numFmtId="172" fontId="101" fillId="0" borderId="55" xfId="1" applyNumberFormat="1" applyFont="1" applyBorder="1"/>
    <xf numFmtId="172" fontId="101" fillId="0" borderId="12" xfId="1" applyNumberFormat="1" applyFont="1" applyBorder="1"/>
    <xf numFmtId="172" fontId="101" fillId="0" borderId="29" xfId="1" applyNumberFormat="1" applyFont="1" applyBorder="1"/>
    <xf numFmtId="172" fontId="100" fillId="0" borderId="12" xfId="1" applyNumberFormat="1" applyFont="1" applyFill="1" applyBorder="1"/>
    <xf numFmtId="0" fontId="100" fillId="6" borderId="34" xfId="1" applyFont="1" applyFill="1" applyBorder="1"/>
    <xf numFmtId="4" fontId="100" fillId="6" borderId="33" xfId="1" applyNumberFormat="1" applyFont="1" applyFill="1" applyBorder="1"/>
    <xf numFmtId="172" fontId="100" fillId="6" borderId="56" xfId="1" applyNumberFormat="1" applyFont="1" applyFill="1" applyBorder="1"/>
    <xf numFmtId="172" fontId="100" fillId="6" borderId="14" xfId="1" applyNumberFormat="1" applyFont="1" applyFill="1" applyBorder="1"/>
    <xf numFmtId="172" fontId="100" fillId="6" borderId="34" xfId="1" applyNumberFormat="1" applyFont="1" applyFill="1" applyBorder="1"/>
    <xf numFmtId="0" fontId="101" fillId="6" borderId="34" xfId="1" applyFont="1" applyFill="1" applyBorder="1"/>
    <xf numFmtId="172" fontId="100" fillId="16" borderId="12" xfId="1" applyNumberFormat="1" applyFont="1" applyFill="1" applyBorder="1"/>
    <xf numFmtId="0" fontId="2" fillId="0" borderId="0" xfId="1" applyAlignment="1">
      <alignment horizontal="right"/>
    </xf>
    <xf numFmtId="0" fontId="5" fillId="2" borderId="19" xfId="1" applyFont="1" applyFill="1" applyBorder="1" applyAlignment="1">
      <alignment horizontal="center"/>
    </xf>
    <xf numFmtId="0" fontId="5" fillId="2" borderId="2" xfId="1" applyFont="1" applyFill="1" applyBorder="1" applyAlignment="1">
      <alignment horizontal="center"/>
    </xf>
    <xf numFmtId="0" fontId="5" fillId="2" borderId="4" xfId="1" applyFont="1" applyFill="1" applyBorder="1" applyAlignment="1">
      <alignment horizontal="center"/>
    </xf>
    <xf numFmtId="0" fontId="5" fillId="2" borderId="13" xfId="1" applyFont="1" applyFill="1" applyBorder="1" applyAlignment="1">
      <alignment horizontal="center"/>
    </xf>
    <xf numFmtId="0" fontId="5" fillId="2" borderId="58" xfId="1" applyFont="1" applyFill="1" applyBorder="1" applyAlignment="1">
      <alignment horizontal="center"/>
    </xf>
    <xf numFmtId="0" fontId="5" fillId="2" borderId="58" xfId="1" applyFont="1" applyFill="1" applyBorder="1" applyAlignment="1">
      <alignment horizontal="left"/>
    </xf>
    <xf numFmtId="0" fontId="5" fillId="2" borderId="76" xfId="1" applyFont="1" applyFill="1" applyBorder="1" applyAlignment="1">
      <alignment horizontal="center"/>
    </xf>
    <xf numFmtId="0" fontId="5" fillId="2" borderId="27" xfId="1" applyFont="1" applyFill="1" applyBorder="1" applyAlignment="1">
      <alignment horizontal="center"/>
    </xf>
    <xf numFmtId="0" fontId="5" fillId="2" borderId="51" xfId="1" applyFont="1" applyFill="1" applyBorder="1" applyAlignment="1">
      <alignment horizontal="center"/>
    </xf>
    <xf numFmtId="0" fontId="5" fillId="2" borderId="5" xfId="1" applyFont="1" applyFill="1" applyBorder="1" applyAlignment="1">
      <alignment horizontal="center" wrapText="1"/>
    </xf>
    <xf numFmtId="0" fontId="5" fillId="2" borderId="68" xfId="1" applyFont="1" applyFill="1" applyBorder="1" applyAlignment="1">
      <alignment horizontal="center"/>
    </xf>
    <xf numFmtId="0" fontId="5" fillId="2" borderId="66" xfId="1" applyFont="1" applyFill="1" applyBorder="1" applyAlignment="1">
      <alignment horizontal="center"/>
    </xf>
    <xf numFmtId="0" fontId="5" fillId="2" borderId="69" xfId="1" applyFont="1" applyFill="1" applyBorder="1" applyAlignment="1">
      <alignment horizontal="center"/>
    </xf>
    <xf numFmtId="0" fontId="6" fillId="6" borderId="11" xfId="1" applyFont="1" applyFill="1" applyBorder="1"/>
    <xf numFmtId="172" fontId="10" fillId="6" borderId="11" xfId="1" applyNumberFormat="1" applyFont="1" applyFill="1" applyBorder="1" applyAlignment="1">
      <alignment horizontal="right"/>
    </xf>
    <xf numFmtId="172" fontId="10" fillId="6" borderId="11" xfId="1" applyNumberFormat="1" applyFont="1" applyFill="1" applyBorder="1"/>
    <xf numFmtId="10" fontId="10" fillId="6" borderId="11" xfId="1" applyNumberFormat="1" applyFont="1" applyFill="1" applyBorder="1" applyAlignment="1">
      <alignment horizontal="right"/>
    </xf>
    <xf numFmtId="172" fontId="10" fillId="6" borderId="1" xfId="1" applyNumberFormat="1" applyFont="1" applyFill="1" applyBorder="1"/>
    <xf numFmtId="178" fontId="10" fillId="6" borderId="11" xfId="1" applyNumberFormat="1" applyFont="1" applyFill="1" applyBorder="1" applyAlignment="1">
      <alignment horizontal="right"/>
    </xf>
    <xf numFmtId="0" fontId="11" fillId="12" borderId="1" xfId="1" applyNumberFormat="1" applyFont="1" applyFill="1" applyBorder="1" applyAlignment="1">
      <alignment horizontal="center" vertical="center" wrapText="1"/>
    </xf>
    <xf numFmtId="172" fontId="14" fillId="12" borderId="1" xfId="1" applyNumberFormat="1" applyFont="1" applyFill="1" applyBorder="1" applyAlignment="1">
      <alignment horizontal="right" vertical="center" wrapText="1"/>
    </xf>
    <xf numFmtId="0" fontId="11" fillId="8" borderId="1" xfId="1" applyNumberFormat="1" applyFont="1" applyFill="1" applyBorder="1" applyAlignment="1">
      <alignment horizontal="center" vertical="center" wrapText="1"/>
    </xf>
    <xf numFmtId="172" fontId="14" fillId="8" borderId="1" xfId="1" applyNumberFormat="1" applyFont="1" applyFill="1" applyBorder="1" applyAlignment="1">
      <alignment horizontal="right" vertical="center" wrapText="1"/>
    </xf>
    <xf numFmtId="0" fontId="14" fillId="16" borderId="1" xfId="1" applyNumberFormat="1" applyFont="1" applyFill="1" applyBorder="1" applyAlignment="1">
      <alignment horizontal="center" vertical="top" wrapText="1"/>
    </xf>
    <xf numFmtId="172" fontId="14" fillId="16" borderId="1" xfId="1" applyNumberFormat="1" applyFont="1" applyFill="1" applyBorder="1" applyAlignment="1">
      <alignment horizontal="right" vertical="top" wrapText="1"/>
    </xf>
    <xf numFmtId="0" fontId="14" fillId="0" borderId="1" xfId="1" applyNumberFormat="1" applyFont="1" applyFill="1" applyBorder="1" applyAlignment="1">
      <alignment horizontal="left" vertical="top" wrapText="1" indent="2"/>
    </xf>
    <xf numFmtId="172" fontId="14" fillId="0" borderId="1" xfId="1" applyNumberFormat="1" applyFont="1" applyFill="1" applyBorder="1" applyAlignment="1">
      <alignment horizontal="right" vertical="top" wrapText="1"/>
    </xf>
    <xf numFmtId="172" fontId="24" fillId="0" borderId="1" xfId="1" applyNumberFormat="1" applyFont="1" applyBorder="1"/>
    <xf numFmtId="172" fontId="24" fillId="8" borderId="1" xfId="1" applyNumberFormat="1" applyFont="1" applyFill="1" applyBorder="1"/>
    <xf numFmtId="172" fontId="24" fillId="16" borderId="1" xfId="1" applyNumberFormat="1" applyFont="1" applyFill="1" applyBorder="1"/>
    <xf numFmtId="175" fontId="3" fillId="0" borderId="0" xfId="1" applyNumberFormat="1" applyFont="1" applyProtection="1"/>
    <xf numFmtId="0" fontId="2" fillId="4" borderId="16" xfId="1" applyFill="1" applyBorder="1" applyProtection="1"/>
    <xf numFmtId="0" fontId="5" fillId="4" borderId="17" xfId="1" applyFont="1" applyFill="1" applyBorder="1" applyAlignment="1" applyProtection="1">
      <alignment horizontal="right"/>
    </xf>
    <xf numFmtId="0" fontId="5" fillId="6" borderId="19" xfId="1" applyFont="1" applyFill="1" applyBorder="1" applyProtection="1"/>
    <xf numFmtId="0" fontId="5" fillId="7" borderId="2" xfId="1" applyFont="1" applyFill="1" applyBorder="1" applyProtection="1"/>
    <xf numFmtId="0" fontId="5" fillId="7" borderId="3" xfId="1" applyFont="1" applyFill="1" applyBorder="1" applyProtection="1"/>
    <xf numFmtId="0" fontId="5" fillId="7" borderId="4" xfId="1" applyFont="1" applyFill="1" applyBorder="1" applyProtection="1"/>
    <xf numFmtId="0" fontId="5" fillId="6" borderId="5" xfId="1" applyFont="1" applyFill="1" applyBorder="1" applyProtection="1"/>
    <xf numFmtId="0" fontId="5" fillId="4" borderId="16" xfId="1" applyFont="1" applyFill="1" applyBorder="1" applyAlignment="1" applyProtection="1">
      <alignment horizontal="center"/>
    </xf>
    <xf numFmtId="0" fontId="2" fillId="4" borderId="57" xfId="1" applyFont="1" applyFill="1" applyBorder="1" applyProtection="1"/>
    <xf numFmtId="0" fontId="2" fillId="4" borderId="21" xfId="1" applyFont="1" applyFill="1" applyBorder="1" applyProtection="1"/>
    <xf numFmtId="0" fontId="2" fillId="6" borderId="19" xfId="1" applyFont="1" applyFill="1" applyBorder="1" applyProtection="1"/>
    <xf numFmtId="181" fontId="5" fillId="4" borderId="65" xfId="1" applyNumberFormat="1" applyFont="1" applyFill="1" applyBorder="1" applyAlignment="1" applyProtection="1">
      <alignment horizontal="center"/>
    </xf>
    <xf numFmtId="0" fontId="5" fillId="4" borderId="66" xfId="1" applyFont="1" applyFill="1" applyBorder="1" applyAlignment="1" applyProtection="1">
      <alignment horizontal="center"/>
    </xf>
    <xf numFmtId="0" fontId="5" fillId="4" borderId="69" xfId="1" applyFont="1" applyFill="1" applyBorder="1" applyAlignment="1" applyProtection="1">
      <alignment horizontal="center"/>
    </xf>
    <xf numFmtId="0" fontId="5" fillId="7" borderId="69" xfId="1" applyFont="1" applyFill="1" applyBorder="1" applyAlignment="1" applyProtection="1">
      <alignment horizontal="center"/>
    </xf>
    <xf numFmtId="0" fontId="102" fillId="0" borderId="28" xfId="1" applyFont="1" applyBorder="1" applyAlignment="1" applyProtection="1">
      <alignment horizontal="left" indent="1"/>
    </xf>
    <xf numFmtId="0" fontId="103" fillId="0" borderId="1" xfId="1" applyFont="1" applyBorder="1" applyProtection="1"/>
    <xf numFmtId="0" fontId="103" fillId="0" borderId="44" xfId="1" applyFont="1" applyBorder="1" applyProtection="1"/>
    <xf numFmtId="0" fontId="103" fillId="6" borderId="25" xfId="1" applyFont="1" applyFill="1" applyBorder="1" applyProtection="1"/>
    <xf numFmtId="174" fontId="66" fillId="0" borderId="20" xfId="1" applyNumberFormat="1" applyFont="1" applyFill="1" applyBorder="1" applyAlignment="1" applyProtection="1">
      <alignment horizontal="center"/>
    </xf>
    <xf numFmtId="0" fontId="5" fillId="4" borderId="57" xfId="1" applyFont="1" applyFill="1" applyBorder="1" applyAlignment="1" applyProtection="1">
      <alignment horizontal="center"/>
    </xf>
    <xf numFmtId="0" fontId="5" fillId="4" borderId="22" xfId="1" applyFont="1" applyFill="1" applyBorder="1" applyAlignment="1" applyProtection="1">
      <alignment horizontal="center"/>
    </xf>
    <xf numFmtId="0" fontId="5" fillId="7" borderId="22" xfId="1" applyFont="1" applyFill="1" applyBorder="1" applyAlignment="1" applyProtection="1">
      <alignment horizontal="center"/>
    </xf>
    <xf numFmtId="0" fontId="60" fillId="0" borderId="28" xfId="1" applyFont="1" applyBorder="1" applyAlignment="1" applyProtection="1">
      <alignment horizontal="left" indent="1"/>
    </xf>
    <xf numFmtId="9" fontId="103" fillId="0" borderId="44" xfId="1" applyNumberFormat="1" applyFont="1" applyBorder="1" applyProtection="1"/>
    <xf numFmtId="165" fontId="60" fillId="4" borderId="45" xfId="1" applyNumberFormat="1" applyFont="1" applyFill="1" applyBorder="1" applyProtection="1">
      <protection locked="0"/>
    </xf>
    <xf numFmtId="165" fontId="60" fillId="0" borderId="1" xfId="1" applyNumberFormat="1" applyFont="1" applyBorder="1" applyProtection="1">
      <protection locked="0"/>
    </xf>
    <xf numFmtId="0" fontId="103" fillId="0" borderId="0" xfId="1" applyFont="1" applyProtection="1"/>
    <xf numFmtId="0" fontId="72" fillId="0" borderId="28" xfId="1" applyFont="1" applyBorder="1" applyAlignment="1" applyProtection="1">
      <alignment horizontal="left" indent="1"/>
    </xf>
    <xf numFmtId="0" fontId="72" fillId="0" borderId="1" xfId="1" applyFont="1" applyBorder="1" applyProtection="1"/>
    <xf numFmtId="0" fontId="72" fillId="0" borderId="44" xfId="1" applyFont="1" applyBorder="1" applyProtection="1"/>
    <xf numFmtId="0" fontId="72" fillId="6" borderId="25" xfId="1" applyFont="1" applyFill="1" applyBorder="1" applyProtection="1"/>
    <xf numFmtId="165" fontId="72" fillId="0" borderId="45" xfId="1" applyNumberFormat="1" applyFont="1" applyBorder="1" applyProtection="1">
      <protection locked="0"/>
    </xf>
    <xf numFmtId="165" fontId="72" fillId="0" borderId="1" xfId="1" applyNumberFormat="1" applyFont="1" applyBorder="1" applyProtection="1">
      <protection locked="0"/>
    </xf>
    <xf numFmtId="0" fontId="62" fillId="0" borderId="28" xfId="1" applyFont="1" applyBorder="1" applyAlignment="1" applyProtection="1">
      <alignment horizontal="left" indent="1"/>
    </xf>
    <xf numFmtId="0" fontId="62" fillId="0" borderId="1" xfId="1" applyFont="1" applyBorder="1" applyProtection="1"/>
    <xf numFmtId="0" fontId="62" fillId="0" borderId="44" xfId="1" applyFont="1" applyBorder="1" applyProtection="1"/>
    <xf numFmtId="0" fontId="62" fillId="6" borderId="25" xfId="1" applyFont="1" applyFill="1" applyBorder="1" applyProtection="1"/>
    <xf numFmtId="9" fontId="62" fillId="0" borderId="45" xfId="1" applyNumberFormat="1" applyFont="1" applyBorder="1" applyProtection="1">
      <protection locked="0"/>
    </xf>
    <xf numFmtId="9" fontId="62" fillId="0" borderId="1" xfId="1" applyNumberFormat="1" applyFont="1" applyBorder="1" applyProtection="1">
      <protection locked="0"/>
    </xf>
    <xf numFmtId="178" fontId="62" fillId="0" borderId="45" xfId="1" applyNumberFormat="1" applyFont="1" applyBorder="1" applyProtection="1"/>
    <xf numFmtId="178" fontId="62" fillId="0" borderId="1" xfId="1" applyNumberFormat="1" applyFont="1" applyBorder="1" applyProtection="1"/>
    <xf numFmtId="173" fontId="7" fillId="6" borderId="24" xfId="1" applyNumberFormat="1" applyFont="1" applyFill="1" applyBorder="1" applyProtection="1"/>
    <xf numFmtId="173" fontId="78" fillId="6" borderId="11" xfId="1" applyNumberFormat="1" applyFont="1" applyFill="1" applyBorder="1" applyProtection="1"/>
    <xf numFmtId="173" fontId="78" fillId="6" borderId="53" xfId="1" applyNumberFormat="1" applyFont="1" applyFill="1" applyBorder="1" applyProtection="1"/>
    <xf numFmtId="173" fontId="78" fillId="16" borderId="25" xfId="1" applyNumberFormat="1" applyFont="1" applyFill="1" applyBorder="1" applyProtection="1"/>
    <xf numFmtId="173" fontId="78" fillId="6" borderId="45" xfId="1" applyNumberFormat="1" applyFont="1" applyFill="1" applyBorder="1" applyProtection="1"/>
    <xf numFmtId="173" fontId="78" fillId="6" borderId="1" xfId="1" applyNumberFormat="1" applyFont="1" applyFill="1" applyBorder="1" applyProtection="1"/>
    <xf numFmtId="173" fontId="7" fillId="0" borderId="0" xfId="1" applyNumberFormat="1" applyFont="1" applyProtection="1"/>
    <xf numFmtId="165" fontId="62" fillId="0" borderId="45" xfId="1" applyNumberFormat="1" applyFont="1" applyBorder="1" applyProtection="1"/>
    <xf numFmtId="165" fontId="62" fillId="0" borderId="1" xfId="1" applyNumberFormat="1" applyFont="1" applyBorder="1" applyProtection="1"/>
    <xf numFmtId="165" fontId="62" fillId="0" borderId="1" xfId="1" applyNumberFormat="1" applyFont="1" applyFill="1" applyBorder="1" applyProtection="1"/>
    <xf numFmtId="0" fontId="62" fillId="0" borderId="31" xfId="1" applyFont="1" applyBorder="1" applyAlignment="1" applyProtection="1">
      <alignment horizontal="left" indent="1"/>
    </xf>
    <xf numFmtId="0" fontId="62" fillId="0" borderId="37" xfId="1" applyFont="1" applyBorder="1" applyProtection="1"/>
    <xf numFmtId="0" fontId="62" fillId="0" borderId="63" xfId="1" applyFont="1" applyBorder="1" applyProtection="1"/>
    <xf numFmtId="0" fontId="60" fillId="3" borderId="6" xfId="1" applyFont="1" applyFill="1" applyBorder="1" applyAlignment="1" applyProtection="1">
      <alignment horizontal="left"/>
    </xf>
    <xf numFmtId="0" fontId="60" fillId="3" borderId="7" xfId="1" applyFont="1" applyFill="1" applyBorder="1" applyProtection="1"/>
    <xf numFmtId="0" fontId="60" fillId="3" borderId="38" xfId="1" applyFont="1" applyFill="1" applyBorder="1" applyProtection="1"/>
    <xf numFmtId="0" fontId="60" fillId="6" borderId="25" xfId="1" applyFont="1" applyFill="1" applyBorder="1" applyProtection="1"/>
    <xf numFmtId="165" fontId="60" fillId="3" borderId="65" xfId="1" applyNumberFormat="1" applyFont="1" applyFill="1" applyBorder="1" applyProtection="1"/>
    <xf numFmtId="165" fontId="60" fillId="3" borderId="66" xfId="1" applyNumberFormat="1" applyFont="1" applyFill="1" applyBorder="1" applyProtection="1"/>
    <xf numFmtId="0" fontId="60" fillId="0" borderId="0" xfId="1" applyFont="1" applyProtection="1"/>
    <xf numFmtId="0" fontId="62" fillId="0" borderId="71" xfId="1" applyFont="1" applyBorder="1" applyAlignment="1" applyProtection="1">
      <alignment horizontal="left" wrapText="1" indent="1"/>
    </xf>
    <xf numFmtId="0" fontId="62" fillId="0" borderId="9" xfId="1" applyFont="1" applyBorder="1" applyProtection="1"/>
    <xf numFmtId="0" fontId="62" fillId="0" borderId="70" xfId="1" applyFont="1" applyBorder="1" applyProtection="1"/>
    <xf numFmtId="165" fontId="62" fillId="0" borderId="8" xfId="1" applyNumberFormat="1" applyFont="1" applyBorder="1" applyProtection="1"/>
    <xf numFmtId="165" fontId="62" fillId="0" borderId="9" xfId="1" applyNumberFormat="1" applyFont="1" applyBorder="1" applyProtection="1"/>
    <xf numFmtId="165" fontId="60" fillId="3" borderId="40" xfId="1" applyNumberFormat="1" applyFont="1" applyFill="1" applyBorder="1" applyProtection="1"/>
    <xf numFmtId="165" fontId="60" fillId="3" borderId="7" xfId="1" applyNumberFormat="1" applyFont="1" applyFill="1" applyBorder="1" applyProtection="1"/>
    <xf numFmtId="173" fontId="60" fillId="6" borderId="24" xfId="1" applyNumberFormat="1" applyFont="1" applyFill="1" applyBorder="1" applyProtection="1"/>
    <xf numFmtId="173" fontId="104" fillId="6" borderId="11" xfId="1" applyNumberFormat="1" applyFont="1" applyFill="1" applyBorder="1" applyProtection="1"/>
    <xf numFmtId="173" fontId="104" fillId="6" borderId="53" xfId="1" applyNumberFormat="1" applyFont="1" applyFill="1" applyBorder="1" applyProtection="1"/>
    <xf numFmtId="173" fontId="104" fillId="16" borderId="25" xfId="1" applyNumberFormat="1" applyFont="1" applyFill="1" applyBorder="1" applyProtection="1"/>
    <xf numFmtId="173" fontId="104" fillId="6" borderId="8" xfId="1" applyNumberFormat="1" applyFont="1" applyFill="1" applyBorder="1" applyProtection="1"/>
    <xf numFmtId="173" fontId="104" fillId="6" borderId="52" xfId="1" applyNumberFormat="1" applyFont="1" applyFill="1" applyBorder="1" applyProtection="1"/>
    <xf numFmtId="173" fontId="60" fillId="0" borderId="0" xfId="1" applyNumberFormat="1" applyFont="1" applyProtection="1"/>
    <xf numFmtId="0" fontId="105" fillId="0" borderId="28" xfId="1" applyNumberFormat="1" applyFont="1" applyBorder="1" applyAlignment="1" applyProtection="1">
      <alignment horizontal="left" vertical="top" wrapText="1" indent="1"/>
    </xf>
    <xf numFmtId="0" fontId="2" fillId="0" borderId="1" xfId="1" applyFont="1" applyBorder="1" applyProtection="1"/>
    <xf numFmtId="10" fontId="2" fillId="0" borderId="44" xfId="1" applyNumberFormat="1" applyFont="1" applyBorder="1" applyProtection="1"/>
    <xf numFmtId="10" fontId="2" fillId="6" borderId="25" xfId="1" applyNumberFormat="1" applyFont="1" applyFill="1" applyBorder="1" applyProtection="1"/>
    <xf numFmtId="10" fontId="2" fillId="6" borderId="73" xfId="1" applyNumberFormat="1" applyFont="1" applyFill="1" applyBorder="1" applyProtection="1"/>
    <xf numFmtId="165" fontId="62" fillId="0" borderId="55" xfId="1" applyNumberFormat="1" applyFont="1" applyBorder="1" applyProtection="1"/>
    <xf numFmtId="0" fontId="7" fillId="0" borderId="0" xfId="1" applyFont="1" applyProtection="1"/>
    <xf numFmtId="0" fontId="105" fillId="0" borderId="31" xfId="1" applyNumberFormat="1" applyFont="1" applyBorder="1" applyAlignment="1" applyProtection="1">
      <alignment horizontal="left" vertical="top" wrapText="1" indent="1"/>
    </xf>
    <xf numFmtId="0" fontId="2" fillId="0" borderId="37" xfId="1" applyFont="1" applyBorder="1" applyProtection="1"/>
    <xf numFmtId="0" fontId="2" fillId="0" borderId="63" xfId="1" applyFont="1" applyBorder="1" applyProtection="1"/>
    <xf numFmtId="0" fontId="2" fillId="6" borderId="25" xfId="1" applyFont="1" applyFill="1" applyBorder="1" applyProtection="1"/>
    <xf numFmtId="165" fontId="2" fillId="0" borderId="45" xfId="1" applyNumberFormat="1" applyFont="1" applyBorder="1" applyProtection="1"/>
    <xf numFmtId="0" fontId="2" fillId="6" borderId="73" xfId="1" applyFont="1" applyFill="1" applyBorder="1" applyProtection="1"/>
    <xf numFmtId="165" fontId="2" fillId="0" borderId="60" xfId="1" applyNumberFormat="1" applyFont="1" applyBorder="1" applyProtection="1"/>
    <xf numFmtId="165" fontId="62" fillId="0" borderId="37" xfId="1" applyNumberFormat="1" applyFont="1" applyFill="1" applyBorder="1" applyProtection="1"/>
    <xf numFmtId="165" fontId="62" fillId="0" borderId="37" xfId="1" applyNumberFormat="1" applyFont="1" applyBorder="1" applyProtection="1"/>
    <xf numFmtId="165" fontId="62" fillId="0" borderId="62" xfId="1" applyNumberFormat="1" applyFont="1" applyFill="1" applyBorder="1" applyProtection="1"/>
    <xf numFmtId="0" fontId="60" fillId="3" borderId="6" xfId="1" applyFont="1" applyFill="1" applyBorder="1" applyAlignment="1" applyProtection="1">
      <alignment horizontal="left" wrapText="1"/>
    </xf>
    <xf numFmtId="0" fontId="7" fillId="8" borderId="30" xfId="1" applyFont="1" applyFill="1" applyBorder="1" applyProtection="1"/>
    <xf numFmtId="0" fontId="7" fillId="8" borderId="30" xfId="1" applyFont="1" applyFill="1" applyBorder="1" applyAlignment="1" applyProtection="1">
      <alignment horizontal="center"/>
    </xf>
    <xf numFmtId="0" fontId="7" fillId="6" borderId="25" xfId="1" applyFont="1" applyFill="1" applyBorder="1" applyAlignment="1" applyProtection="1">
      <alignment horizontal="center"/>
    </xf>
    <xf numFmtId="165" fontId="7" fillId="8" borderId="8" xfId="1" applyNumberFormat="1" applyFont="1" applyFill="1" applyBorder="1" applyProtection="1"/>
    <xf numFmtId="165" fontId="7" fillId="8" borderId="9" xfId="1" applyNumberFormat="1" applyFont="1" applyFill="1" applyBorder="1" applyProtection="1"/>
    <xf numFmtId="165" fontId="7" fillId="8" borderId="72" xfId="1" applyNumberFormat="1" applyFont="1" applyFill="1" applyBorder="1" applyProtection="1"/>
    <xf numFmtId="0" fontId="105" fillId="0" borderId="1" xfId="1" applyNumberFormat="1" applyFont="1" applyBorder="1" applyAlignment="1" applyProtection="1">
      <alignment horizontal="left" vertical="top" wrapText="1" indent="1"/>
    </xf>
    <xf numFmtId="0" fontId="2" fillId="0" borderId="44" xfId="1" applyFont="1" applyBorder="1" applyProtection="1"/>
    <xf numFmtId="0" fontId="105" fillId="0" borderId="37" xfId="1" applyNumberFormat="1" applyFont="1" applyBorder="1" applyAlignment="1" applyProtection="1">
      <alignment horizontal="left" vertical="top" wrapText="1" indent="1"/>
    </xf>
    <xf numFmtId="173" fontId="78" fillId="6" borderId="52" xfId="1" applyNumberFormat="1" applyFont="1" applyFill="1" applyBorder="1" applyProtection="1"/>
    <xf numFmtId="0" fontId="5" fillId="6" borderId="1" xfId="1" applyFont="1" applyFill="1" applyBorder="1" applyAlignment="1" applyProtection="1">
      <alignment horizontal="left" indent="1"/>
    </xf>
    <xf numFmtId="0" fontId="5" fillId="6" borderId="44" xfId="1" applyFont="1" applyFill="1" applyBorder="1" applyProtection="1"/>
    <xf numFmtId="0" fontId="5" fillId="6" borderId="25" xfId="1" applyFont="1" applyFill="1" applyBorder="1" applyProtection="1"/>
    <xf numFmtId="165" fontId="5" fillId="6" borderId="45" xfId="1" applyNumberFormat="1" applyFont="1" applyFill="1" applyBorder="1" applyProtection="1"/>
    <xf numFmtId="165" fontId="5" fillId="6" borderId="1" xfId="1" applyNumberFormat="1" applyFont="1" applyFill="1" applyBorder="1" applyProtection="1"/>
    <xf numFmtId="0" fontId="5" fillId="6" borderId="37" xfId="1" applyFont="1" applyFill="1" applyBorder="1" applyAlignment="1" applyProtection="1">
      <alignment horizontal="left" indent="1"/>
    </xf>
    <xf numFmtId="0" fontId="5" fillId="6" borderId="37" xfId="1" applyFont="1" applyFill="1" applyBorder="1" applyProtection="1"/>
    <xf numFmtId="0" fontId="5" fillId="6" borderId="63" xfId="1" applyFont="1" applyFill="1" applyBorder="1" applyProtection="1"/>
    <xf numFmtId="165" fontId="5" fillId="6" borderId="60" xfId="1" applyNumberFormat="1" applyFont="1" applyFill="1" applyBorder="1" applyProtection="1"/>
    <xf numFmtId="165" fontId="5" fillId="6" borderId="37" xfId="1" applyNumberFormat="1" applyFont="1" applyFill="1" applyBorder="1" applyProtection="1"/>
    <xf numFmtId="0" fontId="60" fillId="6" borderId="51" xfId="1" applyFont="1" applyFill="1" applyBorder="1" applyProtection="1"/>
    <xf numFmtId="175" fontId="19" fillId="27" borderId="27" xfId="1" applyNumberFormat="1" applyFont="1" applyFill="1" applyBorder="1" applyAlignment="1">
      <alignment horizontal="right"/>
    </xf>
    <xf numFmtId="175" fontId="19" fillId="28" borderId="27" xfId="1" applyNumberFormat="1" applyFont="1" applyFill="1" applyBorder="1" applyAlignment="1">
      <alignment horizontal="right"/>
    </xf>
  </cellXfs>
  <cellStyles count="3">
    <cellStyle name="Excel Built-in Normal" xfId="1"/>
    <cellStyle name="Обычный" xfId="0" builtinId="0"/>
    <cellStyle name="Обычный_Продажи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2D050"/>
      <rgbColor rgb="00800080"/>
      <rgbColor rgb="0000B050"/>
      <rgbColor rgb="00D9D9D9"/>
      <rgbColor rgb="00808080"/>
      <rgbColor rgb="00FF66FF"/>
      <rgbColor rgb="00993366"/>
      <rgbColor rgb="00FFFFCC"/>
      <rgbColor rgb="00CCFFFF"/>
      <rgbColor rgb="00990000"/>
      <rgbColor rgb="00FF99FF"/>
      <rgbColor rgb="000066CC"/>
      <rgbColor rgb="00CCCCFF"/>
      <rgbColor rgb="00000080"/>
      <rgbColor rgb="00FF00FF"/>
      <rgbColor rgb="00FFC000"/>
      <rgbColor rgb="0099FF99"/>
      <rgbColor rgb="00800080"/>
      <rgbColor rgb="007E0021"/>
      <rgbColor rgb="00006600"/>
      <rgbColor rgb="000000CC"/>
      <rgbColor rgb="0000CCFF"/>
      <rgbColor rgb="00DBEEF4"/>
      <rgbColor rgb="00CCFFCC"/>
      <rgbColor rgb="00FFFF99"/>
      <rgbColor rgb="0099CCFF"/>
      <rgbColor rgb="00FF99CC"/>
      <rgbColor rgb="00CC99FF"/>
      <rgbColor rgb="00D7E4BD"/>
      <rgbColor rgb="004572A7"/>
      <rgbColor rgb="0033CCCC"/>
      <rgbColor rgb="0099CC00"/>
      <rgbColor rgb="00FFCC00"/>
      <rgbColor rgb="00FF9900"/>
      <rgbColor rgb="00FF950E"/>
      <rgbColor rgb="00666699"/>
      <rgbColor rgb="0089A54E"/>
      <rgbColor rgb="00003366"/>
      <rgbColor rgb="00339966"/>
      <rgbColor rgb="00003300"/>
      <rgbColor rgb="00CCFF99"/>
      <rgbColor rgb="00993300"/>
      <rgbColor rgb="00AA4643"/>
      <rgbColor rgb="00333399"/>
      <rgbColor rgb="0071588F"/>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dimension ref="A2:AT51"/>
  <sheetViews>
    <sheetView zoomScale="90" zoomScaleNormal="90" workbookViewId="0">
      <pane xSplit="1" ySplit="10" topLeftCell="B14" activePane="bottomRight" state="frozen"/>
      <selection pane="topRight" activeCell="B1" sqref="B1"/>
      <selection pane="bottomLeft" activeCell="A14" sqref="A14"/>
      <selection pane="bottomRight" activeCell="B10" sqref="B10"/>
    </sheetView>
  </sheetViews>
  <sheetFormatPr defaultColWidth="8.7109375" defaultRowHeight="12.75" outlineLevelRow="1" outlineLevelCol="2"/>
  <cols>
    <col min="1" max="1" width="34.85546875" style="1" customWidth="1"/>
    <col min="2" max="2" width="14" style="2" customWidth="1" outlineLevel="1"/>
    <col min="3" max="3" width="12.42578125" style="3" customWidth="1" outlineLevel="2"/>
    <col min="4" max="4" width="12.42578125" style="4" customWidth="1" outlineLevel="2"/>
    <col min="5" max="5" width="14" style="4" customWidth="1" outlineLevel="1"/>
    <col min="6" max="6" width="0" style="3" hidden="1" customWidth="1" outlineLevel="2"/>
    <col min="7" max="7" width="0" style="4" hidden="1" customWidth="1" outlineLevel="2"/>
    <col min="8" max="8" width="14" style="4" customWidth="1" outlineLevel="1" collapsed="1"/>
    <col min="9" max="9" width="0" style="3" hidden="1" customWidth="1" outlineLevel="2"/>
    <col min="10" max="10" width="0" style="4" hidden="1" customWidth="1" outlineLevel="2"/>
    <col min="11" max="11" width="14" style="4" customWidth="1" outlineLevel="1" collapsed="1"/>
    <col min="12" max="12" width="0" style="3" hidden="1" customWidth="1" outlineLevel="2"/>
    <col min="13" max="13" width="0" style="4" hidden="1" customWidth="1" outlineLevel="2"/>
    <col min="14" max="14" width="14" style="4" customWidth="1" outlineLevel="1" collapsed="1"/>
    <col min="15" max="15" width="0" style="3" hidden="1" customWidth="1" outlineLevel="2"/>
    <col min="16" max="16" width="0" style="4" hidden="1" customWidth="1" outlineLevel="2"/>
    <col min="17" max="17" width="14" style="4" customWidth="1" outlineLevel="1" collapsed="1"/>
    <col min="18" max="18" width="0" style="3" hidden="1" customWidth="1" outlineLevel="2"/>
    <col min="19" max="19" width="0" style="4" hidden="1" customWidth="1" outlineLevel="2"/>
    <col min="20" max="20" width="14" style="4" customWidth="1" outlineLevel="1" collapsed="1"/>
    <col min="21" max="21" width="0" style="3" hidden="1" customWidth="1" outlineLevel="2"/>
    <col min="22" max="22" width="0" style="4" hidden="1" customWidth="1" outlineLevel="2"/>
    <col min="23" max="23" width="14" style="4" customWidth="1" outlineLevel="1" collapsed="1"/>
    <col min="24" max="24" width="0" style="3" hidden="1" customWidth="1" outlineLevel="2"/>
    <col min="25" max="25" width="0" style="4" hidden="1" customWidth="1" outlineLevel="2"/>
    <col min="26" max="26" width="14" style="4" customWidth="1" outlineLevel="1" collapsed="1"/>
    <col min="27" max="27" width="0" style="3" hidden="1" customWidth="1" outlineLevel="2"/>
    <col min="28" max="28" width="0" style="4" hidden="1" customWidth="1" outlineLevel="2"/>
    <col min="29" max="29" width="14" style="4" customWidth="1" outlineLevel="1" collapsed="1"/>
    <col min="30" max="30" width="0" style="3" hidden="1" customWidth="1" outlineLevel="2"/>
    <col min="31" max="31" width="0" style="4" hidden="1" customWidth="1" outlineLevel="2"/>
    <col min="32" max="32" width="14" style="4" customWidth="1" outlineLevel="1" collapsed="1"/>
    <col min="33" max="33" width="0" style="3" hidden="1" customWidth="1" outlineLevel="2"/>
    <col min="34" max="34" width="0" style="4" hidden="1" customWidth="1" outlineLevel="2"/>
    <col min="35" max="35" width="12.85546875" style="4" customWidth="1" outlineLevel="1" collapsed="1"/>
    <col min="36" max="36" width="0" style="3" hidden="1" customWidth="1" outlineLevel="2"/>
    <col min="37" max="37" width="0" style="4" hidden="1" customWidth="1" outlineLevel="2"/>
    <col min="38" max="38" width="15.140625" style="5" customWidth="1" outlineLevel="1" collapsed="1"/>
    <col min="39" max="39" width="12.42578125" style="6" customWidth="1" outlineLevel="1"/>
    <col min="40" max="40" width="12.42578125" style="5" customWidth="1" outlineLevel="1"/>
    <col min="41" max="41" width="11.42578125" style="5" customWidth="1" outlineLevel="1"/>
    <col min="42" max="42" width="5" style="5" customWidth="1" outlineLevel="1"/>
    <col min="43" max="43" width="11.85546875" style="1" customWidth="1" outlineLevel="1"/>
    <col min="44" max="44" width="27.5703125" style="1" customWidth="1" outlineLevel="1"/>
    <col min="45" max="45" width="12.42578125" style="6" customWidth="1"/>
    <col min="46" max="46" width="12.42578125" style="7" customWidth="1"/>
    <col min="47" max="47" width="16.5703125" style="1" customWidth="1"/>
    <col min="48" max="16384" width="8.7109375" style="1"/>
  </cols>
  <sheetData>
    <row r="2" spans="1:46" s="8" customFormat="1">
      <c r="B2" s="9" t="s">
        <v>0</v>
      </c>
      <c r="C2" s="10" t="str">
        <f>B2</f>
        <v>Январь</v>
      </c>
      <c r="D2" s="11" t="str">
        <f>C2</f>
        <v>Январь</v>
      </c>
      <c r="E2" s="9" t="s">
        <v>1</v>
      </c>
      <c r="F2" s="10" t="str">
        <f>E2</f>
        <v>Февраль</v>
      </c>
      <c r="G2" s="11" t="str">
        <f>F2</f>
        <v>Февраль</v>
      </c>
      <c r="H2" s="9" t="s">
        <v>2</v>
      </c>
      <c r="I2" s="10" t="str">
        <f>H2</f>
        <v>Март</v>
      </c>
      <c r="J2" s="11" t="str">
        <f>I2</f>
        <v>Март</v>
      </c>
      <c r="K2" s="9" t="s">
        <v>3</v>
      </c>
      <c r="L2" s="10" t="str">
        <f>K2</f>
        <v>Апрель</v>
      </c>
      <c r="M2" s="11" t="str">
        <f>L2</f>
        <v>Апрель</v>
      </c>
      <c r="N2" s="9" t="s">
        <v>4</v>
      </c>
      <c r="O2" s="10" t="str">
        <f>N2</f>
        <v>Май</v>
      </c>
      <c r="P2" s="11" t="str">
        <f>O2</f>
        <v>Май</v>
      </c>
      <c r="Q2" s="9" t="s">
        <v>5</v>
      </c>
      <c r="R2" s="10" t="str">
        <f>Q2</f>
        <v>Июнь</v>
      </c>
      <c r="S2" s="11" t="str">
        <f>R2</f>
        <v>Июнь</v>
      </c>
      <c r="T2" s="9" t="s">
        <v>6</v>
      </c>
      <c r="U2" s="10" t="str">
        <f>T2</f>
        <v>Июль</v>
      </c>
      <c r="V2" s="11" t="str">
        <f>U2</f>
        <v>Июль</v>
      </c>
      <c r="W2" s="9" t="s">
        <v>7</v>
      </c>
      <c r="X2" s="10" t="str">
        <f>W2</f>
        <v>Август</v>
      </c>
      <c r="Y2" s="11" t="str">
        <f>X2</f>
        <v>Август</v>
      </c>
      <c r="Z2" s="9" t="s">
        <v>8</v>
      </c>
      <c r="AA2" s="10" t="str">
        <f>Z2</f>
        <v>Сентябрь</v>
      </c>
      <c r="AB2" s="11" t="str">
        <f>AA2</f>
        <v>Сентябрь</v>
      </c>
      <c r="AC2" s="9" t="s">
        <v>9</v>
      </c>
      <c r="AD2" s="10" t="str">
        <f>AC2</f>
        <v>Октябрь</v>
      </c>
      <c r="AE2" s="11" t="str">
        <f>AD2</f>
        <v>Октябрь</v>
      </c>
      <c r="AF2" s="9" t="s">
        <v>10</v>
      </c>
      <c r="AG2" s="10" t="str">
        <f>AF2</f>
        <v>Ноябрь</v>
      </c>
      <c r="AH2" s="11" t="str">
        <f>AG2</f>
        <v>Ноябрь</v>
      </c>
      <c r="AI2" s="9" t="s">
        <v>11</v>
      </c>
      <c r="AJ2" s="10" t="str">
        <f>AI2</f>
        <v>Декабрь</v>
      </c>
      <c r="AK2" s="11" t="str">
        <f>AJ2</f>
        <v>Декабрь</v>
      </c>
      <c r="AL2" s="12" t="s">
        <v>12</v>
      </c>
      <c r="AM2" s="13"/>
      <c r="AN2" s="14"/>
      <c r="AO2" s="15"/>
      <c r="AP2" s="16"/>
      <c r="AS2" s="13"/>
      <c r="AT2" s="17"/>
    </row>
    <row r="3" spans="1:46" s="18" customFormat="1" ht="78.75">
      <c r="B3" s="19" t="s">
        <v>13</v>
      </c>
      <c r="C3" s="20" t="s">
        <v>14</v>
      </c>
      <c r="D3" s="21" t="s">
        <v>15</v>
      </c>
      <c r="E3" s="19" t="s">
        <v>13</v>
      </c>
      <c r="F3" s="20" t="s">
        <v>14</v>
      </c>
      <c r="G3" s="21" t="s">
        <v>15</v>
      </c>
      <c r="H3" s="19" t="s">
        <v>13</v>
      </c>
      <c r="I3" s="20" t="s">
        <v>14</v>
      </c>
      <c r="J3" s="21" t="s">
        <v>15</v>
      </c>
      <c r="K3" s="19" t="s">
        <v>13</v>
      </c>
      <c r="L3" s="20" t="s">
        <v>14</v>
      </c>
      <c r="M3" s="21" t="s">
        <v>15</v>
      </c>
      <c r="N3" s="19" t="s">
        <v>13</v>
      </c>
      <c r="O3" s="20" t="s">
        <v>14</v>
      </c>
      <c r="P3" s="21" t="s">
        <v>15</v>
      </c>
      <c r="Q3" s="19" t="s">
        <v>13</v>
      </c>
      <c r="R3" s="20" t="s">
        <v>14</v>
      </c>
      <c r="S3" s="21" t="s">
        <v>15</v>
      </c>
      <c r="T3" s="19" t="s">
        <v>13</v>
      </c>
      <c r="U3" s="20" t="s">
        <v>14</v>
      </c>
      <c r="V3" s="21" t="s">
        <v>15</v>
      </c>
      <c r="W3" s="19" t="s">
        <v>13</v>
      </c>
      <c r="X3" s="20" t="s">
        <v>14</v>
      </c>
      <c r="Y3" s="21" t="s">
        <v>15</v>
      </c>
      <c r="Z3" s="19" t="s">
        <v>13</v>
      </c>
      <c r="AA3" s="20" t="s">
        <v>14</v>
      </c>
      <c r="AB3" s="21" t="s">
        <v>15</v>
      </c>
      <c r="AC3" s="19" t="s">
        <v>13</v>
      </c>
      <c r="AD3" s="20" t="s">
        <v>14</v>
      </c>
      <c r="AE3" s="21" t="s">
        <v>15</v>
      </c>
      <c r="AF3" s="19" t="s">
        <v>13</v>
      </c>
      <c r="AG3" s="20" t="s">
        <v>14</v>
      </c>
      <c r="AH3" s="21" t="s">
        <v>15</v>
      </c>
      <c r="AI3" s="19" t="s">
        <v>13</v>
      </c>
      <c r="AJ3" s="20" t="s">
        <v>14</v>
      </c>
      <c r="AK3" s="21" t="s">
        <v>15</v>
      </c>
      <c r="AL3" s="19" t="s">
        <v>13</v>
      </c>
      <c r="AM3" s="20" t="s">
        <v>16</v>
      </c>
      <c r="AN3" s="21" t="s">
        <v>17</v>
      </c>
      <c r="AO3" s="21" t="s">
        <v>18</v>
      </c>
      <c r="AP3" s="22"/>
      <c r="AS3" s="20" t="s">
        <v>19</v>
      </c>
      <c r="AT3" s="23"/>
    </row>
    <row r="4" spans="1:46" s="18" customFormat="1" ht="11.25">
      <c r="A4" s="24" t="s">
        <v>20</v>
      </c>
      <c r="B4" s="25">
        <f>'Расходы помесячно (План-Факт)'!C5</f>
        <v>191216</v>
      </c>
      <c r="C4" s="26"/>
      <c r="D4" s="26"/>
      <c r="E4" s="25">
        <f>'Расходы помесячно (План-Факт)'!H5</f>
        <v>241060</v>
      </c>
      <c r="F4" s="26"/>
      <c r="G4" s="26"/>
      <c r="H4" s="25">
        <f>'Расходы помесячно (План-Факт)'!M5</f>
        <v>343577.04</v>
      </c>
      <c r="I4" s="26"/>
      <c r="J4" s="26"/>
      <c r="K4" s="25">
        <f>'Расходы помесячно (План-Факт)'!R5</f>
        <v>481297</v>
      </c>
      <c r="L4" s="26"/>
      <c r="M4" s="26"/>
      <c r="N4" s="25">
        <f>'Расходы помесячно (План-Факт)'!W5</f>
        <v>501705</v>
      </c>
      <c r="O4" s="26"/>
      <c r="P4" s="26"/>
      <c r="Q4" s="25">
        <f>'Расходы помесячно (План-Факт)'!AB5</f>
        <v>448855</v>
      </c>
      <c r="R4" s="26"/>
      <c r="S4" s="26"/>
      <c r="T4" s="25">
        <f>'Расходы помесячно (План-Факт)'!AG5</f>
        <v>501540</v>
      </c>
      <c r="U4" s="26"/>
      <c r="V4" s="26"/>
      <c r="W4" s="25">
        <f>'Расходы помесячно (План-Факт)'!AL5</f>
        <v>437378</v>
      </c>
      <c r="X4" s="26"/>
      <c r="Y4" s="26"/>
      <c r="Z4" s="25">
        <f>'Расходы помесячно (План-Факт)'!AQ5</f>
        <v>388322</v>
      </c>
      <c r="AA4" s="26"/>
      <c r="AB4" s="26"/>
      <c r="AC4" s="25">
        <f>'Расходы помесячно (План-Факт)'!AV5</f>
        <v>0</v>
      </c>
      <c r="AD4" s="26"/>
      <c r="AE4" s="26"/>
      <c r="AF4" s="25">
        <f>'Расходы помесячно (План-Факт)'!BA5</f>
        <v>0</v>
      </c>
      <c r="AG4" s="26"/>
      <c r="AH4" s="26"/>
      <c r="AI4" s="25">
        <f>'Расходы помесячно (План-Факт)'!BF5</f>
        <v>0</v>
      </c>
      <c r="AJ4" s="26"/>
      <c r="AK4" s="26"/>
      <c r="AL4" s="25">
        <f>SUM(B4,E4,H4,K4,N4,Q4,T4,W4,Z4,AC4,AF4,AI4)</f>
        <v>3534950.04</v>
      </c>
      <c r="AM4" s="26"/>
      <c r="AN4" s="26"/>
      <c r="AO4" s="26"/>
      <c r="AP4" s="27"/>
      <c r="AS4" s="26"/>
      <c r="AT4" s="23"/>
    </row>
    <row r="5" spans="1:46" s="33" customFormat="1">
      <c r="A5" s="28" t="s">
        <v>21</v>
      </c>
      <c r="B5" s="29">
        <f>'Расходы помесячно (План-Факт)'!D27</f>
        <v>18252239.640000001</v>
      </c>
      <c r="C5" s="30"/>
      <c r="D5" s="31"/>
      <c r="E5" s="29">
        <f>'Расходы помесячно (План-Факт)'!I27</f>
        <v>25056972.919999998</v>
      </c>
      <c r="F5" s="30"/>
      <c r="G5" s="31"/>
      <c r="H5" s="29">
        <f>'Расходы помесячно (План-Факт)'!N27</f>
        <v>33193753.030000001</v>
      </c>
      <c r="I5" s="30"/>
      <c r="J5" s="31"/>
      <c r="K5" s="29">
        <f>'Расходы помесячно (План-Факт)'!S27</f>
        <v>57814819.199999996</v>
      </c>
      <c r="L5" s="30"/>
      <c r="M5" s="31"/>
      <c r="N5" s="29">
        <f>'Расходы помесячно (План-Факт)'!X27</f>
        <v>56746357.240000002</v>
      </c>
      <c r="O5" s="30"/>
      <c r="P5" s="31"/>
      <c r="Q5" s="29">
        <f>'Расходы помесячно (План-Факт)'!AC27</f>
        <v>44307548.309999995</v>
      </c>
      <c r="R5" s="30"/>
      <c r="S5" s="31"/>
      <c r="T5" s="29">
        <f>'Расходы помесячно (План-Факт)'!AH27</f>
        <v>44036856.410000004</v>
      </c>
      <c r="U5" s="30"/>
      <c r="V5" s="31"/>
      <c r="W5" s="29">
        <f>'Расходы помесячно (План-Факт)'!AM27</f>
        <v>50436880.049999997</v>
      </c>
      <c r="X5" s="30"/>
      <c r="Y5" s="31"/>
      <c r="Z5" s="29">
        <f>'Расходы помесячно (План-Факт)'!AR27</f>
        <v>38573584.620000005</v>
      </c>
      <c r="AA5" s="30"/>
      <c r="AB5" s="31"/>
      <c r="AC5" s="29">
        <f>'Расходы помесячно (План-Факт)'!AW27</f>
        <v>0</v>
      </c>
      <c r="AD5" s="30"/>
      <c r="AE5" s="31"/>
      <c r="AF5" s="29">
        <f>'Расходы помесячно (План-Факт)'!BB27</f>
        <v>0</v>
      </c>
      <c r="AG5" s="30"/>
      <c r="AH5" s="31"/>
      <c r="AI5" s="29">
        <f>'Расходы помесячно (План-Факт)'!BG27</f>
        <v>0</v>
      </c>
      <c r="AJ5" s="30"/>
      <c r="AK5" s="31"/>
      <c r="AL5" s="29">
        <f>SUM(B5:AK5)</f>
        <v>368419011.42000002</v>
      </c>
      <c r="AM5" s="30"/>
      <c r="AN5" s="31"/>
      <c r="AO5" s="31"/>
      <c r="AP5" s="32"/>
      <c r="AR5" s="33" t="s">
        <v>22</v>
      </c>
      <c r="AS5" s="34">
        <v>16392000</v>
      </c>
      <c r="AT5" s="35">
        <v>16392000</v>
      </c>
    </row>
    <row r="6" spans="1:46" s="33" customFormat="1">
      <c r="A6" s="36" t="s">
        <v>23</v>
      </c>
      <c r="B6" s="37">
        <f>'Расходы помесячно (План-Факт)'!E27</f>
        <v>15328716.789999999</v>
      </c>
      <c r="C6" s="38">
        <f t="shared" ref="C6:C49" si="0">B6/$B$5</f>
        <v>0.83982662360003935</v>
      </c>
      <c r="D6" s="39"/>
      <c r="E6" s="37">
        <f>'Расходы помесячно (План-Факт)'!J27</f>
        <v>21946078.199999999</v>
      </c>
      <c r="F6" s="38">
        <f t="shared" ref="F6:F49" si="1">E6/E$5</f>
        <v>0.8758471452265113</v>
      </c>
      <c r="G6" s="39">
        <f t="shared" ref="G6:G49" si="2">E6/B$5</f>
        <v>1.2023772771372621</v>
      </c>
      <c r="H6" s="37">
        <f>'Расходы помесячно (План-Факт)'!O27</f>
        <v>32325581.599999998</v>
      </c>
      <c r="I6" s="38">
        <f t="shared" ref="I6:I49" si="3">H6/H$5</f>
        <v>0.97384533682541519</v>
      </c>
      <c r="J6" s="39">
        <f t="shared" ref="J6:J49" si="4">H6/E$5</f>
        <v>1.2900832715590451</v>
      </c>
      <c r="K6" s="37">
        <f>'Расходы помесячно (План-Факт)'!T27</f>
        <v>51294524.069999993</v>
      </c>
      <c r="L6" s="38">
        <f t="shared" ref="L6:L49" si="5">K6/K$5</f>
        <v>0.88722104089880116</v>
      </c>
      <c r="M6" s="39">
        <f t="shared" ref="M6:M49" si="6">K6/H$5</f>
        <v>1.5453065528215744</v>
      </c>
      <c r="N6" s="37">
        <f>'Расходы помесячно (План-Факт)'!Y27</f>
        <v>50039667.719999991</v>
      </c>
      <c r="O6" s="38">
        <f t="shared" ref="O6:O49" si="7">N6/N$5</f>
        <v>0.88181286260129266</v>
      </c>
      <c r="P6" s="39">
        <f t="shared" ref="P6:P49" si="8">N6/K$5</f>
        <v>0.86551628825296045</v>
      </c>
      <c r="Q6" s="37">
        <f>'Расходы помесячно (План-Факт)'!AD27</f>
        <v>39476077.490000002</v>
      </c>
      <c r="R6" s="38">
        <f t="shared" ref="R6:R49" si="9">Q6/Q$5</f>
        <v>0.8909560333558435</v>
      </c>
      <c r="S6" s="39">
        <f t="shared" ref="S6:S49" si="10">Q6/N$5</f>
        <v>0.69565835429826794</v>
      </c>
      <c r="T6" s="37">
        <f>'Расходы помесячно (План-Факт)'!AI27</f>
        <v>38486120.869999997</v>
      </c>
      <c r="U6" s="38">
        <f t="shared" ref="U6:U49" si="11">T6/T$5</f>
        <v>0.87395250268728242</v>
      </c>
      <c r="V6" s="39">
        <f t="shared" ref="V6:V49" si="12">T6/Q$5</f>
        <v>0.86861318980526547</v>
      </c>
      <c r="W6" s="37">
        <f>'Расходы помесячно (План-Факт)'!AN27</f>
        <v>43868549.280000001</v>
      </c>
      <c r="X6" s="38">
        <f t="shared" ref="X6:X49" si="13">W6/W$5</f>
        <v>0.86977127127037679</v>
      </c>
      <c r="Y6" s="39">
        <f t="shared" ref="Y6:Y49" si="14">W6/T$5</f>
        <v>0.99617803940333527</v>
      </c>
      <c r="Z6" s="37">
        <f>'Расходы помесячно (План-Факт)'!AS27</f>
        <v>34741130.409999996</v>
      </c>
      <c r="AA6" s="38">
        <f t="shared" ref="AA6:AA49" si="15">Z6/Z$5</f>
        <v>0.90064562970347017</v>
      </c>
      <c r="AB6" s="39">
        <f t="shared" ref="AB6:AB49" si="16">Z6/W$5</f>
        <v>0.68880411269610242</v>
      </c>
      <c r="AC6" s="37">
        <f>'Расходы помесячно (План-Факт)'!AX27</f>
        <v>0</v>
      </c>
      <c r="AD6" s="38" t="e">
        <f t="shared" ref="AD6:AD49" si="17">AC6/AC$5</f>
        <v>#DIV/0!</v>
      </c>
      <c r="AE6" s="39">
        <f t="shared" ref="AE6:AE49" si="18">AC6/Z$5</f>
        <v>0</v>
      </c>
      <c r="AF6" s="37">
        <f>'Расходы помесячно (План-Факт)'!BC27</f>
        <v>0</v>
      </c>
      <c r="AG6" s="38" t="e">
        <f t="shared" ref="AG6:AG49" si="19">AF6/AF$5</f>
        <v>#DIV/0!</v>
      </c>
      <c r="AH6" s="39" t="e">
        <f t="shared" ref="AH6:AH49" si="20">AF6/AC$5</f>
        <v>#DIV/0!</v>
      </c>
      <c r="AI6" s="37">
        <f>'Расходы помесячно (План-Факт)'!BH27</f>
        <v>0</v>
      </c>
      <c r="AJ6" s="38" t="e">
        <f t="shared" ref="AJ6:AJ49" si="21">AI6/AI$5</f>
        <v>#DIV/0!</v>
      </c>
      <c r="AK6" s="39" t="e">
        <f t="shared" ref="AK6:AK49" si="22">AI6/AF$5</f>
        <v>#DIV/0!</v>
      </c>
      <c r="AL6" s="37">
        <f>SUM(B6,E6,H6,K6,N6,Q6,T6,W6,Z6,AC6,AF6,AI6)</f>
        <v>327506446.42999995</v>
      </c>
      <c r="AM6" s="38">
        <f t="shared" ref="AM6:AM49" si="23">AL6/AL$5</f>
        <v>0.88895099405345435</v>
      </c>
      <c r="AN6" s="39"/>
      <c r="AO6" s="39"/>
      <c r="AP6" s="40"/>
      <c r="AS6" s="38">
        <v>0.8200698495180555</v>
      </c>
      <c r="AT6" s="41"/>
    </row>
    <row r="7" spans="1:46">
      <c r="A7" s="42" t="s">
        <v>24</v>
      </c>
      <c r="B7" s="43">
        <f>B6-B8-B9</f>
        <v>15060549.329999998</v>
      </c>
      <c r="C7" s="44">
        <f t="shared" si="0"/>
        <v>0.8251343192423698</v>
      </c>
      <c r="D7" s="45"/>
      <c r="E7" s="43">
        <f>E6-E8-E9</f>
        <v>21573047.379999999</v>
      </c>
      <c r="F7" s="44">
        <f t="shared" si="1"/>
        <v>0.86095983935796183</v>
      </c>
      <c r="G7" s="45">
        <f t="shared" si="2"/>
        <v>1.1819397403002758</v>
      </c>
      <c r="H7" s="43">
        <f>H6-H8-H9</f>
        <v>31849805.049999997</v>
      </c>
      <c r="I7" s="44">
        <f t="shared" si="3"/>
        <v>0.95951202086774079</v>
      </c>
      <c r="J7" s="45">
        <f t="shared" si="4"/>
        <v>1.2710954811535951</v>
      </c>
      <c r="K7" s="43">
        <f>K6-K8-K9</f>
        <v>50604058.449999996</v>
      </c>
      <c r="L7" s="44">
        <f t="shared" si="5"/>
        <v>0.87527833088856222</v>
      </c>
      <c r="M7" s="45">
        <f t="shared" si="6"/>
        <v>1.5245054816267636</v>
      </c>
      <c r="N7" s="43">
        <f>N6-N8-N9</f>
        <v>49316402.389999993</v>
      </c>
      <c r="O7" s="44">
        <f t="shared" si="7"/>
        <v>0.86906728094323027</v>
      </c>
      <c r="P7" s="45">
        <f t="shared" si="8"/>
        <v>0.85300625466627766</v>
      </c>
      <c r="Q7" s="43">
        <f>Q6-Q8-Q9</f>
        <v>38800987.770000003</v>
      </c>
      <c r="R7" s="44">
        <f t="shared" si="9"/>
        <v>0.87571958390762084</v>
      </c>
      <c r="S7" s="45">
        <f t="shared" si="10"/>
        <v>0.68376173656217587</v>
      </c>
      <c r="T7" s="43">
        <f>T6-T8-T9</f>
        <v>37776344.969999999</v>
      </c>
      <c r="U7" s="44">
        <f t="shared" si="11"/>
        <v>0.85783473321273784</v>
      </c>
      <c r="V7" s="45">
        <f t="shared" si="12"/>
        <v>0.85259389000031993</v>
      </c>
      <c r="W7" s="43">
        <f>W6-W8-W9</f>
        <v>43228946.540000007</v>
      </c>
      <c r="X7" s="44">
        <f t="shared" si="13"/>
        <v>0.85709002018256297</v>
      </c>
      <c r="Y7" s="45">
        <f t="shared" si="14"/>
        <v>0.9816537796776853</v>
      </c>
      <c r="Z7" s="43">
        <f>Z6-Z8-Z9</f>
        <v>34190846.189999998</v>
      </c>
      <c r="AA7" s="44">
        <f t="shared" si="15"/>
        <v>0.88637979920259724</v>
      </c>
      <c r="AB7" s="45">
        <f t="shared" si="16"/>
        <v>0.67789375861681589</v>
      </c>
      <c r="AC7" s="43">
        <f>AC6-AC8-AC9</f>
        <v>0</v>
      </c>
      <c r="AD7" s="44" t="e">
        <f t="shared" si="17"/>
        <v>#DIV/0!</v>
      </c>
      <c r="AE7" s="45">
        <f t="shared" si="18"/>
        <v>0</v>
      </c>
      <c r="AF7" s="43">
        <f>AF6-AF8-AF9</f>
        <v>0</v>
      </c>
      <c r="AG7" s="44" t="e">
        <f t="shared" si="19"/>
        <v>#DIV/0!</v>
      </c>
      <c r="AH7" s="45" t="e">
        <f t="shared" si="20"/>
        <v>#DIV/0!</v>
      </c>
      <c r="AI7" s="43">
        <f>AI6-AI8-AI9</f>
        <v>0</v>
      </c>
      <c r="AJ7" s="44" t="e">
        <f t="shared" si="21"/>
        <v>#DIV/0!</v>
      </c>
      <c r="AK7" s="45" t="e">
        <f t="shared" si="22"/>
        <v>#DIV/0!</v>
      </c>
      <c r="AL7" s="43">
        <f>AL6-AL8-AL9</f>
        <v>322400988.06999993</v>
      </c>
      <c r="AM7" s="46">
        <f t="shared" si="23"/>
        <v>0.87509324458411497</v>
      </c>
      <c r="AN7" s="47"/>
      <c r="AO7" s="47"/>
      <c r="AP7" s="48"/>
      <c r="AS7" s="46">
        <v>0.79932802390083024</v>
      </c>
      <c r="AT7" s="49"/>
    </row>
    <row r="8" spans="1:46">
      <c r="A8" s="42" t="s">
        <v>25</v>
      </c>
      <c r="B8" s="43">
        <f>B17</f>
        <v>172009.38</v>
      </c>
      <c r="C8" s="44">
        <f t="shared" si="0"/>
        <v>9.4240149917295297E-3</v>
      </c>
      <c r="D8" s="45"/>
      <c r="E8" s="43">
        <f>E17</f>
        <v>238457.75</v>
      </c>
      <c r="F8" s="44">
        <f t="shared" si="1"/>
        <v>9.5166224093121629E-3</v>
      </c>
      <c r="G8" s="45">
        <f t="shared" si="2"/>
        <v>1.3064574797572621E-2</v>
      </c>
      <c r="H8" s="43">
        <f>H17</f>
        <v>343614.12</v>
      </c>
      <c r="I8" s="44">
        <f t="shared" si="3"/>
        <v>1.0351770698825374E-2</v>
      </c>
      <c r="J8" s="45">
        <f t="shared" si="4"/>
        <v>1.3713313299937111E-2</v>
      </c>
      <c r="K8" s="43">
        <f>K17</f>
        <v>493329</v>
      </c>
      <c r="L8" s="44">
        <f t="shared" si="5"/>
        <v>8.5329160728396785E-3</v>
      </c>
      <c r="M8" s="45">
        <f t="shared" si="6"/>
        <v>1.4862103708313335E-2</v>
      </c>
      <c r="N8" s="43">
        <f>N17</f>
        <v>506743</v>
      </c>
      <c r="O8" s="44">
        <f t="shared" si="7"/>
        <v>8.929965281415481E-3</v>
      </c>
      <c r="P8" s="45">
        <f t="shared" si="8"/>
        <v>8.7649327112312419E-3</v>
      </c>
      <c r="Q8" s="43">
        <f>Q17</f>
        <v>484814</v>
      </c>
      <c r="R8" s="44">
        <f t="shared" si="9"/>
        <v>1.0942018199878143E-2</v>
      </c>
      <c r="S8" s="45">
        <f t="shared" si="10"/>
        <v>8.5435263791392574E-3</v>
      </c>
      <c r="T8" s="43">
        <f>T17</f>
        <v>510247.5</v>
      </c>
      <c r="U8" s="44">
        <f t="shared" si="11"/>
        <v>1.1586828434105294E-2</v>
      </c>
      <c r="V8" s="45">
        <f t="shared" si="12"/>
        <v>1.1516040030696974E-2</v>
      </c>
      <c r="W8" s="43">
        <f>W17</f>
        <v>435177.51</v>
      </c>
      <c r="X8" s="44">
        <f t="shared" si="13"/>
        <v>8.6281607737947307E-3</v>
      </c>
      <c r="Y8" s="45">
        <f t="shared" si="14"/>
        <v>9.8821202391998798E-3</v>
      </c>
      <c r="Z8" s="43">
        <f>Z17</f>
        <v>369352</v>
      </c>
      <c r="AA8" s="44">
        <f t="shared" si="15"/>
        <v>9.5752573591124015E-3</v>
      </c>
      <c r="AB8" s="45">
        <f t="shared" si="16"/>
        <v>7.3230540753878373E-3</v>
      </c>
      <c r="AC8" s="43">
        <f>AC17</f>
        <v>0</v>
      </c>
      <c r="AD8" s="44" t="e">
        <f t="shared" si="17"/>
        <v>#DIV/0!</v>
      </c>
      <c r="AE8" s="45">
        <f t="shared" si="18"/>
        <v>0</v>
      </c>
      <c r="AF8" s="43">
        <f>AF17</f>
        <v>0</v>
      </c>
      <c r="AG8" s="44" t="e">
        <f t="shared" si="19"/>
        <v>#DIV/0!</v>
      </c>
      <c r="AH8" s="45" t="e">
        <f t="shared" si="20"/>
        <v>#DIV/0!</v>
      </c>
      <c r="AI8" s="43">
        <f>AI17</f>
        <v>0</v>
      </c>
      <c r="AJ8" s="44" t="e">
        <f t="shared" si="21"/>
        <v>#DIV/0!</v>
      </c>
      <c r="AK8" s="45" t="e">
        <f t="shared" si="22"/>
        <v>#DIV/0!</v>
      </c>
      <c r="AL8" s="43">
        <f>AL17</f>
        <v>3553744.26</v>
      </c>
      <c r="AM8" s="46">
        <f t="shared" si="23"/>
        <v>9.6459307197605745E-3</v>
      </c>
      <c r="AN8" s="47"/>
      <c r="AO8" s="47"/>
      <c r="AP8" s="48"/>
      <c r="AS8" s="46">
        <v>1.5371895844920736E-2</v>
      </c>
      <c r="AT8" s="49"/>
    </row>
    <row r="9" spans="1:46">
      <c r="A9" s="42" t="s">
        <v>26</v>
      </c>
      <c r="B9" s="43">
        <f>B18</f>
        <v>96158.080000000002</v>
      </c>
      <c r="C9" s="44">
        <f t="shared" si="0"/>
        <v>5.2682893659399708E-3</v>
      </c>
      <c r="D9" s="45"/>
      <c r="E9" s="43">
        <f>E18</f>
        <v>134573.07</v>
      </c>
      <c r="F9" s="44">
        <f t="shared" si="1"/>
        <v>5.370683459237263E-3</v>
      </c>
      <c r="G9" s="45">
        <f t="shared" si="2"/>
        <v>7.3729620394135916E-3</v>
      </c>
      <c r="H9" s="43">
        <f>H18</f>
        <v>132162.43</v>
      </c>
      <c r="I9" s="44">
        <f t="shared" si="3"/>
        <v>3.9815452588489661E-3</v>
      </c>
      <c r="J9" s="45">
        <f t="shared" si="4"/>
        <v>5.2744771055130311E-3</v>
      </c>
      <c r="K9" s="43">
        <f>K18</f>
        <v>197136.62</v>
      </c>
      <c r="L9" s="44">
        <f t="shared" si="5"/>
        <v>3.4097939373993582E-3</v>
      </c>
      <c r="M9" s="45">
        <f t="shared" si="6"/>
        <v>5.9389674864975634E-3</v>
      </c>
      <c r="N9" s="43">
        <f>N18</f>
        <v>216522.33</v>
      </c>
      <c r="O9" s="44">
        <f t="shared" si="7"/>
        <v>3.8156163766469107E-3</v>
      </c>
      <c r="P9" s="45">
        <f t="shared" si="8"/>
        <v>3.7451008754516698E-3</v>
      </c>
      <c r="Q9" s="43">
        <f>Q18</f>
        <v>190275.72</v>
      </c>
      <c r="R9" s="44">
        <f t="shared" si="9"/>
        <v>4.2944312483445563E-3</v>
      </c>
      <c r="S9" s="45">
        <f t="shared" si="10"/>
        <v>3.353091356952801E-3</v>
      </c>
      <c r="T9" s="43">
        <f>T18</f>
        <v>199528.39999999997</v>
      </c>
      <c r="U9" s="44">
        <f t="shared" si="11"/>
        <v>4.5309410404392658E-3</v>
      </c>
      <c r="V9" s="45">
        <f t="shared" si="12"/>
        <v>4.5032597742486104E-3</v>
      </c>
      <c r="W9" s="43">
        <f>W18</f>
        <v>204425.23</v>
      </c>
      <c r="X9" s="44">
        <f t="shared" si="13"/>
        <v>4.0530903140191367E-3</v>
      </c>
      <c r="Y9" s="45">
        <f t="shared" si="14"/>
        <v>4.6421394864502316E-3</v>
      </c>
      <c r="Z9" s="43">
        <f>Z18</f>
        <v>180932.22</v>
      </c>
      <c r="AA9" s="44">
        <f t="shared" si="15"/>
        <v>4.6905731417605538E-3</v>
      </c>
      <c r="AB9" s="45">
        <f t="shared" si="16"/>
        <v>3.5873000038986356E-3</v>
      </c>
      <c r="AC9" s="43">
        <f>AC18</f>
        <v>0</v>
      </c>
      <c r="AD9" s="44" t="e">
        <f t="shared" si="17"/>
        <v>#DIV/0!</v>
      </c>
      <c r="AE9" s="45">
        <f t="shared" si="18"/>
        <v>0</v>
      </c>
      <c r="AF9" s="43">
        <f>AF18</f>
        <v>0</v>
      </c>
      <c r="AG9" s="44" t="e">
        <f t="shared" si="19"/>
        <v>#DIV/0!</v>
      </c>
      <c r="AH9" s="45" t="e">
        <f t="shared" si="20"/>
        <v>#DIV/0!</v>
      </c>
      <c r="AI9" s="43">
        <f>AI18</f>
        <v>0</v>
      </c>
      <c r="AJ9" s="44" t="e">
        <f t="shared" si="21"/>
        <v>#DIV/0!</v>
      </c>
      <c r="AK9" s="45" t="e">
        <f t="shared" si="22"/>
        <v>#DIV/0!</v>
      </c>
      <c r="AL9" s="43">
        <f>AL18</f>
        <v>1551714.0999999999</v>
      </c>
      <c r="AM9" s="46">
        <f t="shared" si="23"/>
        <v>4.2118187495786856E-3</v>
      </c>
      <c r="AN9" s="47"/>
      <c r="AO9" s="47"/>
      <c r="AP9" s="48"/>
      <c r="AS9" s="46">
        <v>5.3699297723044789E-3</v>
      </c>
      <c r="AT9" s="49"/>
    </row>
    <row r="10" spans="1:46" s="33" customFormat="1">
      <c r="A10" s="36" t="s">
        <v>27</v>
      </c>
      <c r="B10" s="37" t="e">
        <f>SUM(B11,B15,B44)-B16</f>
        <v>#N/A</v>
      </c>
      <c r="C10" s="38" t="e">
        <f t="shared" si="0"/>
        <v>#N/A</v>
      </c>
      <c r="D10" s="39"/>
      <c r="E10" s="37" t="e">
        <f>SUM(E11,E15,E44)-E16</f>
        <v>#N/A</v>
      </c>
      <c r="F10" s="38" t="e">
        <f t="shared" si="1"/>
        <v>#N/A</v>
      </c>
      <c r="G10" s="39" t="e">
        <f t="shared" si="2"/>
        <v>#N/A</v>
      </c>
      <c r="H10" s="37" t="e">
        <f>SUM(H11,H15,H44)-H16</f>
        <v>#N/A</v>
      </c>
      <c r="I10" s="38" t="e">
        <f t="shared" si="3"/>
        <v>#N/A</v>
      </c>
      <c r="J10" s="39" t="e">
        <f t="shared" si="4"/>
        <v>#N/A</v>
      </c>
      <c r="K10" s="37" t="e">
        <f>SUM(K11,K15,K44)-K16</f>
        <v>#N/A</v>
      </c>
      <c r="L10" s="38" t="e">
        <f t="shared" si="5"/>
        <v>#N/A</v>
      </c>
      <c r="M10" s="39" t="e">
        <f t="shared" si="6"/>
        <v>#N/A</v>
      </c>
      <c r="N10" s="37" t="e">
        <f>SUM(N11,N15,N44)-N16</f>
        <v>#N/A</v>
      </c>
      <c r="O10" s="38" t="e">
        <f t="shared" si="7"/>
        <v>#N/A</v>
      </c>
      <c r="P10" s="39" t="e">
        <f t="shared" si="8"/>
        <v>#N/A</v>
      </c>
      <c r="Q10" s="37" t="e">
        <f>SUM(Q11,Q15,Q44)-Q16</f>
        <v>#N/A</v>
      </c>
      <c r="R10" s="38" t="e">
        <f t="shared" si="9"/>
        <v>#N/A</v>
      </c>
      <c r="S10" s="39" t="e">
        <f t="shared" si="10"/>
        <v>#N/A</v>
      </c>
      <c r="T10" s="37" t="e">
        <f>SUM(T11,T15,T44)-T16</f>
        <v>#N/A</v>
      </c>
      <c r="U10" s="38" t="e">
        <f t="shared" si="11"/>
        <v>#N/A</v>
      </c>
      <c r="V10" s="39" t="e">
        <f t="shared" si="12"/>
        <v>#N/A</v>
      </c>
      <c r="W10" s="37" t="e">
        <f>SUM(W11,W15,W44)-W16</f>
        <v>#N/A</v>
      </c>
      <c r="X10" s="38" t="e">
        <f t="shared" si="13"/>
        <v>#N/A</v>
      </c>
      <c r="Y10" s="39" t="e">
        <f t="shared" si="14"/>
        <v>#N/A</v>
      </c>
      <c r="Z10" s="37" t="e">
        <f>SUM(Z11,Z15,Z44)-Z16</f>
        <v>#N/A</v>
      </c>
      <c r="AA10" s="38" t="e">
        <f t="shared" si="15"/>
        <v>#N/A</v>
      </c>
      <c r="AB10" s="39" t="e">
        <f t="shared" si="16"/>
        <v>#N/A</v>
      </c>
      <c r="AC10" s="37" t="e">
        <f>SUM(AC11,AC15,AC44)-AC16</f>
        <v>#N/A</v>
      </c>
      <c r="AD10" s="38" t="e">
        <f t="shared" si="17"/>
        <v>#N/A</v>
      </c>
      <c r="AE10" s="39" t="e">
        <f t="shared" si="18"/>
        <v>#N/A</v>
      </c>
      <c r="AF10" s="37" t="e">
        <f>SUM(AF11,AF15,AF44)-AF16</f>
        <v>#N/A</v>
      </c>
      <c r="AG10" s="38" t="e">
        <f t="shared" si="19"/>
        <v>#N/A</v>
      </c>
      <c r="AH10" s="39" t="e">
        <f t="shared" si="20"/>
        <v>#N/A</v>
      </c>
      <c r="AI10" s="37" t="e">
        <f>SUM(AI11,AI15,AI44)-AI16</f>
        <v>#N/A</v>
      </c>
      <c r="AJ10" s="38" t="e">
        <f t="shared" si="21"/>
        <v>#N/A</v>
      </c>
      <c r="AK10" s="39" t="e">
        <f t="shared" si="22"/>
        <v>#N/A</v>
      </c>
      <c r="AL10" s="37" t="e">
        <f>SUM(AL11,AL15,AL44)-AL16</f>
        <v>#N/A</v>
      </c>
      <c r="AM10" s="38" t="e">
        <f t="shared" si="23"/>
        <v>#N/A</v>
      </c>
      <c r="AN10" s="39"/>
      <c r="AO10" s="39"/>
      <c r="AP10" s="40"/>
      <c r="AS10" s="38">
        <v>0.12428183325251635</v>
      </c>
      <c r="AT10" s="41">
        <f>SUM(AT11,AT15,AT44)</f>
        <v>1822789</v>
      </c>
    </row>
    <row r="11" spans="1:46">
      <c r="A11" s="50" t="s">
        <v>28</v>
      </c>
      <c r="B11" s="51">
        <f>'Расходы помесячно (План-Факт)'!C59</f>
        <v>-2037005.45</v>
      </c>
      <c r="C11" s="52">
        <f t="shared" si="0"/>
        <v>-0.11160304106110235</v>
      </c>
      <c r="D11" s="53"/>
      <c r="E11" s="51">
        <f>'Расходы помесячно (План-Факт)'!H59</f>
        <v>-3129535.5700000003</v>
      </c>
      <c r="F11" s="52">
        <f t="shared" si="1"/>
        <v>-0.12489679339925633</v>
      </c>
      <c r="G11" s="53">
        <f t="shared" si="2"/>
        <v>-0.17146035948057498</v>
      </c>
      <c r="H11" s="51">
        <f>'Расходы помесячно (План-Факт)'!M59</f>
        <v>2200571.88</v>
      </c>
      <c r="I11" s="52">
        <f t="shared" si="3"/>
        <v>6.6294759679966203E-2</v>
      </c>
      <c r="J11" s="53">
        <f t="shared" si="4"/>
        <v>8.7822734494937549E-2</v>
      </c>
      <c r="K11" s="51">
        <f>'Расходы помесячно (План-Факт)'!R59</f>
        <v>9878798.0899999999</v>
      </c>
      <c r="L11" s="52">
        <f t="shared" si="5"/>
        <v>0.1708696529141788</v>
      </c>
      <c r="M11" s="53">
        <f t="shared" si="6"/>
        <v>0.29761015818463477</v>
      </c>
      <c r="N11" s="51">
        <f>'Расходы помесячно (План-Факт)'!W59</f>
        <v>1731701.3599999999</v>
      </c>
      <c r="O11" s="52">
        <f t="shared" si="7"/>
        <v>3.0516520253027608E-2</v>
      </c>
      <c r="P11" s="53">
        <f t="shared" si="8"/>
        <v>2.9952551680728943E-2</v>
      </c>
      <c r="Q11" s="51">
        <f>'Расходы помесячно (План-Факт)'!AB59</f>
        <v>2416823.7000000002</v>
      </c>
      <c r="R11" s="52">
        <f t="shared" si="9"/>
        <v>5.4546545502598597E-2</v>
      </c>
      <c r="S11" s="53">
        <f t="shared" si="10"/>
        <v>4.2589935593194392E-2</v>
      </c>
      <c r="T11" s="51">
        <f>'Расходы помесячно (План-Факт)'!AG59</f>
        <v>1436198.52</v>
      </c>
      <c r="U11" s="52">
        <f t="shared" si="11"/>
        <v>3.2613556849481751E-2</v>
      </c>
      <c r="V11" s="53">
        <f t="shared" si="12"/>
        <v>3.2414308053146268E-2</v>
      </c>
      <c r="W11" s="51">
        <f>'Расходы помесячно (План-Факт)'!AL59</f>
        <v>1817733.51</v>
      </c>
      <c r="X11" s="52">
        <f t="shared" si="13"/>
        <v>3.6039769077667205E-2</v>
      </c>
      <c r="Y11" s="53">
        <f t="shared" si="14"/>
        <v>4.1277549266373711E-2</v>
      </c>
      <c r="Z11" s="51">
        <f>'Расходы помесячно (План-Факт)'!AQ59</f>
        <v>1004676.9299999999</v>
      </c>
      <c r="AA11" s="52">
        <f t="shared" si="15"/>
        <v>2.6045723774374998E-2</v>
      </c>
      <c r="AB11" s="53">
        <f t="shared" si="16"/>
        <v>1.9919490043873164E-2</v>
      </c>
      <c r="AC11" s="51">
        <f>'Расходы помесячно (План-Факт)'!AV59</f>
        <v>0</v>
      </c>
      <c r="AD11" s="52" t="e">
        <f t="shared" si="17"/>
        <v>#DIV/0!</v>
      </c>
      <c r="AE11" s="53">
        <f t="shared" si="18"/>
        <v>0</v>
      </c>
      <c r="AF11" s="51">
        <f>'Расходы помесячно (План-Факт)'!BA59</f>
        <v>0</v>
      </c>
      <c r="AG11" s="52" t="e">
        <f t="shared" si="19"/>
        <v>#DIV/0!</v>
      </c>
      <c r="AH11" s="53" t="e">
        <f t="shared" si="20"/>
        <v>#DIV/0!</v>
      </c>
      <c r="AI11" s="51">
        <f>'Расходы помесячно (План-Факт)'!BF59</f>
        <v>0</v>
      </c>
      <c r="AJ11" s="52" t="e">
        <f t="shared" si="21"/>
        <v>#DIV/0!</v>
      </c>
      <c r="AK11" s="53" t="e">
        <f t="shared" si="22"/>
        <v>#DIV/0!</v>
      </c>
      <c r="AL11" s="51">
        <f t="shared" ref="AL11:AL49" si="24">SUM(B11,E11,H11,K11,N11,Q11,T11,W11,Z11,AC11,AF11,AI11)</f>
        <v>15319962.969999997</v>
      </c>
      <c r="AM11" s="52">
        <f t="shared" si="23"/>
        <v>4.1582987020545317E-2</v>
      </c>
      <c r="AN11" s="53"/>
      <c r="AO11" s="53"/>
      <c r="AP11" s="54"/>
      <c r="AS11" s="52">
        <v>2.5470362315930012E-3</v>
      </c>
      <c r="AT11" s="55">
        <f>SUM(AT12:AT14)</f>
        <v>40980</v>
      </c>
    </row>
    <row r="12" spans="1:46">
      <c r="A12" s="56" t="s">
        <v>29</v>
      </c>
      <c r="B12" s="43">
        <f>'Расходы помесячно (План-Факт)'!C60</f>
        <v>272911.11</v>
      </c>
      <c r="C12" s="44">
        <f t="shared" si="0"/>
        <v>1.4952198490858735E-2</v>
      </c>
      <c r="D12" s="45"/>
      <c r="E12" s="43">
        <f>'Расходы помесячно (План-Факт)'!H60</f>
        <v>359175.25</v>
      </c>
      <c r="F12" s="44">
        <f t="shared" si="1"/>
        <v>1.433434322440893E-2</v>
      </c>
      <c r="G12" s="45">
        <f t="shared" si="2"/>
        <v>1.9678420680652425E-2</v>
      </c>
      <c r="H12" s="43">
        <f>'Расходы помесячно (План-Факт)'!M60</f>
        <v>517473.57</v>
      </c>
      <c r="I12" s="44">
        <f t="shared" si="3"/>
        <v>1.5589486658297283E-2</v>
      </c>
      <c r="J12" s="45">
        <f t="shared" si="4"/>
        <v>2.0651878886254551E-2</v>
      </c>
      <c r="K12" s="43">
        <f>'Расходы помесячно (План-Факт)'!R60</f>
        <v>843091.28</v>
      </c>
      <c r="L12" s="44">
        <f t="shared" si="5"/>
        <v>1.4582615524291047E-2</v>
      </c>
      <c r="M12" s="45">
        <f t="shared" si="6"/>
        <v>2.5399094800700215E-2</v>
      </c>
      <c r="N12" s="43">
        <f>'Расходы помесячно (План-Факт)'!W60</f>
        <v>664701.99</v>
      </c>
      <c r="O12" s="44">
        <f t="shared" si="7"/>
        <v>1.1713562285394725E-2</v>
      </c>
      <c r="P12" s="45">
        <f t="shared" si="8"/>
        <v>1.1497086719247235E-2</v>
      </c>
      <c r="Q12" s="43">
        <f>'Расходы помесячно (План-Факт)'!AB60</f>
        <v>838230.12</v>
      </c>
      <c r="R12" s="44">
        <f t="shared" si="9"/>
        <v>1.8918449608975894E-2</v>
      </c>
      <c r="S12" s="45">
        <f t="shared" si="10"/>
        <v>1.4771522979965647E-2</v>
      </c>
      <c r="T12" s="43">
        <f>'Расходы помесячно (План-Факт)'!AG60</f>
        <v>706424.31</v>
      </c>
      <c r="U12" s="44">
        <f t="shared" si="11"/>
        <v>1.6041660726708536E-2</v>
      </c>
      <c r="V12" s="45">
        <f t="shared" si="12"/>
        <v>1.5943656034801718E-2</v>
      </c>
      <c r="W12" s="43">
        <f>'Расходы помесячно (План-Факт)'!AL60</f>
        <v>802335.38</v>
      </c>
      <c r="X12" s="44">
        <f t="shared" si="13"/>
        <v>1.5907712356605215E-2</v>
      </c>
      <c r="Y12" s="45">
        <f t="shared" si="14"/>
        <v>1.8219633402755869E-2</v>
      </c>
      <c r="Z12" s="43">
        <f>'Расходы помесячно (План-Факт)'!AQ60</f>
        <v>55750</v>
      </c>
      <c r="AA12" s="44">
        <f t="shared" si="15"/>
        <v>1.4452895822156544E-3</v>
      </c>
      <c r="AB12" s="45">
        <f t="shared" si="16"/>
        <v>1.1053419629591067E-3</v>
      </c>
      <c r="AC12" s="43">
        <f>'Расходы помесячно (План-Факт)'!AV60</f>
        <v>0</v>
      </c>
      <c r="AD12" s="44" t="e">
        <f t="shared" si="17"/>
        <v>#DIV/0!</v>
      </c>
      <c r="AE12" s="45">
        <f t="shared" si="18"/>
        <v>0</v>
      </c>
      <c r="AF12" s="43">
        <f>'Расходы помесячно (План-Факт)'!BA60</f>
        <v>0</v>
      </c>
      <c r="AG12" s="44" t="e">
        <f t="shared" si="19"/>
        <v>#DIV/0!</v>
      </c>
      <c r="AH12" s="45" t="e">
        <f t="shared" si="20"/>
        <v>#DIV/0!</v>
      </c>
      <c r="AI12" s="43">
        <f>'Расходы помесячно (План-Факт)'!BF60</f>
        <v>0</v>
      </c>
      <c r="AJ12" s="44" t="e">
        <f t="shared" si="21"/>
        <v>#DIV/0!</v>
      </c>
      <c r="AK12" s="45" t="e">
        <f t="shared" si="22"/>
        <v>#DIV/0!</v>
      </c>
      <c r="AL12" s="57">
        <f t="shared" si="24"/>
        <v>5060093.0100000007</v>
      </c>
      <c r="AM12" s="46">
        <f t="shared" si="23"/>
        <v>1.3734614265688538E-2</v>
      </c>
      <c r="AN12" s="47"/>
      <c r="AO12" s="47"/>
      <c r="AP12" s="48"/>
      <c r="AS12" s="46">
        <v>0</v>
      </c>
      <c r="AT12" s="49">
        <f>ROUND($AT$5*AS12,0)</f>
        <v>0</v>
      </c>
    </row>
    <row r="13" spans="1:46">
      <c r="A13" s="56" t="s">
        <v>30</v>
      </c>
      <c r="B13" s="43">
        <f>'Расходы помесячно (План-Факт)'!C64</f>
        <v>237000</v>
      </c>
      <c r="C13" s="44">
        <f t="shared" si="0"/>
        <v>1.298470788651118E-2</v>
      </c>
      <c r="D13" s="45"/>
      <c r="E13" s="43">
        <f>'Расходы помесячно (План-Факт)'!H64</f>
        <v>313200</v>
      </c>
      <c r="F13" s="44">
        <f t="shared" si="1"/>
        <v>1.24995146460812E-2</v>
      </c>
      <c r="G13" s="45">
        <f t="shared" si="2"/>
        <v>1.7159538017110978E-2</v>
      </c>
      <c r="H13" s="43">
        <f>'Расходы помесячно (План-Факт)'!M64</f>
        <v>472600</v>
      </c>
      <c r="I13" s="44">
        <f t="shared" si="3"/>
        <v>1.4237618734250128E-2</v>
      </c>
      <c r="J13" s="45">
        <f t="shared" si="4"/>
        <v>1.8861017310785363E-2</v>
      </c>
      <c r="K13" s="43">
        <f>'Расходы помесячно (План-Факт)'!R64</f>
        <v>795223.5</v>
      </c>
      <c r="L13" s="44">
        <f t="shared" si="5"/>
        <v>1.3754665516622425E-2</v>
      </c>
      <c r="M13" s="45">
        <f t="shared" si="6"/>
        <v>2.3957022855514088E-2</v>
      </c>
      <c r="N13" s="43">
        <f>'Расходы помесячно (План-Факт)'!W64</f>
        <v>632217.31000000006</v>
      </c>
      <c r="O13" s="44">
        <f t="shared" si="7"/>
        <v>1.1141108271076046E-2</v>
      </c>
      <c r="P13" s="45">
        <f t="shared" si="8"/>
        <v>1.0935212091781481E-2</v>
      </c>
      <c r="Q13" s="43">
        <f>'Расходы помесячно (План-Факт)'!AB64</f>
        <v>786680.67</v>
      </c>
      <c r="R13" s="44">
        <f t="shared" si="9"/>
        <v>1.775500337991958E-2</v>
      </c>
      <c r="S13" s="45">
        <f t="shared" si="10"/>
        <v>1.3863104316508898E-2</v>
      </c>
      <c r="T13" s="43">
        <f>'Расходы помесячно (План-Факт)'!AG64</f>
        <v>639883.21</v>
      </c>
      <c r="U13" s="44">
        <f t="shared" si="11"/>
        <v>1.4530628708880628E-2</v>
      </c>
      <c r="V13" s="45">
        <f t="shared" si="12"/>
        <v>1.4441855494305956E-2</v>
      </c>
      <c r="W13" s="43">
        <f>'Расходы помесячно (План-Факт)'!AL64</f>
        <v>708838.17</v>
      </c>
      <c r="X13" s="44">
        <f t="shared" si="13"/>
        <v>1.4053965457365758E-2</v>
      </c>
      <c r="Y13" s="45">
        <f t="shared" si="14"/>
        <v>1.6096475266091773E-2</v>
      </c>
      <c r="Z13" s="43">
        <f>'Расходы помесячно (План-Факт)'!AQ64</f>
        <v>553000</v>
      </c>
      <c r="AA13" s="44">
        <f t="shared" si="15"/>
        <v>1.433623567650685E-2</v>
      </c>
      <c r="AB13" s="45">
        <f t="shared" si="16"/>
        <v>1.0964199202087641E-2</v>
      </c>
      <c r="AC13" s="43">
        <f>'Расходы помесячно (План-Факт)'!AV64</f>
        <v>0</v>
      </c>
      <c r="AD13" s="44" t="e">
        <f t="shared" si="17"/>
        <v>#DIV/0!</v>
      </c>
      <c r="AE13" s="45">
        <f t="shared" si="18"/>
        <v>0</v>
      </c>
      <c r="AF13" s="43">
        <f>'Расходы помесячно (План-Факт)'!BA64</f>
        <v>0</v>
      </c>
      <c r="AG13" s="44" t="e">
        <f t="shared" si="19"/>
        <v>#DIV/0!</v>
      </c>
      <c r="AH13" s="45" t="e">
        <f t="shared" si="20"/>
        <v>#DIV/0!</v>
      </c>
      <c r="AI13" s="43">
        <f>'Расходы помесячно (План-Факт)'!BF64</f>
        <v>0</v>
      </c>
      <c r="AJ13" s="44" t="e">
        <f t="shared" si="21"/>
        <v>#DIV/0!</v>
      </c>
      <c r="AK13" s="45" t="e">
        <f t="shared" si="22"/>
        <v>#DIV/0!</v>
      </c>
      <c r="AL13" s="57">
        <f t="shared" si="24"/>
        <v>5138642.8600000003</v>
      </c>
      <c r="AM13" s="46">
        <f t="shared" si="23"/>
        <v>1.3947822182666667E-2</v>
      </c>
      <c r="AN13" s="47"/>
      <c r="AO13" s="47"/>
      <c r="AP13" s="48"/>
      <c r="AS13" s="46">
        <v>2.5000000000000001E-3</v>
      </c>
      <c r="AT13" s="58">
        <f>ROUND($AT$5*AS13,0)</f>
        <v>40980</v>
      </c>
    </row>
    <row r="14" spans="1:46">
      <c r="A14" s="59" t="s">
        <v>31</v>
      </c>
      <c r="B14" s="43">
        <f>'Расходы помесячно (План-Факт)'!C70</f>
        <v>9353.7999999999993</v>
      </c>
      <c r="C14" s="44">
        <f t="shared" si="0"/>
        <v>5.1247409548037248E-4</v>
      </c>
      <c r="D14" s="45"/>
      <c r="E14" s="43">
        <f>'Расходы помесячно (План-Факт)'!H70</f>
        <v>53599.76</v>
      </c>
      <c r="F14" s="44">
        <f t="shared" si="1"/>
        <v>2.1391155336731717E-3</v>
      </c>
      <c r="G14" s="45">
        <f t="shared" si="2"/>
        <v>2.9366127695658506E-3</v>
      </c>
      <c r="H14" s="43">
        <f>'Расходы помесячно (План-Факт)'!M70</f>
        <v>35935.21</v>
      </c>
      <c r="I14" s="44">
        <f t="shared" si="3"/>
        <v>1.082589545313611E-3</v>
      </c>
      <c r="J14" s="45">
        <f t="shared" si="4"/>
        <v>1.43414011400065E-3</v>
      </c>
      <c r="K14" s="43">
        <f>'Расходы помесячно (План-Факт)'!R70</f>
        <v>84218.49</v>
      </c>
      <c r="L14" s="44">
        <f t="shared" si="5"/>
        <v>1.4566938228875411E-3</v>
      </c>
      <c r="M14" s="45">
        <f t="shared" si="6"/>
        <v>2.537178906039478E-3</v>
      </c>
      <c r="N14" s="43">
        <f>'Расходы помесячно (План-Факт)'!W70</f>
        <v>89786.46</v>
      </c>
      <c r="O14" s="44">
        <f t="shared" si="7"/>
        <v>1.5822418277927862E-3</v>
      </c>
      <c r="P14" s="45">
        <f t="shared" si="8"/>
        <v>1.553000791880017E-3</v>
      </c>
      <c r="Q14" s="43">
        <f>'Расходы помесячно (План-Факт)'!AB70</f>
        <v>101433.71</v>
      </c>
      <c r="R14" s="44">
        <f t="shared" si="9"/>
        <v>2.2893099227769033E-3</v>
      </c>
      <c r="S14" s="45">
        <f t="shared" si="10"/>
        <v>1.7874928882395341E-3</v>
      </c>
      <c r="T14" s="43">
        <f>'Расходы помесячно (План-Факт)'!AG70</f>
        <v>83238.12</v>
      </c>
      <c r="U14" s="44">
        <f t="shared" si="11"/>
        <v>1.8901921432588468E-3</v>
      </c>
      <c r="V14" s="45">
        <f t="shared" si="12"/>
        <v>1.8786442304959032E-3</v>
      </c>
      <c r="W14" s="43">
        <f>'Расходы помесячно (План-Факт)'!AL70</f>
        <v>64104.14</v>
      </c>
      <c r="X14" s="44">
        <f t="shared" si="13"/>
        <v>1.2709775056754329E-3</v>
      </c>
      <c r="Y14" s="45">
        <f t="shared" si="14"/>
        <v>1.4556929178405902E-3</v>
      </c>
      <c r="Z14" s="43">
        <f>'Расходы помесячно (План-Факт)'!AQ70</f>
        <v>48937.07</v>
      </c>
      <c r="AA14" s="44">
        <f t="shared" si="15"/>
        <v>1.2686679364153945E-3</v>
      </c>
      <c r="AB14" s="45">
        <f t="shared" si="16"/>
        <v>9.7026362359223695E-4</v>
      </c>
      <c r="AC14" s="43">
        <f>'Расходы помесячно (План-Факт)'!AV70</f>
        <v>0</v>
      </c>
      <c r="AD14" s="44" t="e">
        <f t="shared" si="17"/>
        <v>#DIV/0!</v>
      </c>
      <c r="AE14" s="45">
        <f t="shared" si="18"/>
        <v>0</v>
      </c>
      <c r="AF14" s="43">
        <f>'Расходы помесячно (План-Факт)'!BA70</f>
        <v>0</v>
      </c>
      <c r="AG14" s="44" t="e">
        <f t="shared" si="19"/>
        <v>#DIV/0!</v>
      </c>
      <c r="AH14" s="45" t="e">
        <f t="shared" si="20"/>
        <v>#DIV/0!</v>
      </c>
      <c r="AI14" s="43">
        <f>'Расходы помесячно (План-Факт)'!BF70</f>
        <v>0</v>
      </c>
      <c r="AJ14" s="44" t="e">
        <f t="shared" si="21"/>
        <v>#DIV/0!</v>
      </c>
      <c r="AK14" s="45" t="e">
        <f t="shared" si="22"/>
        <v>#DIV/0!</v>
      </c>
      <c r="AL14" s="57">
        <f t="shared" si="24"/>
        <v>570606.76</v>
      </c>
      <c r="AM14" s="46">
        <f t="shared" si="23"/>
        <v>1.5487983581539571E-3</v>
      </c>
      <c r="AN14" s="47"/>
      <c r="AO14" s="47"/>
      <c r="AP14" s="48"/>
      <c r="AS14" s="46">
        <v>0</v>
      </c>
      <c r="AT14" s="49">
        <f>ROUND($AT$5*AS14,0)</f>
        <v>0</v>
      </c>
    </row>
    <row r="15" spans="1:46">
      <c r="A15" s="50" t="s">
        <v>32</v>
      </c>
      <c r="B15" s="51">
        <f>'Расходы помесячно (План-Факт)'!C75</f>
        <v>268167.46000000002</v>
      </c>
      <c r="C15" s="52">
        <f t="shared" si="0"/>
        <v>1.4692304357669501E-2</v>
      </c>
      <c r="D15" s="53"/>
      <c r="E15" s="51">
        <f>'Расходы помесячно (План-Факт)'!H75</f>
        <v>373030.82</v>
      </c>
      <c r="F15" s="52">
        <f t="shared" si="1"/>
        <v>1.4887305868549425E-2</v>
      </c>
      <c r="G15" s="53">
        <f t="shared" si="2"/>
        <v>2.0437536836986216E-2</v>
      </c>
      <c r="H15" s="51">
        <f>'Расходы помесячно (План-Факт)'!M75</f>
        <v>475776.55</v>
      </c>
      <c r="I15" s="52">
        <f t="shared" si="3"/>
        <v>1.433331595767434E-2</v>
      </c>
      <c r="J15" s="53">
        <f t="shared" si="4"/>
        <v>1.8987790405450143E-2</v>
      </c>
      <c r="K15" s="51">
        <f>'Расходы помесячно (План-Факт)'!R75</f>
        <v>690465.62</v>
      </c>
      <c r="L15" s="52">
        <f t="shared" si="5"/>
        <v>1.1942710010239036E-2</v>
      </c>
      <c r="M15" s="53">
        <f t="shared" si="6"/>
        <v>2.0801071194810897E-2</v>
      </c>
      <c r="N15" s="51">
        <f>'Расходы помесячно (План-Факт)'!W75</f>
        <v>723265.33</v>
      </c>
      <c r="O15" s="52">
        <f t="shared" si="7"/>
        <v>1.274558165806239E-2</v>
      </c>
      <c r="P15" s="53">
        <f t="shared" si="8"/>
        <v>1.2510033586682911E-2</v>
      </c>
      <c r="Q15" s="51">
        <f>'Расходы помесячно (План-Факт)'!AB75</f>
        <v>675089.72</v>
      </c>
      <c r="R15" s="52">
        <f t="shared" si="9"/>
        <v>1.5236449448222698E-2</v>
      </c>
      <c r="S15" s="53">
        <f t="shared" si="10"/>
        <v>1.1896617736092057E-2</v>
      </c>
      <c r="T15" s="51">
        <f>'Расходы помесячно (План-Факт)'!AG75</f>
        <v>709775.89999999991</v>
      </c>
      <c r="U15" s="52">
        <f t="shared" si="11"/>
        <v>1.6117769474544557E-2</v>
      </c>
      <c r="V15" s="53">
        <f t="shared" si="12"/>
        <v>1.6019299804945583E-2</v>
      </c>
      <c r="W15" s="51">
        <f>'Расходы помесячно (План-Факт)'!AL75</f>
        <v>639602.74</v>
      </c>
      <c r="X15" s="52">
        <f t="shared" si="13"/>
        <v>1.2681251087813867E-2</v>
      </c>
      <c r="Y15" s="53">
        <f t="shared" si="14"/>
        <v>1.4524259725650111E-2</v>
      </c>
      <c r="Z15" s="51">
        <f>'Расходы помесячно (План-Факт)'!AQ75</f>
        <v>550284.22</v>
      </c>
      <c r="AA15" s="52">
        <f t="shared" si="15"/>
        <v>1.4265830500872954E-2</v>
      </c>
      <c r="AB15" s="53">
        <f t="shared" si="16"/>
        <v>1.0910354079286472E-2</v>
      </c>
      <c r="AC15" s="51">
        <f>'Расходы помесячно (План-Факт)'!AV75</f>
        <v>0</v>
      </c>
      <c r="AD15" s="52" t="e">
        <f t="shared" si="17"/>
        <v>#DIV/0!</v>
      </c>
      <c r="AE15" s="53">
        <f t="shared" si="18"/>
        <v>0</v>
      </c>
      <c r="AF15" s="51">
        <f>'Расходы помесячно (План-Факт)'!BA75</f>
        <v>0</v>
      </c>
      <c r="AG15" s="52" t="e">
        <f t="shared" si="19"/>
        <v>#DIV/0!</v>
      </c>
      <c r="AH15" s="53" t="e">
        <f t="shared" si="20"/>
        <v>#DIV/0!</v>
      </c>
      <c r="AI15" s="51">
        <f>'Расходы помесячно (План-Факт)'!BF75</f>
        <v>0</v>
      </c>
      <c r="AJ15" s="52" t="e">
        <f t="shared" si="21"/>
        <v>#DIV/0!</v>
      </c>
      <c r="AK15" s="53" t="e">
        <f t="shared" si="22"/>
        <v>#DIV/0!</v>
      </c>
      <c r="AL15" s="51">
        <f t="shared" si="24"/>
        <v>5105458.3599999994</v>
      </c>
      <c r="AM15" s="52">
        <f t="shared" si="23"/>
        <v>1.3857749469339259E-2</v>
      </c>
      <c r="AN15" s="53"/>
      <c r="AO15" s="53"/>
      <c r="AP15" s="54"/>
      <c r="AS15" s="52"/>
      <c r="AT15" s="55">
        <f>SUM(AT16,AT19,AT35)</f>
        <v>1762139</v>
      </c>
    </row>
    <row r="16" spans="1:46" outlineLevel="1">
      <c r="A16" s="60" t="s">
        <v>33</v>
      </c>
      <c r="B16" s="51">
        <f>'Расходы помесячно (План-Факт)'!C76</f>
        <v>268167.46000000002</v>
      </c>
      <c r="C16" s="52">
        <f t="shared" si="0"/>
        <v>1.4692304357669501E-2</v>
      </c>
      <c r="D16" s="53"/>
      <c r="E16" s="51">
        <f>'Расходы помесячно (План-Факт)'!H76</f>
        <v>373030.82</v>
      </c>
      <c r="F16" s="52">
        <f t="shared" si="1"/>
        <v>1.4887305868549425E-2</v>
      </c>
      <c r="G16" s="53">
        <f t="shared" si="2"/>
        <v>2.0437536836986216E-2</v>
      </c>
      <c r="H16" s="51">
        <f>'Расходы помесячно (План-Факт)'!M76</f>
        <v>475776.55</v>
      </c>
      <c r="I16" s="52">
        <f t="shared" si="3"/>
        <v>1.433331595767434E-2</v>
      </c>
      <c r="J16" s="53">
        <f t="shared" si="4"/>
        <v>1.8987790405450143E-2</v>
      </c>
      <c r="K16" s="51">
        <f>'Расходы помесячно (План-Факт)'!R76</f>
        <v>690465.62</v>
      </c>
      <c r="L16" s="52">
        <f t="shared" si="5"/>
        <v>1.1942710010239036E-2</v>
      </c>
      <c r="M16" s="53">
        <f t="shared" si="6"/>
        <v>2.0801071194810897E-2</v>
      </c>
      <c r="N16" s="51">
        <f>'Расходы помесячно (План-Факт)'!W76</f>
        <v>723265.33</v>
      </c>
      <c r="O16" s="52">
        <f t="shared" si="7"/>
        <v>1.274558165806239E-2</v>
      </c>
      <c r="P16" s="53">
        <f t="shared" si="8"/>
        <v>1.2510033586682911E-2</v>
      </c>
      <c r="Q16" s="51">
        <f>'Расходы помесячно (План-Факт)'!AB76</f>
        <v>675089.72</v>
      </c>
      <c r="R16" s="52">
        <f t="shared" si="9"/>
        <v>1.5236449448222698E-2</v>
      </c>
      <c r="S16" s="53">
        <f t="shared" si="10"/>
        <v>1.1896617736092057E-2</v>
      </c>
      <c r="T16" s="51">
        <f>'Расходы помесячно (План-Факт)'!AG76</f>
        <v>709775.89999999991</v>
      </c>
      <c r="U16" s="52">
        <f t="shared" si="11"/>
        <v>1.6117769474544557E-2</v>
      </c>
      <c r="V16" s="53">
        <f t="shared" si="12"/>
        <v>1.6019299804945583E-2</v>
      </c>
      <c r="W16" s="51">
        <f>'Расходы помесячно (План-Факт)'!AL76</f>
        <v>639602.74</v>
      </c>
      <c r="X16" s="52">
        <f t="shared" si="13"/>
        <v>1.2681251087813867E-2</v>
      </c>
      <c r="Y16" s="53">
        <f t="shared" si="14"/>
        <v>1.4524259725650111E-2</v>
      </c>
      <c r="Z16" s="51">
        <f>'Расходы помесячно (План-Факт)'!AQ76</f>
        <v>550284.22</v>
      </c>
      <c r="AA16" s="52">
        <f t="shared" si="15"/>
        <v>1.4265830500872954E-2</v>
      </c>
      <c r="AB16" s="53">
        <f t="shared" si="16"/>
        <v>1.0910354079286472E-2</v>
      </c>
      <c r="AC16" s="51">
        <f>'Расходы помесячно (План-Факт)'!AV76</f>
        <v>0</v>
      </c>
      <c r="AD16" s="52" t="e">
        <f t="shared" si="17"/>
        <v>#DIV/0!</v>
      </c>
      <c r="AE16" s="53">
        <f t="shared" si="18"/>
        <v>0</v>
      </c>
      <c r="AF16" s="51">
        <f>'Расходы помесячно (План-Факт)'!BA76</f>
        <v>0</v>
      </c>
      <c r="AG16" s="52" t="e">
        <f t="shared" si="19"/>
        <v>#DIV/0!</v>
      </c>
      <c r="AH16" s="53" t="e">
        <f t="shared" si="20"/>
        <v>#DIV/0!</v>
      </c>
      <c r="AI16" s="51">
        <f>'Расходы помесячно (План-Факт)'!BF76</f>
        <v>0</v>
      </c>
      <c r="AJ16" s="52" t="e">
        <f t="shared" si="21"/>
        <v>#DIV/0!</v>
      </c>
      <c r="AK16" s="53" t="e">
        <f t="shared" si="22"/>
        <v>#DIV/0!</v>
      </c>
      <c r="AL16" s="51">
        <f t="shared" si="24"/>
        <v>5105458.3599999994</v>
      </c>
      <c r="AM16" s="52">
        <f t="shared" si="23"/>
        <v>1.3857749469339259E-2</v>
      </c>
      <c r="AN16" s="53"/>
      <c r="AO16" s="53"/>
      <c r="AP16" s="54"/>
      <c r="AS16" s="52">
        <v>2.0741825617225214E-2</v>
      </c>
      <c r="AT16" s="55">
        <f>SUM(AT17:AT18)</f>
        <v>0</v>
      </c>
    </row>
    <row r="17" spans="1:46" outlineLevel="1">
      <c r="A17" s="42" t="s">
        <v>25</v>
      </c>
      <c r="B17" s="57">
        <f>'Расходы помесячно (План-Факт)'!C77</f>
        <v>172009.38</v>
      </c>
      <c r="C17" s="46">
        <f t="shared" si="0"/>
        <v>9.4240149917295297E-3</v>
      </c>
      <c r="D17" s="47"/>
      <c r="E17" s="57">
        <f>'Расходы помесячно (План-Факт)'!H77</f>
        <v>238457.75</v>
      </c>
      <c r="F17" s="46">
        <f t="shared" si="1"/>
        <v>9.5166224093121629E-3</v>
      </c>
      <c r="G17" s="47">
        <f t="shared" si="2"/>
        <v>1.3064574797572621E-2</v>
      </c>
      <c r="H17" s="57">
        <f>'Расходы помесячно (План-Факт)'!M77</f>
        <v>343614.12</v>
      </c>
      <c r="I17" s="46">
        <f t="shared" si="3"/>
        <v>1.0351770698825374E-2</v>
      </c>
      <c r="J17" s="47">
        <f t="shared" si="4"/>
        <v>1.3713313299937111E-2</v>
      </c>
      <c r="K17" s="57">
        <f>'Расходы помесячно (План-Факт)'!R77</f>
        <v>493329</v>
      </c>
      <c r="L17" s="46">
        <f t="shared" si="5"/>
        <v>8.5329160728396785E-3</v>
      </c>
      <c r="M17" s="47">
        <f t="shared" si="6"/>
        <v>1.4862103708313335E-2</v>
      </c>
      <c r="N17" s="57">
        <f>'Расходы помесячно (План-Факт)'!W77</f>
        <v>506743</v>
      </c>
      <c r="O17" s="46">
        <f t="shared" si="7"/>
        <v>8.929965281415481E-3</v>
      </c>
      <c r="P17" s="47">
        <f t="shared" si="8"/>
        <v>8.7649327112312419E-3</v>
      </c>
      <c r="Q17" s="57">
        <f>'Расходы помесячно (План-Факт)'!AB77</f>
        <v>484814</v>
      </c>
      <c r="R17" s="46">
        <f t="shared" si="9"/>
        <v>1.0942018199878143E-2</v>
      </c>
      <c r="S17" s="47">
        <f t="shared" si="10"/>
        <v>8.5435263791392574E-3</v>
      </c>
      <c r="T17" s="57">
        <f>'Расходы помесячно (План-Факт)'!AG77</f>
        <v>510247.5</v>
      </c>
      <c r="U17" s="46">
        <f t="shared" si="11"/>
        <v>1.1586828434105294E-2</v>
      </c>
      <c r="V17" s="47">
        <f t="shared" si="12"/>
        <v>1.1516040030696974E-2</v>
      </c>
      <c r="W17" s="57">
        <f>'Расходы помесячно (План-Факт)'!AL77</f>
        <v>435177.51</v>
      </c>
      <c r="X17" s="46">
        <f t="shared" si="13"/>
        <v>8.6281607737947307E-3</v>
      </c>
      <c r="Y17" s="47">
        <f t="shared" si="14"/>
        <v>9.8821202391998798E-3</v>
      </c>
      <c r="Z17" s="57">
        <f>'Расходы помесячно (План-Факт)'!AQ77</f>
        <v>369352</v>
      </c>
      <c r="AA17" s="46">
        <f t="shared" si="15"/>
        <v>9.5752573591124015E-3</v>
      </c>
      <c r="AB17" s="47">
        <f t="shared" si="16"/>
        <v>7.3230540753878373E-3</v>
      </c>
      <c r="AC17" s="57">
        <f>'Расходы помесячно (План-Факт)'!AV77</f>
        <v>0</v>
      </c>
      <c r="AD17" s="46" t="e">
        <f t="shared" si="17"/>
        <v>#DIV/0!</v>
      </c>
      <c r="AE17" s="47">
        <f t="shared" si="18"/>
        <v>0</v>
      </c>
      <c r="AF17" s="57">
        <f>'Расходы помесячно (План-Факт)'!BA77</f>
        <v>0</v>
      </c>
      <c r="AG17" s="46" t="e">
        <f t="shared" si="19"/>
        <v>#DIV/0!</v>
      </c>
      <c r="AH17" s="47" t="e">
        <f t="shared" si="20"/>
        <v>#DIV/0!</v>
      </c>
      <c r="AI17" s="57">
        <f>'Расходы помесячно (План-Факт)'!BF77</f>
        <v>0</v>
      </c>
      <c r="AJ17" s="46" t="e">
        <f t="shared" si="21"/>
        <v>#DIV/0!</v>
      </c>
      <c r="AK17" s="47" t="e">
        <f t="shared" si="22"/>
        <v>#DIV/0!</v>
      </c>
      <c r="AL17" s="57">
        <f t="shared" si="24"/>
        <v>3553744.26</v>
      </c>
      <c r="AM17" s="46">
        <f t="shared" si="23"/>
        <v>9.6459307197605745E-3</v>
      </c>
      <c r="AN17" s="47"/>
      <c r="AO17" s="47"/>
      <c r="AP17" s="48"/>
      <c r="AS17" s="46">
        <v>0</v>
      </c>
      <c r="AT17" s="49">
        <f>ROUND($AT$5*AS17,0)</f>
        <v>0</v>
      </c>
    </row>
    <row r="18" spans="1:46" outlineLevel="1">
      <c r="A18" s="42" t="s">
        <v>26</v>
      </c>
      <c r="B18" s="57">
        <f>'Расходы помесячно (План-Факт)'!C78</f>
        <v>96158.080000000002</v>
      </c>
      <c r="C18" s="46">
        <f t="shared" si="0"/>
        <v>5.2682893659399708E-3</v>
      </c>
      <c r="D18" s="47"/>
      <c r="E18" s="57">
        <f>'Расходы помесячно (План-Факт)'!H78</f>
        <v>134573.07</v>
      </c>
      <c r="F18" s="46">
        <f t="shared" si="1"/>
        <v>5.370683459237263E-3</v>
      </c>
      <c r="G18" s="47">
        <f t="shared" si="2"/>
        <v>7.3729620394135916E-3</v>
      </c>
      <c r="H18" s="57">
        <f>'Расходы помесячно (План-Факт)'!M78</f>
        <v>132162.43</v>
      </c>
      <c r="I18" s="46">
        <f t="shared" si="3"/>
        <v>3.9815452588489661E-3</v>
      </c>
      <c r="J18" s="47">
        <f t="shared" si="4"/>
        <v>5.2744771055130311E-3</v>
      </c>
      <c r="K18" s="57">
        <f>'Расходы помесячно (План-Факт)'!R78</f>
        <v>197136.62</v>
      </c>
      <c r="L18" s="46">
        <f t="shared" si="5"/>
        <v>3.4097939373993582E-3</v>
      </c>
      <c r="M18" s="47">
        <f t="shared" si="6"/>
        <v>5.9389674864975634E-3</v>
      </c>
      <c r="N18" s="57">
        <f>'Расходы помесячно (План-Факт)'!W78</f>
        <v>216522.33</v>
      </c>
      <c r="O18" s="46">
        <f t="shared" si="7"/>
        <v>3.8156163766469107E-3</v>
      </c>
      <c r="P18" s="47">
        <f t="shared" si="8"/>
        <v>3.7451008754516698E-3</v>
      </c>
      <c r="Q18" s="57">
        <f>'Расходы помесячно (План-Факт)'!AB78</f>
        <v>190275.72</v>
      </c>
      <c r="R18" s="46">
        <f t="shared" si="9"/>
        <v>4.2944312483445563E-3</v>
      </c>
      <c r="S18" s="47">
        <f t="shared" si="10"/>
        <v>3.353091356952801E-3</v>
      </c>
      <c r="T18" s="57">
        <f>'Расходы помесячно (План-Факт)'!AG78</f>
        <v>199528.39999999997</v>
      </c>
      <c r="U18" s="46">
        <f t="shared" si="11"/>
        <v>4.5309410404392658E-3</v>
      </c>
      <c r="V18" s="47">
        <f t="shared" si="12"/>
        <v>4.5032597742486104E-3</v>
      </c>
      <c r="W18" s="57">
        <f>'Расходы помесячно (План-Факт)'!AL78</f>
        <v>204425.23</v>
      </c>
      <c r="X18" s="46">
        <f t="shared" si="13"/>
        <v>4.0530903140191367E-3</v>
      </c>
      <c r="Y18" s="47">
        <f t="shared" si="14"/>
        <v>4.6421394864502316E-3</v>
      </c>
      <c r="Z18" s="57">
        <f>'Расходы помесячно (План-Факт)'!AQ78</f>
        <v>180932.22</v>
      </c>
      <c r="AA18" s="46">
        <f t="shared" si="15"/>
        <v>4.6905731417605538E-3</v>
      </c>
      <c r="AB18" s="47">
        <f t="shared" si="16"/>
        <v>3.5873000038986356E-3</v>
      </c>
      <c r="AC18" s="57">
        <f>'Расходы помесячно (План-Факт)'!AV78</f>
        <v>0</v>
      </c>
      <c r="AD18" s="46" t="e">
        <f t="shared" si="17"/>
        <v>#DIV/0!</v>
      </c>
      <c r="AE18" s="47">
        <f t="shared" si="18"/>
        <v>0</v>
      </c>
      <c r="AF18" s="57">
        <f>'Расходы помесячно (План-Факт)'!BA78</f>
        <v>0</v>
      </c>
      <c r="AG18" s="46" t="e">
        <f t="shared" si="19"/>
        <v>#DIV/0!</v>
      </c>
      <c r="AH18" s="47" t="e">
        <f t="shared" si="20"/>
        <v>#DIV/0!</v>
      </c>
      <c r="AI18" s="57">
        <f>'Расходы помесячно (План-Факт)'!BF78</f>
        <v>0</v>
      </c>
      <c r="AJ18" s="46" t="e">
        <f t="shared" si="21"/>
        <v>#DIV/0!</v>
      </c>
      <c r="AK18" s="47" t="e">
        <f t="shared" si="22"/>
        <v>#DIV/0!</v>
      </c>
      <c r="AL18" s="57">
        <f t="shared" si="24"/>
        <v>1551714.0999999999</v>
      </c>
      <c r="AM18" s="46">
        <f t="shared" si="23"/>
        <v>4.2118187495786856E-3</v>
      </c>
      <c r="AN18" s="47"/>
      <c r="AO18" s="47"/>
      <c r="AP18" s="48"/>
      <c r="AS18" s="46">
        <v>0</v>
      </c>
      <c r="AT18" s="49">
        <f>ROUND($AT$5*AS18,0)</f>
        <v>0</v>
      </c>
    </row>
    <row r="19" spans="1:46">
      <c r="A19" s="60" t="s">
        <v>34</v>
      </c>
      <c r="B19" s="51">
        <f>'Расходы помесячно (План-Факт)'!C84</f>
        <v>1783616.71</v>
      </c>
      <c r="C19" s="52">
        <f t="shared" si="0"/>
        <v>9.7720430214557494E-2</v>
      </c>
      <c r="D19" s="53"/>
      <c r="E19" s="51">
        <f>'Расходы помесячно (План-Факт)'!H84</f>
        <v>2742196.25</v>
      </c>
      <c r="F19" s="52">
        <f t="shared" si="1"/>
        <v>0.1094384488802808</v>
      </c>
      <c r="G19" s="53">
        <f t="shared" si="2"/>
        <v>0.15023889145036448</v>
      </c>
      <c r="H19" s="51">
        <f>'Расходы помесячно (План-Факт)'!M84</f>
        <v>3735160.79</v>
      </c>
      <c r="I19" s="52">
        <f t="shared" si="3"/>
        <v>0.11252601616407218</v>
      </c>
      <c r="J19" s="53">
        <f t="shared" si="4"/>
        <v>0.14906672094531681</v>
      </c>
      <c r="K19" s="51">
        <f>'Расходы помесячно (План-Факт)'!R84</f>
        <v>4087812.34</v>
      </c>
      <c r="L19" s="52">
        <f t="shared" si="5"/>
        <v>7.0705268935615739E-2</v>
      </c>
      <c r="M19" s="53">
        <f t="shared" si="6"/>
        <v>0.1231500498393628</v>
      </c>
      <c r="N19" s="51">
        <f>'Расходы помесячно (План-Факт)'!W84</f>
        <v>3302961.75</v>
      </c>
      <c r="O19" s="52">
        <f t="shared" si="7"/>
        <v>5.8205705364145766E-2</v>
      </c>
      <c r="P19" s="53">
        <f t="shared" si="8"/>
        <v>5.7130019529664122E-2</v>
      </c>
      <c r="Q19" s="51">
        <f>'Расходы помесячно (План-Факт)'!AB84</f>
        <v>3632802.13</v>
      </c>
      <c r="R19" s="52">
        <f t="shared" si="9"/>
        <v>8.199059231584914E-2</v>
      </c>
      <c r="S19" s="53">
        <f t="shared" si="10"/>
        <v>6.4018243755024157E-2</v>
      </c>
      <c r="T19" s="51">
        <f>'Расходы помесячно (План-Факт)'!AG84</f>
        <v>3286050.29</v>
      </c>
      <c r="U19" s="52">
        <f t="shared" si="11"/>
        <v>7.4620455633926566E-2</v>
      </c>
      <c r="V19" s="53">
        <f t="shared" si="12"/>
        <v>7.4164570492796927E-2</v>
      </c>
      <c r="W19" s="51">
        <f>'Расходы помесячно (План-Факт)'!AL84</f>
        <v>3778105.9600000004</v>
      </c>
      <c r="X19" s="52">
        <f t="shared" si="13"/>
        <v>7.4907606423208969E-2</v>
      </c>
      <c r="Y19" s="53">
        <f t="shared" si="14"/>
        <v>8.5794179421536956E-2</v>
      </c>
      <c r="Z19" s="51">
        <f>'Расходы помесячно (План-Факт)'!AQ84</f>
        <v>2858814.1899999995</v>
      </c>
      <c r="AA19" s="52">
        <f t="shared" si="15"/>
        <v>7.4113262175736036E-2</v>
      </c>
      <c r="AB19" s="53">
        <f t="shared" si="16"/>
        <v>5.6681027596590994E-2</v>
      </c>
      <c r="AC19" s="51">
        <f>'Расходы помесячно (План-Факт)'!AV84</f>
        <v>0</v>
      </c>
      <c r="AD19" s="52" t="e">
        <f t="shared" si="17"/>
        <v>#DIV/0!</v>
      </c>
      <c r="AE19" s="53">
        <f t="shared" si="18"/>
        <v>0</v>
      </c>
      <c r="AF19" s="51">
        <f>'Расходы помесячно (План-Факт)'!BA84</f>
        <v>0</v>
      </c>
      <c r="AG19" s="52" t="e">
        <f t="shared" si="19"/>
        <v>#DIV/0!</v>
      </c>
      <c r="AH19" s="53" t="e">
        <f t="shared" si="20"/>
        <v>#DIV/0!</v>
      </c>
      <c r="AI19" s="51">
        <f>'Расходы помесячно (План-Факт)'!BF84</f>
        <v>0</v>
      </c>
      <c r="AJ19" s="52" t="e">
        <f t="shared" si="21"/>
        <v>#DIV/0!</v>
      </c>
      <c r="AK19" s="53" t="e">
        <f t="shared" si="22"/>
        <v>#DIV/0!</v>
      </c>
      <c r="AL19" s="51">
        <f t="shared" si="24"/>
        <v>29207520.409999996</v>
      </c>
      <c r="AM19" s="52">
        <f t="shared" si="23"/>
        <v>7.9277994632864474E-2</v>
      </c>
      <c r="AN19" s="53" t="e">
        <f t="shared" ref="AN19:AN48" si="25">AL19/AL$51</f>
        <v>#REF!</v>
      </c>
      <c r="AO19" s="61">
        <f t="shared" ref="AO19:AO48" si="26">AL19/(AL$4/1000)</f>
        <v>8262.4987848484543</v>
      </c>
      <c r="AP19" s="62"/>
      <c r="AS19" s="52">
        <v>6.4509200403495906E-2</v>
      </c>
      <c r="AT19" s="55">
        <f>SUM(AT20:AT22)</f>
        <v>863858</v>
      </c>
    </row>
    <row r="20" spans="1:46">
      <c r="A20" s="42" t="s">
        <v>35</v>
      </c>
      <c r="B20" s="57">
        <f>'Расходы помесячно (План-Факт)'!C86</f>
        <v>650003.25</v>
      </c>
      <c r="C20" s="46">
        <f t="shared" si="0"/>
        <v>3.5612246103514343E-2</v>
      </c>
      <c r="D20" s="47"/>
      <c r="E20" s="57">
        <f>'Расходы помесячно (План-Факт)'!H86</f>
        <v>913463.94</v>
      </c>
      <c r="F20" s="46">
        <f t="shared" si="1"/>
        <v>3.6455478597372408E-2</v>
      </c>
      <c r="G20" s="47">
        <f t="shared" si="2"/>
        <v>5.0046676901947577E-2</v>
      </c>
      <c r="H20" s="57">
        <f>'Расходы помесячно (План-Факт)'!M86</f>
        <v>1037013.5</v>
      </c>
      <c r="I20" s="46">
        <f t="shared" si="3"/>
        <v>3.1241224788976504E-2</v>
      </c>
      <c r="J20" s="47">
        <f t="shared" si="4"/>
        <v>4.1386224238294786E-2</v>
      </c>
      <c r="K20" s="57">
        <f>'Расходы помесячно (План-Факт)'!R86</f>
        <v>1160407.0399999998</v>
      </c>
      <c r="L20" s="46">
        <f t="shared" si="5"/>
        <v>2.0071100386663491E-2</v>
      </c>
      <c r="M20" s="47">
        <f t="shared" si="6"/>
        <v>3.4958597147820007E-2</v>
      </c>
      <c r="N20" s="57">
        <f>'Расходы помесячно (План-Факт)'!W86</f>
        <v>1114341.1499999999</v>
      </c>
      <c r="O20" s="46">
        <f t="shared" si="7"/>
        <v>1.9637227906754703E-2</v>
      </c>
      <c r="P20" s="47">
        <f t="shared" si="8"/>
        <v>1.9274316955746874E-2</v>
      </c>
      <c r="Q20" s="57">
        <f>'Расходы помесячно (План-Факт)'!AB86</f>
        <v>1162752</v>
      </c>
      <c r="R20" s="46">
        <f t="shared" si="9"/>
        <v>2.624275195424371E-2</v>
      </c>
      <c r="S20" s="47">
        <f t="shared" si="10"/>
        <v>2.0490337293058637E-2</v>
      </c>
      <c r="T20" s="57">
        <f>'Расходы помесячно (План-Факт)'!AG86</f>
        <v>1128559.7</v>
      </c>
      <c r="U20" s="46">
        <f t="shared" si="11"/>
        <v>2.5627617228002761E-2</v>
      </c>
      <c r="V20" s="47">
        <f t="shared" si="12"/>
        <v>2.5471048230969025E-2</v>
      </c>
      <c r="W20" s="57">
        <f>'Расходы помесячно (План-Факт)'!AL86</f>
        <v>1099122.02</v>
      </c>
      <c r="X20" s="46">
        <f t="shared" si="13"/>
        <v>2.1792030333961945E-2</v>
      </c>
      <c r="Y20" s="47">
        <f t="shared" si="14"/>
        <v>2.4959138994090607E-2</v>
      </c>
      <c r="Z20" s="57">
        <f>'Расходы помесячно (План-Факт)'!AQ86</f>
        <v>938544</v>
      </c>
      <c r="AA20" s="46">
        <f t="shared" si="15"/>
        <v>2.4331262164143663E-2</v>
      </c>
      <c r="AB20" s="47">
        <f t="shared" si="16"/>
        <v>1.860828820239447E-2</v>
      </c>
      <c r="AC20" s="57">
        <f>'Расходы помесячно (План-Факт)'!AV86</f>
        <v>0</v>
      </c>
      <c r="AD20" s="46" t="e">
        <f t="shared" si="17"/>
        <v>#DIV/0!</v>
      </c>
      <c r="AE20" s="47">
        <f t="shared" si="18"/>
        <v>0</v>
      </c>
      <c r="AF20" s="57">
        <f>'Расходы помесячно (План-Факт)'!BA86</f>
        <v>0</v>
      </c>
      <c r="AG20" s="46" t="e">
        <f t="shared" si="19"/>
        <v>#DIV/0!</v>
      </c>
      <c r="AH20" s="47" t="e">
        <f t="shared" si="20"/>
        <v>#DIV/0!</v>
      </c>
      <c r="AI20" s="57">
        <f>'Расходы помесячно (План-Факт)'!BF86</f>
        <v>0</v>
      </c>
      <c r="AJ20" s="46" t="e">
        <f t="shared" si="21"/>
        <v>#DIV/0!</v>
      </c>
      <c r="AK20" s="47" t="e">
        <f t="shared" si="22"/>
        <v>#DIV/0!</v>
      </c>
      <c r="AL20" s="57">
        <f t="shared" si="24"/>
        <v>9204206.5999999996</v>
      </c>
      <c r="AM20" s="46">
        <f t="shared" si="23"/>
        <v>2.4982984902229017E-2</v>
      </c>
      <c r="AN20" s="47" t="e">
        <f t="shared" si="25"/>
        <v>#REF!</v>
      </c>
      <c r="AO20" s="63">
        <f t="shared" si="26"/>
        <v>2603.7727537444912</v>
      </c>
      <c r="AP20" s="64"/>
      <c r="AS20" s="46">
        <v>3.3599999999999998E-2</v>
      </c>
      <c r="AT20" s="49">
        <f>ROUND($AT$5*AS20,0)</f>
        <v>550771</v>
      </c>
    </row>
    <row r="21" spans="1:46">
      <c r="A21" s="42" t="s">
        <v>36</v>
      </c>
      <c r="B21" s="57">
        <f>'Расходы помесячно (План-Факт)'!C92</f>
        <v>365985.41000000003</v>
      </c>
      <c r="C21" s="46">
        <f t="shared" si="0"/>
        <v>2.0051534344198433E-2</v>
      </c>
      <c r="D21" s="47"/>
      <c r="E21" s="57">
        <f>'Расходы помесячно (План-Факт)'!H92</f>
        <v>641682.03</v>
      </c>
      <c r="F21" s="46">
        <f t="shared" si="1"/>
        <v>2.56089206006134E-2</v>
      </c>
      <c r="G21" s="47">
        <f t="shared" si="2"/>
        <v>3.5156344791449384E-2</v>
      </c>
      <c r="H21" s="57">
        <f>'Расходы помесячно (План-Факт)'!M92</f>
        <v>529144.46000000008</v>
      </c>
      <c r="I21" s="46">
        <f t="shared" si="3"/>
        <v>1.594108564710256E-2</v>
      </c>
      <c r="J21" s="47">
        <f t="shared" si="4"/>
        <v>2.1117653025743068E-2</v>
      </c>
      <c r="K21" s="57">
        <f>'Расходы помесячно (План-Факт)'!R92</f>
        <v>513803.25</v>
      </c>
      <c r="L21" s="46">
        <f t="shared" si="5"/>
        <v>8.8870510555881851E-3</v>
      </c>
      <c r="M21" s="47">
        <f t="shared" si="6"/>
        <v>1.547891404553238E-2</v>
      </c>
      <c r="N21" s="57">
        <f>'Расходы помесячно (План-Факт)'!W92</f>
        <v>364514.56000000006</v>
      </c>
      <c r="O21" s="46">
        <f t="shared" si="7"/>
        <v>6.423576379684456E-3</v>
      </c>
      <c r="P21" s="47">
        <f t="shared" si="8"/>
        <v>6.3048637882793914E-3</v>
      </c>
      <c r="Q21" s="57">
        <f>'Расходы помесячно (План-Факт)'!AB92</f>
        <v>507037</v>
      </c>
      <c r="R21" s="46">
        <f t="shared" si="9"/>
        <v>1.1443580593818689E-2</v>
      </c>
      <c r="S21" s="47">
        <f t="shared" si="10"/>
        <v>8.9351462307186505E-3</v>
      </c>
      <c r="T21" s="57">
        <f>'Расходы помесячно (План-Факт)'!AG92</f>
        <v>519491.26</v>
      </c>
      <c r="U21" s="46">
        <f t="shared" si="11"/>
        <v>1.1796738058760085E-2</v>
      </c>
      <c r="V21" s="47">
        <f t="shared" si="12"/>
        <v>1.1724667236502305E-2</v>
      </c>
      <c r="W21" s="57">
        <f>'Расходы помесячно (План-Факт)'!AL92</f>
        <v>502201.41000000003</v>
      </c>
      <c r="X21" s="46">
        <f t="shared" si="13"/>
        <v>9.957027665116254E-3</v>
      </c>
      <c r="Y21" s="47">
        <f t="shared" si="14"/>
        <v>1.1404115800735469E-2</v>
      </c>
      <c r="Z21" s="57">
        <f>'Расходы помесячно (План-Факт)'!AQ92</f>
        <v>351126.73</v>
      </c>
      <c r="AA21" s="46">
        <f t="shared" si="15"/>
        <v>9.1027767696224005E-3</v>
      </c>
      <c r="AB21" s="47">
        <f t="shared" si="16"/>
        <v>6.9617059907733135E-3</v>
      </c>
      <c r="AC21" s="57">
        <f>'Расходы помесячно (План-Факт)'!AV92</f>
        <v>0</v>
      </c>
      <c r="AD21" s="46" t="e">
        <f t="shared" si="17"/>
        <v>#DIV/0!</v>
      </c>
      <c r="AE21" s="47">
        <f t="shared" si="18"/>
        <v>0</v>
      </c>
      <c r="AF21" s="57">
        <f>'Расходы помесячно (План-Факт)'!BA92</f>
        <v>0</v>
      </c>
      <c r="AG21" s="46" t="e">
        <f t="shared" si="19"/>
        <v>#DIV/0!</v>
      </c>
      <c r="AH21" s="47" t="e">
        <f t="shared" si="20"/>
        <v>#DIV/0!</v>
      </c>
      <c r="AI21" s="57">
        <f>'Расходы помесячно (План-Факт)'!BF92</f>
        <v>0</v>
      </c>
      <c r="AJ21" s="46" t="e">
        <f t="shared" si="21"/>
        <v>#DIV/0!</v>
      </c>
      <c r="AK21" s="47" t="e">
        <f t="shared" si="22"/>
        <v>#DIV/0!</v>
      </c>
      <c r="AL21" s="57">
        <f t="shared" si="24"/>
        <v>4294986.1099999994</v>
      </c>
      <c r="AM21" s="46">
        <f t="shared" si="23"/>
        <v>1.1657884031135646E-2</v>
      </c>
      <c r="AN21" s="47" t="e">
        <f t="shared" si="25"/>
        <v>#REF!</v>
      </c>
      <c r="AO21" s="63">
        <f t="shared" si="26"/>
        <v>1215.0061702145015</v>
      </c>
      <c r="AP21" s="64"/>
      <c r="AS21" s="46">
        <v>1.44E-2</v>
      </c>
      <c r="AT21" s="49">
        <f>ROUND($AT$5*AS21,0)</f>
        <v>236045</v>
      </c>
    </row>
    <row r="22" spans="1:46">
      <c r="A22" s="42" t="s">
        <v>37</v>
      </c>
      <c r="B22" s="57">
        <f>'Расходы помесячно (План-Факт)'!C98</f>
        <v>269020.78999999998</v>
      </c>
      <c r="C22" s="46">
        <f t="shared" si="0"/>
        <v>1.4739056428474548E-2</v>
      </c>
      <c r="D22" s="47"/>
      <c r="E22" s="57">
        <f>'Расходы помесячно (План-Факт)'!H98</f>
        <v>234786.84</v>
      </c>
      <c r="F22" s="46">
        <f t="shared" si="1"/>
        <v>9.3701198763956692E-3</v>
      </c>
      <c r="G22" s="47">
        <f t="shared" si="2"/>
        <v>1.2863453725725902E-2</v>
      </c>
      <c r="H22" s="57">
        <f>'Расходы помесячно (План-Факт)'!M98</f>
        <v>503503.44999999995</v>
      </c>
      <c r="I22" s="46">
        <f t="shared" si="3"/>
        <v>1.5168620720439214E-2</v>
      </c>
      <c r="J22" s="47">
        <f t="shared" si="4"/>
        <v>2.0094344660368496E-2</v>
      </c>
      <c r="K22" s="57">
        <f>'Расходы помесячно (План-Факт)'!R98</f>
        <v>679591.84000000008</v>
      </c>
      <c r="L22" s="46">
        <f t="shared" si="5"/>
        <v>1.1754630549808935E-2</v>
      </c>
      <c r="M22" s="47">
        <f t="shared" si="6"/>
        <v>2.0473486061844091E-2</v>
      </c>
      <c r="N22" s="57">
        <f>'Расходы помесячно (План-Факт)'!W98</f>
        <v>214090.32</v>
      </c>
      <c r="O22" s="46">
        <f t="shared" si="7"/>
        <v>3.7727588238754758E-3</v>
      </c>
      <c r="P22" s="47">
        <f t="shared" si="8"/>
        <v>3.7030353629472221E-3</v>
      </c>
      <c r="Q22" s="57">
        <f>'Расходы помесячно (План-Факт)'!AB98</f>
        <v>196614.56</v>
      </c>
      <c r="R22" s="46">
        <f t="shared" si="9"/>
        <v>4.437495810519154E-3</v>
      </c>
      <c r="S22" s="47">
        <f t="shared" si="10"/>
        <v>3.4647961483844488E-3</v>
      </c>
      <c r="T22" s="57">
        <f>'Расходы помесячно (План-Факт)'!AG98</f>
        <v>313271.03999999998</v>
      </c>
      <c r="U22" s="46">
        <f t="shared" si="11"/>
        <v>7.1138374883830619E-3</v>
      </c>
      <c r="V22" s="47">
        <f t="shared" si="12"/>
        <v>7.0703763116880978E-3</v>
      </c>
      <c r="W22" s="57">
        <f>'Расходы помесячно (План-Факт)'!AL98</f>
        <v>276927.06</v>
      </c>
      <c r="X22" s="46">
        <f t="shared" si="13"/>
        <v>5.4905668178815122E-3</v>
      </c>
      <c r="Y22" s="47">
        <f t="shared" si="14"/>
        <v>6.2885292588031935E-3</v>
      </c>
      <c r="Z22" s="57">
        <f>'Расходы помесячно (План-Факт)'!AQ98</f>
        <v>275120.94</v>
      </c>
      <c r="AA22" s="46">
        <f t="shared" si="15"/>
        <v>7.132366429262388E-3</v>
      </c>
      <c r="AB22" s="47">
        <f t="shared" si="16"/>
        <v>5.4547573070987372E-3</v>
      </c>
      <c r="AC22" s="57">
        <f>'Расходы помесячно (План-Факт)'!AV98</f>
        <v>0</v>
      </c>
      <c r="AD22" s="46" t="e">
        <f t="shared" si="17"/>
        <v>#DIV/0!</v>
      </c>
      <c r="AE22" s="47">
        <f t="shared" si="18"/>
        <v>0</v>
      </c>
      <c r="AF22" s="57">
        <f>'Расходы помесячно (План-Факт)'!BA98</f>
        <v>0</v>
      </c>
      <c r="AG22" s="46" t="e">
        <f t="shared" si="19"/>
        <v>#DIV/0!</v>
      </c>
      <c r="AH22" s="47" t="e">
        <f t="shared" si="20"/>
        <v>#DIV/0!</v>
      </c>
      <c r="AI22" s="57">
        <f>'Расходы помесячно (План-Факт)'!BF98</f>
        <v>0</v>
      </c>
      <c r="AJ22" s="46" t="e">
        <f t="shared" si="21"/>
        <v>#DIV/0!</v>
      </c>
      <c r="AK22" s="47" t="e">
        <f t="shared" si="22"/>
        <v>#DIV/0!</v>
      </c>
      <c r="AL22" s="57">
        <f t="shared" si="24"/>
        <v>2962926.84</v>
      </c>
      <c r="AM22" s="46">
        <f t="shared" si="23"/>
        <v>8.0422745519563976E-3</v>
      </c>
      <c r="AN22" s="47" t="e">
        <f t="shared" si="25"/>
        <v>#REF!</v>
      </c>
      <c r="AO22" s="63">
        <f t="shared" si="26"/>
        <v>838.18068331172219</v>
      </c>
      <c r="AP22" s="64"/>
      <c r="AS22" s="46">
        <v>4.7000000000000002E-3</v>
      </c>
      <c r="AT22" s="49">
        <f>ROUND($AT$5*AS22,0)</f>
        <v>77042</v>
      </c>
    </row>
    <row r="23" spans="1:46">
      <c r="A23" s="65" t="s">
        <v>38</v>
      </c>
      <c r="B23" s="66" t="e">
        <f>NA()</f>
        <v>#N/A</v>
      </c>
      <c r="C23" s="67" t="e">
        <f t="shared" si="0"/>
        <v>#N/A</v>
      </c>
      <c r="D23" s="68"/>
      <c r="E23" s="66" t="e">
        <f>NA()</f>
        <v>#N/A</v>
      </c>
      <c r="F23" s="67" t="e">
        <f t="shared" si="1"/>
        <v>#N/A</v>
      </c>
      <c r="G23" s="68" t="e">
        <f t="shared" si="2"/>
        <v>#N/A</v>
      </c>
      <c r="H23" s="66" t="e">
        <f>NA()</f>
        <v>#N/A</v>
      </c>
      <c r="I23" s="67" t="e">
        <f t="shared" si="3"/>
        <v>#N/A</v>
      </c>
      <c r="J23" s="68" t="e">
        <f t="shared" si="4"/>
        <v>#N/A</v>
      </c>
      <c r="K23" s="66" t="e">
        <f>NA()</f>
        <v>#N/A</v>
      </c>
      <c r="L23" s="67" t="e">
        <f t="shared" si="5"/>
        <v>#N/A</v>
      </c>
      <c r="M23" s="68" t="e">
        <f t="shared" si="6"/>
        <v>#N/A</v>
      </c>
      <c r="N23" s="66" t="e">
        <f>NA()</f>
        <v>#N/A</v>
      </c>
      <c r="O23" s="67" t="e">
        <f t="shared" si="7"/>
        <v>#N/A</v>
      </c>
      <c r="P23" s="68" t="e">
        <f t="shared" si="8"/>
        <v>#N/A</v>
      </c>
      <c r="Q23" s="66" t="e">
        <f>NA()</f>
        <v>#N/A</v>
      </c>
      <c r="R23" s="67" t="e">
        <f t="shared" si="9"/>
        <v>#N/A</v>
      </c>
      <c r="S23" s="68" t="e">
        <f t="shared" si="10"/>
        <v>#N/A</v>
      </c>
      <c r="T23" s="66" t="e">
        <f>NA()</f>
        <v>#N/A</v>
      </c>
      <c r="U23" s="67" t="e">
        <f t="shared" si="11"/>
        <v>#N/A</v>
      </c>
      <c r="V23" s="68" t="e">
        <f t="shared" si="12"/>
        <v>#N/A</v>
      </c>
      <c r="W23" s="66" t="e">
        <f>NA()</f>
        <v>#N/A</v>
      </c>
      <c r="X23" s="67" t="e">
        <f t="shared" si="13"/>
        <v>#N/A</v>
      </c>
      <c r="Y23" s="68" t="e">
        <f t="shared" si="14"/>
        <v>#N/A</v>
      </c>
      <c r="Z23" s="66" t="e">
        <f>NA()</f>
        <v>#N/A</v>
      </c>
      <c r="AA23" s="67" t="e">
        <f t="shared" si="15"/>
        <v>#N/A</v>
      </c>
      <c r="AB23" s="68" t="e">
        <f t="shared" si="16"/>
        <v>#N/A</v>
      </c>
      <c r="AC23" s="66" t="e">
        <f>NA()</f>
        <v>#N/A</v>
      </c>
      <c r="AD23" s="67" t="e">
        <f t="shared" si="17"/>
        <v>#N/A</v>
      </c>
      <c r="AE23" s="68" t="e">
        <f t="shared" si="18"/>
        <v>#N/A</v>
      </c>
      <c r="AF23" s="66" t="e">
        <f>NA()</f>
        <v>#N/A</v>
      </c>
      <c r="AG23" s="67" t="e">
        <f t="shared" si="19"/>
        <v>#N/A</v>
      </c>
      <c r="AH23" s="68" t="e">
        <f t="shared" si="20"/>
        <v>#N/A</v>
      </c>
      <c r="AI23" s="66" t="e">
        <f>NA()</f>
        <v>#N/A</v>
      </c>
      <c r="AJ23" s="67" t="e">
        <f t="shared" si="21"/>
        <v>#N/A</v>
      </c>
      <c r="AK23" s="68" t="e">
        <f t="shared" si="22"/>
        <v>#N/A</v>
      </c>
      <c r="AL23" s="66" t="e">
        <f t="shared" si="24"/>
        <v>#N/A</v>
      </c>
      <c r="AM23" s="67" t="e">
        <f t="shared" si="23"/>
        <v>#N/A</v>
      </c>
      <c r="AN23" s="68" t="e">
        <f t="shared" si="25"/>
        <v>#N/A</v>
      </c>
      <c r="AO23" s="69" t="e">
        <f t="shared" si="26"/>
        <v>#N/A</v>
      </c>
      <c r="AP23" s="70"/>
      <c r="AS23" s="67"/>
      <c r="AT23" s="71">
        <f>SUM(AT24:AT34)</f>
        <v>191785</v>
      </c>
    </row>
    <row r="24" spans="1:46">
      <c r="A24" s="72" t="s">
        <v>39</v>
      </c>
      <c r="B24" s="43">
        <f>'Расходы помесячно (План-Факт)'!C111</f>
        <v>24455</v>
      </c>
      <c r="C24" s="44">
        <f t="shared" si="0"/>
        <v>1.3398355753781895E-3</v>
      </c>
      <c r="D24" s="45"/>
      <c r="E24" s="43">
        <f>'Расходы помесячно (План-Факт)'!H111</f>
        <v>15749.42</v>
      </c>
      <c r="F24" s="44">
        <f t="shared" si="1"/>
        <v>6.2854439960818701E-4</v>
      </c>
      <c r="G24" s="45">
        <f t="shared" si="2"/>
        <v>8.628760256623499E-4</v>
      </c>
      <c r="H24" s="43">
        <f>'Расходы помесячно (План-Факт)'!M111</f>
        <v>13753.44</v>
      </c>
      <c r="I24" s="44">
        <f t="shared" si="3"/>
        <v>4.1433820356408187E-4</v>
      </c>
      <c r="J24" s="45">
        <f t="shared" si="4"/>
        <v>5.4888673280331743E-4</v>
      </c>
      <c r="K24" s="43">
        <f>'Расходы помесячно (План-Факт)'!R111</f>
        <v>18676.52</v>
      </c>
      <c r="L24" s="44">
        <f t="shared" si="5"/>
        <v>3.2304035986676581E-4</v>
      </c>
      <c r="M24" s="45">
        <f t="shared" si="6"/>
        <v>5.6265165265043853E-4</v>
      </c>
      <c r="N24" s="43">
        <f>'Расходы помесячно (План-Факт)'!W111</f>
        <v>12545.04</v>
      </c>
      <c r="O24" s="44">
        <f t="shared" si="7"/>
        <v>2.2107216410284595E-4</v>
      </c>
      <c r="P24" s="45">
        <f t="shared" si="8"/>
        <v>2.1698658187622598E-4</v>
      </c>
      <c r="Q24" s="43">
        <f>'Расходы помесячно (План-Факт)'!AB111</f>
        <v>22523.919999999998</v>
      </c>
      <c r="R24" s="44">
        <f t="shared" si="9"/>
        <v>5.0835401323517742E-4</v>
      </c>
      <c r="S24" s="45">
        <f t="shared" si="10"/>
        <v>3.969227470362289E-4</v>
      </c>
      <c r="T24" s="43">
        <f>'Расходы помесячно (План-Факт)'!AG111</f>
        <v>19396.080000000002</v>
      </c>
      <c r="U24" s="44">
        <f t="shared" si="11"/>
        <v>4.404510580731528E-4</v>
      </c>
      <c r="V24" s="45">
        <f t="shared" si="12"/>
        <v>4.3776017269776135E-4</v>
      </c>
      <c r="W24" s="43">
        <f>'Расходы помесячно (План-Факт)'!AL111</f>
        <v>24250.12</v>
      </c>
      <c r="X24" s="44">
        <f t="shared" si="13"/>
        <v>4.8080134964652716E-4</v>
      </c>
      <c r="Y24" s="45">
        <f t="shared" si="14"/>
        <v>5.5067781801275938E-4</v>
      </c>
      <c r="Z24" s="43">
        <f>'Расходы помесячно (План-Факт)'!AQ111</f>
        <v>2624.4</v>
      </c>
      <c r="AA24" s="44">
        <f t="shared" si="15"/>
        <v>6.8036196942901586E-5</v>
      </c>
      <c r="AB24" s="45">
        <f t="shared" si="16"/>
        <v>5.203335331999784E-5</v>
      </c>
      <c r="AC24" s="43">
        <f>'Расходы помесячно (План-Факт)'!AV111</f>
        <v>0</v>
      </c>
      <c r="AD24" s="44" t="e">
        <f t="shared" si="17"/>
        <v>#DIV/0!</v>
      </c>
      <c r="AE24" s="45">
        <f t="shared" si="18"/>
        <v>0</v>
      </c>
      <c r="AF24" s="43">
        <f>'Расходы помесячно (План-Факт)'!BA111</f>
        <v>0</v>
      </c>
      <c r="AG24" s="44" t="e">
        <f t="shared" si="19"/>
        <v>#DIV/0!</v>
      </c>
      <c r="AH24" s="45" t="e">
        <f t="shared" si="20"/>
        <v>#DIV/0!</v>
      </c>
      <c r="AI24" s="43">
        <f>'Расходы помесячно (План-Факт)'!BF111</f>
        <v>0</v>
      </c>
      <c r="AJ24" s="44" t="e">
        <f t="shared" si="21"/>
        <v>#DIV/0!</v>
      </c>
      <c r="AK24" s="45" t="e">
        <f t="shared" si="22"/>
        <v>#DIV/0!</v>
      </c>
      <c r="AL24" s="57">
        <f t="shared" si="24"/>
        <v>153973.94</v>
      </c>
      <c r="AM24" s="46">
        <f t="shared" si="23"/>
        <v>4.1793158123555336E-4</v>
      </c>
      <c r="AN24" s="47" t="e">
        <f t="shared" si="25"/>
        <v>#REF!</v>
      </c>
      <c r="AO24" s="63">
        <f t="shared" si="26"/>
        <v>43.557600038952742</v>
      </c>
      <c r="AP24" s="64">
        <v>75</v>
      </c>
      <c r="AR24" s="1">
        <v>1.1000000000000001E-3</v>
      </c>
      <c r="AS24" s="46">
        <v>1.1000000000000001E-3</v>
      </c>
      <c r="AT24" s="49">
        <f t="shared" ref="AT24:AT34" si="27">ROUND($AT$5*AS24,0)</f>
        <v>18031</v>
      </c>
    </row>
    <row r="25" spans="1:46">
      <c r="A25" s="72" t="s">
        <v>40</v>
      </c>
      <c r="B25" s="43">
        <f>'Расходы помесячно (План-Факт)'!C133</f>
        <v>10080</v>
      </c>
      <c r="C25" s="44">
        <f t="shared" si="0"/>
        <v>5.5226099365414643E-4</v>
      </c>
      <c r="D25" s="45"/>
      <c r="E25" s="43">
        <f>'Расходы помесячно (План-Факт)'!H133</f>
        <v>20583</v>
      </c>
      <c r="F25" s="44">
        <f t="shared" si="1"/>
        <v>8.2144798837895702E-4</v>
      </c>
      <c r="G25" s="45">
        <f t="shared" si="2"/>
        <v>1.1276972254348507E-3</v>
      </c>
      <c r="H25" s="43">
        <f>'Расходы помесячно (План-Факт)'!M133</f>
        <v>3368</v>
      </c>
      <c r="I25" s="44">
        <f t="shared" si="3"/>
        <v>1.0146487494065686E-4</v>
      </c>
      <c r="J25" s="45">
        <f t="shared" si="4"/>
        <v>1.3441368240102645E-4</v>
      </c>
      <c r="K25" s="43">
        <f>'Расходы помесячно (План-Факт)'!R133</f>
        <v>19849</v>
      </c>
      <c r="L25" s="44">
        <f t="shared" si="5"/>
        <v>3.4332028145475895E-4</v>
      </c>
      <c r="M25" s="45">
        <f t="shared" si="6"/>
        <v>5.9797396160840208E-4</v>
      </c>
      <c r="N25" s="43">
        <f>'Расходы помесячно (План-Факт)'!W133</f>
        <v>21664</v>
      </c>
      <c r="O25" s="44">
        <f t="shared" si="7"/>
        <v>3.8176899899275364E-4</v>
      </c>
      <c r="P25" s="45">
        <f t="shared" si="8"/>
        <v>3.747136166777116E-4</v>
      </c>
      <c r="Q25" s="43">
        <f>'Расходы помесячно (План-Факт)'!AB133</f>
        <v>276093.98</v>
      </c>
      <c r="R25" s="44">
        <f t="shared" si="9"/>
        <v>6.2313079944819908E-3</v>
      </c>
      <c r="S25" s="45">
        <f t="shared" si="10"/>
        <v>4.8654044669740283E-3</v>
      </c>
      <c r="T25" s="43">
        <f>'Расходы помесячно (План-Факт)'!AG133</f>
        <v>41760</v>
      </c>
      <c r="U25" s="44">
        <f t="shared" si="11"/>
        <v>9.4829657256181963E-4</v>
      </c>
      <c r="V25" s="45">
        <f t="shared" si="12"/>
        <v>9.4250306308586642E-4</v>
      </c>
      <c r="W25" s="43">
        <f>'Расходы помесячно (План-Факт)'!AL133</f>
        <v>178037.3</v>
      </c>
      <c r="X25" s="44">
        <f t="shared" si="13"/>
        <v>3.5299031150123647E-3</v>
      </c>
      <c r="Y25" s="45">
        <f t="shared" si="14"/>
        <v>4.0429157418141867E-3</v>
      </c>
      <c r="Z25" s="43">
        <f>'Расходы помесячно (План-Факт)'!AQ133</f>
        <v>27661</v>
      </c>
      <c r="AA25" s="44">
        <f t="shared" si="15"/>
        <v>7.1709695307026395E-4</v>
      </c>
      <c r="AB25" s="45">
        <f t="shared" si="16"/>
        <v>5.4842805448272378E-4</v>
      </c>
      <c r="AC25" s="43">
        <f>'Расходы помесячно (План-Факт)'!AV133</f>
        <v>0</v>
      </c>
      <c r="AD25" s="44" t="e">
        <f t="shared" si="17"/>
        <v>#DIV/0!</v>
      </c>
      <c r="AE25" s="45">
        <f t="shared" si="18"/>
        <v>0</v>
      </c>
      <c r="AF25" s="43">
        <f>'Расходы помесячно (План-Факт)'!BA133</f>
        <v>0</v>
      </c>
      <c r="AG25" s="44" t="e">
        <f t="shared" si="19"/>
        <v>#DIV/0!</v>
      </c>
      <c r="AH25" s="45" t="e">
        <f t="shared" si="20"/>
        <v>#DIV/0!</v>
      </c>
      <c r="AI25" s="43">
        <f>'Расходы помесячно (План-Факт)'!BF133</f>
        <v>0</v>
      </c>
      <c r="AJ25" s="44" t="e">
        <f t="shared" si="21"/>
        <v>#DIV/0!</v>
      </c>
      <c r="AK25" s="45" t="e">
        <f t="shared" si="22"/>
        <v>#DIV/0!</v>
      </c>
      <c r="AL25" s="57">
        <f t="shared" si="24"/>
        <v>599096.28</v>
      </c>
      <c r="AM25" s="46">
        <f t="shared" si="23"/>
        <v>1.626127483733532E-3</v>
      </c>
      <c r="AN25" s="47" t="e">
        <f t="shared" si="25"/>
        <v>#REF!</v>
      </c>
      <c r="AO25" s="63">
        <f t="shared" si="26"/>
        <v>169.47800484331597</v>
      </c>
      <c r="AP25" s="64">
        <v>150</v>
      </c>
      <c r="AR25" s="1">
        <v>2.3999999999999998E-3</v>
      </c>
      <c r="AS25" s="46">
        <v>2.3999999999999998E-3</v>
      </c>
      <c r="AT25" s="49">
        <f t="shared" si="27"/>
        <v>39341</v>
      </c>
    </row>
    <row r="26" spans="1:46">
      <c r="A26" s="72" t="s">
        <v>41</v>
      </c>
      <c r="B26" s="43">
        <f>'Расходы помесячно (План-Факт)'!C134</f>
        <v>22093.97</v>
      </c>
      <c r="C26" s="44">
        <f t="shared" si="0"/>
        <v>1.2104799430520737E-3</v>
      </c>
      <c r="D26" s="45"/>
      <c r="E26" s="43">
        <f>'Расходы помесячно (План-Факт)'!H134</f>
        <v>328795.07</v>
      </c>
      <c r="F26" s="44">
        <f t="shared" si="1"/>
        <v>1.3121899083730184E-2</v>
      </c>
      <c r="G26" s="45">
        <f t="shared" si="2"/>
        <v>1.8013957546307999E-2</v>
      </c>
      <c r="H26" s="43">
        <f>'Расходы помесячно (План-Факт)'!M134</f>
        <v>518494.81</v>
      </c>
      <c r="I26" s="44">
        <f t="shared" si="3"/>
        <v>1.5620252688251082E-2</v>
      </c>
      <c r="J26" s="45">
        <f t="shared" si="4"/>
        <v>2.06926356050833E-2</v>
      </c>
      <c r="K26" s="43">
        <f>'Расходы помесячно (План-Факт)'!R134</f>
        <v>193190.96</v>
      </c>
      <c r="L26" s="44">
        <f t="shared" si="5"/>
        <v>3.3415474211151734E-3</v>
      </c>
      <c r="M26" s="45">
        <f t="shared" si="6"/>
        <v>5.820099939449359E-3</v>
      </c>
      <c r="N26" s="43">
        <f>'Расходы помесячно (План-Факт)'!W134</f>
        <v>138066.20000000001</v>
      </c>
      <c r="O26" s="44">
        <f t="shared" si="7"/>
        <v>2.4330407574193746E-3</v>
      </c>
      <c r="P26" s="45">
        <f t="shared" si="8"/>
        <v>2.3880763082970951E-3</v>
      </c>
      <c r="Q26" s="43">
        <f>'Расходы помесячно (План-Факт)'!AB134</f>
        <v>231465.25</v>
      </c>
      <c r="R26" s="44">
        <f t="shared" si="9"/>
        <v>5.2240590786143638E-3</v>
      </c>
      <c r="S26" s="45">
        <f t="shared" si="10"/>
        <v>4.0789446452228336E-3</v>
      </c>
      <c r="T26" s="43">
        <f>'Расходы помесячно (План-Факт)'!AG134</f>
        <v>9238</v>
      </c>
      <c r="U26" s="44">
        <f t="shared" si="11"/>
        <v>2.0977882512754047E-4</v>
      </c>
      <c r="V26" s="45">
        <f t="shared" si="12"/>
        <v>2.0849720538283607E-4</v>
      </c>
      <c r="W26" s="43">
        <f>'Расходы помесячно (План-Факт)'!AL134</f>
        <v>213719.2</v>
      </c>
      <c r="X26" s="44">
        <f t="shared" si="13"/>
        <v>4.2373596421533613E-3</v>
      </c>
      <c r="Y26" s="45">
        <f t="shared" si="14"/>
        <v>4.8531892924007199E-3</v>
      </c>
      <c r="Z26" s="43">
        <f>'Расходы помесячно (План-Факт)'!AQ134</f>
        <v>123601.4</v>
      </c>
      <c r="AA26" s="44">
        <f t="shared" si="15"/>
        <v>3.2043016281124662E-3</v>
      </c>
      <c r="AB26" s="45">
        <f t="shared" si="16"/>
        <v>2.4506154995604253E-3</v>
      </c>
      <c r="AC26" s="43">
        <f>'Расходы помесячно (План-Факт)'!AV134</f>
        <v>0</v>
      </c>
      <c r="AD26" s="44" t="e">
        <f t="shared" si="17"/>
        <v>#DIV/0!</v>
      </c>
      <c r="AE26" s="45">
        <f t="shared" si="18"/>
        <v>0</v>
      </c>
      <c r="AF26" s="43">
        <f>'Расходы помесячно (План-Факт)'!BA134</f>
        <v>0</v>
      </c>
      <c r="AG26" s="44" t="e">
        <f t="shared" si="19"/>
        <v>#DIV/0!</v>
      </c>
      <c r="AH26" s="45" t="e">
        <f t="shared" si="20"/>
        <v>#DIV/0!</v>
      </c>
      <c r="AI26" s="43">
        <f>'Расходы помесячно (План-Факт)'!BF134</f>
        <v>0</v>
      </c>
      <c r="AJ26" s="44" t="e">
        <f t="shared" si="21"/>
        <v>#DIV/0!</v>
      </c>
      <c r="AK26" s="45" t="e">
        <f t="shared" si="22"/>
        <v>#DIV/0!</v>
      </c>
      <c r="AL26" s="57">
        <f t="shared" si="24"/>
        <v>1778664.8599999999</v>
      </c>
      <c r="AM26" s="46">
        <f t="shared" si="23"/>
        <v>4.8278313682686442E-3</v>
      </c>
      <c r="AN26" s="47" t="e">
        <f t="shared" si="25"/>
        <v>#REF!</v>
      </c>
      <c r="AO26" s="63">
        <f t="shared" si="26"/>
        <v>503.16548745339549</v>
      </c>
      <c r="AP26" s="64">
        <v>140</v>
      </c>
      <c r="AR26" s="1">
        <v>2.2000000000000001E-3</v>
      </c>
      <c r="AS26" s="46">
        <v>2.2000000000000001E-3</v>
      </c>
      <c r="AT26" s="49">
        <f t="shared" si="27"/>
        <v>36062</v>
      </c>
    </row>
    <row r="27" spans="1:46">
      <c r="A27" s="72" t="s">
        <v>42</v>
      </c>
      <c r="B27" s="43">
        <f>'Расходы помесячно (План-Факт)'!C122</f>
        <v>9240.3100000000013</v>
      </c>
      <c r="C27" s="44">
        <f t="shared" si="0"/>
        <v>5.0625622840003441E-4</v>
      </c>
      <c r="D27" s="45"/>
      <c r="E27" s="43">
        <f>'Расходы помесячно (План-Факт)'!H122</f>
        <v>9645.64</v>
      </c>
      <c r="F27" s="44">
        <f t="shared" si="1"/>
        <v>3.8494833477275436E-4</v>
      </c>
      <c r="G27" s="45">
        <f t="shared" si="2"/>
        <v>5.284633661537878E-4</v>
      </c>
      <c r="H27" s="43">
        <f>'Расходы помесячно (План-Факт)'!M122</f>
        <v>9620.25</v>
      </c>
      <c r="I27" s="44">
        <f t="shared" si="3"/>
        <v>2.8982109950945791E-4</v>
      </c>
      <c r="J27" s="45">
        <f t="shared" si="4"/>
        <v>3.8393504397816943E-4</v>
      </c>
      <c r="K27" s="43">
        <f>'Расходы помесячно (План-Факт)'!R122</f>
        <v>9185.65</v>
      </c>
      <c r="L27" s="44">
        <f t="shared" si="5"/>
        <v>1.5888054528414059E-4</v>
      </c>
      <c r="M27" s="45">
        <f t="shared" si="6"/>
        <v>2.76728274494847E-4</v>
      </c>
      <c r="N27" s="43">
        <f>'Расходы помесячно (План-Факт)'!W122</f>
        <v>13788.33</v>
      </c>
      <c r="O27" s="44">
        <f t="shared" si="7"/>
        <v>2.4298176430399533E-4</v>
      </c>
      <c r="P27" s="45">
        <f t="shared" si="8"/>
        <v>2.3849127595299997E-4</v>
      </c>
      <c r="Q27" s="43">
        <f>'Расходы помесячно (План-Факт)'!AB122</f>
        <v>8649.65</v>
      </c>
      <c r="R27" s="44">
        <f t="shared" si="9"/>
        <v>1.9521842958861743E-4</v>
      </c>
      <c r="S27" s="45">
        <f t="shared" si="10"/>
        <v>1.5242652428626622E-4</v>
      </c>
      <c r="T27" s="43">
        <f>'Расходы помесячно (План-Факт)'!AG122</f>
        <v>11526.48</v>
      </c>
      <c r="U27" s="44">
        <f t="shared" si="11"/>
        <v>2.6174620396796842E-4</v>
      </c>
      <c r="V27" s="45">
        <f t="shared" si="12"/>
        <v>2.6014709546451093E-4</v>
      </c>
      <c r="W27" s="43">
        <f>'Расходы помесячно (План-Факт)'!AL122</f>
        <v>9523.7800000000007</v>
      </c>
      <c r="X27" s="44">
        <f t="shared" si="13"/>
        <v>1.8882571623301671E-4</v>
      </c>
      <c r="Y27" s="45">
        <f t="shared" si="14"/>
        <v>2.1626838917224154E-4</v>
      </c>
      <c r="Z27" s="43">
        <f>'Расходы помесячно (План-Факт)'!AQ122</f>
        <v>8582.9599999999991</v>
      </c>
      <c r="AA27" s="44">
        <f t="shared" si="15"/>
        <v>2.2250874749011072E-4</v>
      </c>
      <c r="AB27" s="45">
        <f t="shared" si="16"/>
        <v>1.7017230232106714E-4</v>
      </c>
      <c r="AC27" s="43">
        <f>'Расходы помесячно (План-Факт)'!AV122</f>
        <v>0</v>
      </c>
      <c r="AD27" s="44" t="e">
        <f t="shared" si="17"/>
        <v>#DIV/0!</v>
      </c>
      <c r="AE27" s="45">
        <f t="shared" si="18"/>
        <v>0</v>
      </c>
      <c r="AF27" s="43">
        <f>'Расходы помесячно (План-Факт)'!BA122</f>
        <v>0</v>
      </c>
      <c r="AG27" s="44" t="e">
        <f t="shared" si="19"/>
        <v>#DIV/0!</v>
      </c>
      <c r="AH27" s="45" t="e">
        <f t="shared" si="20"/>
        <v>#DIV/0!</v>
      </c>
      <c r="AI27" s="43">
        <f>'Расходы помесячно (План-Факт)'!BF122</f>
        <v>0</v>
      </c>
      <c r="AJ27" s="44" t="e">
        <f t="shared" si="21"/>
        <v>#DIV/0!</v>
      </c>
      <c r="AK27" s="45" t="e">
        <f t="shared" si="22"/>
        <v>#DIV/0!</v>
      </c>
      <c r="AL27" s="57">
        <f t="shared" si="24"/>
        <v>89763.049999999988</v>
      </c>
      <c r="AM27" s="46">
        <f t="shared" si="23"/>
        <v>2.4364391417811373E-4</v>
      </c>
      <c r="AN27" s="47" t="e">
        <f t="shared" si="25"/>
        <v>#REF!</v>
      </c>
      <c r="AO27" s="63">
        <f t="shared" si="26"/>
        <v>25.393018001465158</v>
      </c>
      <c r="AP27" s="64">
        <v>40</v>
      </c>
      <c r="AR27" s="1">
        <v>6.0000000000000006E-4</v>
      </c>
      <c r="AS27" s="46">
        <v>6.0000000000000006E-4</v>
      </c>
      <c r="AT27" s="49">
        <f t="shared" si="27"/>
        <v>9835</v>
      </c>
    </row>
    <row r="28" spans="1:46">
      <c r="A28" s="72" t="s">
        <v>43</v>
      </c>
      <c r="B28" s="43">
        <f>'Расходы помесячно (План-Факт)'!C113</f>
        <v>3960</v>
      </c>
      <c r="C28" s="44">
        <f t="shared" si="0"/>
        <v>2.1695967607841465E-4</v>
      </c>
      <c r="D28" s="45"/>
      <c r="E28" s="43">
        <f>'Расходы помесячно (План-Факт)'!H113</f>
        <v>6190</v>
      </c>
      <c r="F28" s="44">
        <f t="shared" si="1"/>
        <v>2.4703702317765844E-4</v>
      </c>
      <c r="G28" s="45">
        <f t="shared" si="2"/>
        <v>3.3913646336499668E-4</v>
      </c>
      <c r="H28" s="43">
        <f>'Расходы помесячно (План-Факт)'!M113</f>
        <v>13945</v>
      </c>
      <c r="I28" s="44">
        <f t="shared" si="3"/>
        <v>4.2010916895708432E-4</v>
      </c>
      <c r="J28" s="45">
        <f t="shared" si="4"/>
        <v>5.5653171053512876E-4</v>
      </c>
      <c r="K28" s="43">
        <f>'Расходы помесячно (План-Факт)'!R113</f>
        <v>11780</v>
      </c>
      <c r="L28" s="44">
        <f t="shared" si="5"/>
        <v>2.0375398838919141E-4</v>
      </c>
      <c r="M28" s="45">
        <f t="shared" si="6"/>
        <v>3.5488605308816446E-4</v>
      </c>
      <c r="N28" s="43">
        <f>'Расходы помесячно (План-Факт)'!W113</f>
        <v>28025</v>
      </c>
      <c r="O28" s="44">
        <f t="shared" si="7"/>
        <v>4.9386430007255914E-4</v>
      </c>
      <c r="P28" s="45">
        <f t="shared" si="8"/>
        <v>4.8473731108718927E-4</v>
      </c>
      <c r="Q28" s="43">
        <f>'Расходы помесячно (План-Факт)'!AB113</f>
        <v>13175</v>
      </c>
      <c r="R28" s="44">
        <f t="shared" si="9"/>
        <v>2.9735339693860849E-4</v>
      </c>
      <c r="S28" s="45">
        <f t="shared" si="10"/>
        <v>2.3217349343286232E-4</v>
      </c>
      <c r="T28" s="43">
        <f>'Расходы помесячно (План-Факт)'!AG113</f>
        <v>16608</v>
      </c>
      <c r="U28" s="44">
        <f t="shared" si="11"/>
        <v>3.7713863690389606E-4</v>
      </c>
      <c r="V28" s="45">
        <f t="shared" si="12"/>
        <v>3.7483455152610321E-4</v>
      </c>
      <c r="W28" s="43">
        <f>'Расходы помесячно (План-Факт)'!AL113</f>
        <v>14576</v>
      </c>
      <c r="X28" s="44">
        <f t="shared" si="13"/>
        <v>2.8899487806442937E-4</v>
      </c>
      <c r="Y28" s="45">
        <f t="shared" si="14"/>
        <v>3.3099547034629029E-4</v>
      </c>
      <c r="Z28" s="43">
        <f>'Расходы помесячно (План-Факт)'!AQ113</f>
        <v>14164</v>
      </c>
      <c r="AA28" s="44">
        <f t="shared" si="15"/>
        <v>3.6719428955161488E-4</v>
      </c>
      <c r="AB28" s="45">
        <f t="shared" si="16"/>
        <v>2.8082625225744906E-4</v>
      </c>
      <c r="AC28" s="43">
        <f>'Расходы помесячно (План-Факт)'!AV113</f>
        <v>0</v>
      </c>
      <c r="AD28" s="44" t="e">
        <f t="shared" si="17"/>
        <v>#DIV/0!</v>
      </c>
      <c r="AE28" s="45">
        <f t="shared" si="18"/>
        <v>0</v>
      </c>
      <c r="AF28" s="43">
        <f>'Расходы помесячно (План-Факт)'!BA113</f>
        <v>0</v>
      </c>
      <c r="AG28" s="44" t="e">
        <f t="shared" si="19"/>
        <v>#DIV/0!</v>
      </c>
      <c r="AH28" s="45" t="e">
        <f t="shared" si="20"/>
        <v>#DIV/0!</v>
      </c>
      <c r="AI28" s="43">
        <f>'Расходы помесячно (План-Факт)'!BF113</f>
        <v>0</v>
      </c>
      <c r="AJ28" s="44" t="e">
        <f t="shared" si="21"/>
        <v>#DIV/0!</v>
      </c>
      <c r="AK28" s="45" t="e">
        <f t="shared" si="22"/>
        <v>#DIV/0!</v>
      </c>
      <c r="AL28" s="57">
        <f t="shared" si="24"/>
        <v>122423</v>
      </c>
      <c r="AM28" s="46">
        <f t="shared" si="23"/>
        <v>3.3229284104570003E-4</v>
      </c>
      <c r="AN28" s="47" t="e">
        <f t="shared" si="25"/>
        <v>#REF!</v>
      </c>
      <c r="AO28" s="63">
        <f t="shared" si="26"/>
        <v>34.632172623293989</v>
      </c>
      <c r="AP28" s="64">
        <v>50</v>
      </c>
      <c r="AR28" s="1">
        <v>9.0000000000000008E-4</v>
      </c>
      <c r="AS28" s="46">
        <v>9.0000000000000008E-4</v>
      </c>
      <c r="AT28" s="49">
        <f t="shared" si="27"/>
        <v>14753</v>
      </c>
    </row>
    <row r="29" spans="1:46">
      <c r="A29" s="72" t="s">
        <v>44</v>
      </c>
      <c r="B29" s="43">
        <f>'Расходы помесячно (План-Факт)'!C139</f>
        <v>10169.93</v>
      </c>
      <c r="C29" s="44">
        <f t="shared" si="0"/>
        <v>5.5718806023741208E-4</v>
      </c>
      <c r="D29" s="45"/>
      <c r="E29" s="43">
        <f>'Расходы помесячно (План-Факт)'!H139</f>
        <v>0</v>
      </c>
      <c r="F29" s="44">
        <f t="shared" si="1"/>
        <v>0</v>
      </c>
      <c r="G29" s="45">
        <f t="shared" si="2"/>
        <v>0</v>
      </c>
      <c r="H29" s="43">
        <f>'Расходы помесячно (План-Факт)'!M139</f>
        <v>4914.55</v>
      </c>
      <c r="I29" s="44">
        <f t="shared" si="3"/>
        <v>1.4805647302244809E-4</v>
      </c>
      <c r="J29" s="45">
        <f t="shared" si="4"/>
        <v>1.9613502459737666E-4</v>
      </c>
      <c r="K29" s="43">
        <f>'Расходы помесячно (План-Факт)'!R139</f>
        <v>12013.97</v>
      </c>
      <c r="L29" s="44">
        <f t="shared" si="5"/>
        <v>2.0780087469338658E-4</v>
      </c>
      <c r="M29" s="45">
        <f t="shared" si="6"/>
        <v>3.6193466852458531E-4</v>
      </c>
      <c r="N29" s="43">
        <f>'Расходы помесячно (План-Факт)'!W139</f>
        <v>5987.77</v>
      </c>
      <c r="O29" s="44">
        <f t="shared" si="7"/>
        <v>1.0551813880626111E-4</v>
      </c>
      <c r="P29" s="45">
        <f t="shared" si="8"/>
        <v>1.035680831118123E-4</v>
      </c>
      <c r="Q29" s="43">
        <f>'Расходы помесячно (План-Факт)'!AB139</f>
        <v>920</v>
      </c>
      <c r="R29" s="44">
        <f t="shared" si="9"/>
        <v>2.0763956370665639E-5</v>
      </c>
      <c r="S29" s="45">
        <f t="shared" si="10"/>
        <v>1.6212494418082227E-5</v>
      </c>
      <c r="T29" s="43">
        <f>'Расходы помесячно (План-Факт)'!AG139</f>
        <v>11893.38</v>
      </c>
      <c r="U29" s="44">
        <f t="shared" si="11"/>
        <v>2.7007786135477236E-4</v>
      </c>
      <c r="V29" s="45">
        <f t="shared" si="12"/>
        <v>2.6842785154320358E-4</v>
      </c>
      <c r="W29" s="43">
        <f>'Расходы помесячно (План-Факт)'!AL139</f>
        <v>12411.99</v>
      </c>
      <c r="X29" s="44">
        <f t="shared" si="13"/>
        <v>2.4608956754849866E-4</v>
      </c>
      <c r="Y29" s="45">
        <f t="shared" si="14"/>
        <v>2.8185458754002824E-4</v>
      </c>
      <c r="Z29" s="43">
        <f>'Расходы помесячно (План-Факт)'!AQ139</f>
        <v>4938.3999999999996</v>
      </c>
      <c r="AA29" s="44">
        <f t="shared" si="15"/>
        <v>1.2802543628365537E-4</v>
      </c>
      <c r="AB29" s="45">
        <f t="shared" si="16"/>
        <v>9.7912479818426033E-5</v>
      </c>
      <c r="AC29" s="43">
        <f>'Расходы помесячно (План-Факт)'!AV139</f>
        <v>0</v>
      </c>
      <c r="AD29" s="44" t="e">
        <f t="shared" si="17"/>
        <v>#DIV/0!</v>
      </c>
      <c r="AE29" s="45">
        <f t="shared" si="18"/>
        <v>0</v>
      </c>
      <c r="AF29" s="43">
        <f>'Расходы помесячно (План-Факт)'!BA139</f>
        <v>0</v>
      </c>
      <c r="AG29" s="44" t="e">
        <f t="shared" si="19"/>
        <v>#DIV/0!</v>
      </c>
      <c r="AH29" s="45" t="e">
        <f t="shared" si="20"/>
        <v>#DIV/0!</v>
      </c>
      <c r="AI29" s="43">
        <f>'Расходы помесячно (План-Факт)'!BF139</f>
        <v>0</v>
      </c>
      <c r="AJ29" s="44" t="e">
        <f t="shared" si="21"/>
        <v>#DIV/0!</v>
      </c>
      <c r="AK29" s="45" t="e">
        <f t="shared" si="22"/>
        <v>#DIV/0!</v>
      </c>
      <c r="AL29" s="57">
        <f t="shared" si="24"/>
        <v>63249.99</v>
      </c>
      <c r="AM29" s="46">
        <f t="shared" si="23"/>
        <v>1.7167949546418657E-4</v>
      </c>
      <c r="AN29" s="47" t="e">
        <f t="shared" si="25"/>
        <v>#REF!</v>
      </c>
      <c r="AO29" s="63">
        <f t="shared" si="26"/>
        <v>17.892753584715443</v>
      </c>
      <c r="AP29" s="64">
        <v>10</v>
      </c>
      <c r="AR29" s="1">
        <v>2.0000000000000001E-4</v>
      </c>
      <c r="AS29" s="46">
        <v>2.0000000000000001E-4</v>
      </c>
      <c r="AT29" s="49">
        <f t="shared" si="27"/>
        <v>3278</v>
      </c>
    </row>
    <row r="30" spans="1:46">
      <c r="A30" s="72" t="s">
        <v>45</v>
      </c>
      <c r="B30" s="43">
        <f>'Расходы помесячно (План-Факт)'!C102</f>
        <v>47125</v>
      </c>
      <c r="C30" s="44">
        <f t="shared" si="0"/>
        <v>2.581874933130124E-3</v>
      </c>
      <c r="D30" s="45"/>
      <c r="E30" s="43">
        <f>'Расходы помесячно (План-Факт)'!H102</f>
        <v>4899</v>
      </c>
      <c r="F30" s="44">
        <f t="shared" si="1"/>
        <v>1.9551443886063795E-4</v>
      </c>
      <c r="G30" s="45">
        <f t="shared" si="2"/>
        <v>2.6840541745155389E-4</v>
      </c>
      <c r="H30" s="43">
        <f>'Расходы помесячно (План-Факт)'!M102</f>
        <v>6210</v>
      </c>
      <c r="I30" s="44">
        <f t="shared" si="3"/>
        <v>1.8708339470946531E-4</v>
      </c>
      <c r="J30" s="45">
        <f t="shared" si="4"/>
        <v>2.4783520418954105E-4</v>
      </c>
      <c r="K30" s="43">
        <f>'Расходы помесячно (План-Факт)'!R102</f>
        <v>7480</v>
      </c>
      <c r="L30" s="44">
        <f t="shared" si="5"/>
        <v>1.2937859364610797E-4</v>
      </c>
      <c r="M30" s="45">
        <f t="shared" si="6"/>
        <v>2.2534360586582938E-4</v>
      </c>
      <c r="N30" s="43">
        <f>'Расходы помесячно (План-Факт)'!W102</f>
        <v>26664</v>
      </c>
      <c r="O30" s="44">
        <f t="shared" si="7"/>
        <v>4.6988038169972228E-4</v>
      </c>
      <c r="P30" s="45">
        <f t="shared" si="8"/>
        <v>4.611966338208319E-4</v>
      </c>
      <c r="Q30" s="43">
        <f>'Расходы помесячно (План-Факт)'!AB102</f>
        <v>20636</v>
      </c>
      <c r="R30" s="44">
        <f t="shared" si="9"/>
        <v>4.65744569201148E-4</v>
      </c>
      <c r="S30" s="45">
        <f t="shared" si="10"/>
        <v>3.6365329870820088E-4</v>
      </c>
      <c r="T30" s="43">
        <f>'Расходы помесячно (План-Факт)'!AG102</f>
        <v>12510</v>
      </c>
      <c r="U30" s="44">
        <f t="shared" si="11"/>
        <v>2.840802232458899E-4</v>
      </c>
      <c r="V30" s="45">
        <f t="shared" si="12"/>
        <v>2.8234466760546431E-4</v>
      </c>
      <c r="W30" s="43">
        <f>'Расходы помесячно (План-Факт)'!AL102</f>
        <v>17532</v>
      </c>
      <c r="X30" s="44">
        <f t="shared" si="13"/>
        <v>3.476027855533463E-4</v>
      </c>
      <c r="Y30" s="45">
        <f t="shared" si="14"/>
        <v>3.9812106106690184E-4</v>
      </c>
      <c r="Z30" s="43">
        <f>'Расходы помесячно (План-Факт)'!AQ102</f>
        <v>160110</v>
      </c>
      <c r="AA30" s="44">
        <f t="shared" si="15"/>
        <v>4.1507679822161154E-3</v>
      </c>
      <c r="AB30" s="45">
        <f t="shared" si="16"/>
        <v>3.1744628105718846E-3</v>
      </c>
      <c r="AC30" s="43">
        <f>'Расходы помесячно (План-Факт)'!AV102</f>
        <v>0</v>
      </c>
      <c r="AD30" s="44" t="e">
        <f t="shared" si="17"/>
        <v>#DIV/0!</v>
      </c>
      <c r="AE30" s="45">
        <f t="shared" si="18"/>
        <v>0</v>
      </c>
      <c r="AF30" s="43">
        <f>'Расходы помесячно (План-Факт)'!BA102</f>
        <v>0</v>
      </c>
      <c r="AG30" s="44" t="e">
        <f t="shared" si="19"/>
        <v>#DIV/0!</v>
      </c>
      <c r="AH30" s="45" t="e">
        <f t="shared" si="20"/>
        <v>#DIV/0!</v>
      </c>
      <c r="AI30" s="43">
        <f>'Расходы помесячно (План-Факт)'!BF102</f>
        <v>0</v>
      </c>
      <c r="AJ30" s="44" t="e">
        <f t="shared" si="21"/>
        <v>#DIV/0!</v>
      </c>
      <c r="AK30" s="45" t="e">
        <f t="shared" si="22"/>
        <v>#DIV/0!</v>
      </c>
      <c r="AL30" s="57">
        <f t="shared" si="24"/>
        <v>303166</v>
      </c>
      <c r="AM30" s="46">
        <f t="shared" si="23"/>
        <v>8.2288370198786741E-4</v>
      </c>
      <c r="AN30" s="47" t="e">
        <f t="shared" si="25"/>
        <v>#REF!</v>
      </c>
      <c r="AO30" s="63">
        <f t="shared" si="26"/>
        <v>85.762456772939288</v>
      </c>
      <c r="AP30" s="64">
        <v>30</v>
      </c>
      <c r="AR30" s="1">
        <v>5.0000000000000001E-4</v>
      </c>
      <c r="AS30" s="46">
        <v>5.0000000000000001E-4</v>
      </c>
      <c r="AT30" s="49">
        <f t="shared" si="27"/>
        <v>8196</v>
      </c>
    </row>
    <row r="31" spans="1:46">
      <c r="A31" s="72" t="s">
        <v>46</v>
      </c>
      <c r="B31" s="43" t="e">
        <f>NA()</f>
        <v>#N/A</v>
      </c>
      <c r="C31" s="44" t="e">
        <f t="shared" si="0"/>
        <v>#N/A</v>
      </c>
      <c r="D31" s="45"/>
      <c r="E31" s="43" t="e">
        <f>NA()</f>
        <v>#N/A</v>
      </c>
      <c r="F31" s="44" t="e">
        <f t="shared" si="1"/>
        <v>#N/A</v>
      </c>
      <c r="G31" s="45" t="e">
        <f t="shared" si="2"/>
        <v>#N/A</v>
      </c>
      <c r="H31" s="43" t="e">
        <f>NA()</f>
        <v>#N/A</v>
      </c>
      <c r="I31" s="44" t="e">
        <f t="shared" si="3"/>
        <v>#N/A</v>
      </c>
      <c r="J31" s="45" t="e">
        <f t="shared" si="4"/>
        <v>#N/A</v>
      </c>
      <c r="K31" s="43" t="e">
        <f>NA()</f>
        <v>#N/A</v>
      </c>
      <c r="L31" s="44" t="e">
        <f t="shared" si="5"/>
        <v>#N/A</v>
      </c>
      <c r="M31" s="45" t="e">
        <f t="shared" si="6"/>
        <v>#N/A</v>
      </c>
      <c r="N31" s="43" t="e">
        <f>NA()</f>
        <v>#N/A</v>
      </c>
      <c r="O31" s="44" t="e">
        <f t="shared" si="7"/>
        <v>#N/A</v>
      </c>
      <c r="P31" s="45" t="e">
        <f t="shared" si="8"/>
        <v>#N/A</v>
      </c>
      <c r="Q31" s="43" t="e">
        <f>NA()</f>
        <v>#N/A</v>
      </c>
      <c r="R31" s="44" t="e">
        <f t="shared" si="9"/>
        <v>#N/A</v>
      </c>
      <c r="S31" s="45" t="e">
        <f t="shared" si="10"/>
        <v>#N/A</v>
      </c>
      <c r="T31" s="43" t="e">
        <f>NA()</f>
        <v>#N/A</v>
      </c>
      <c r="U31" s="44" t="e">
        <f t="shared" si="11"/>
        <v>#N/A</v>
      </c>
      <c r="V31" s="45" t="e">
        <f t="shared" si="12"/>
        <v>#N/A</v>
      </c>
      <c r="W31" s="43" t="e">
        <f>NA()</f>
        <v>#N/A</v>
      </c>
      <c r="X31" s="44" t="e">
        <f t="shared" si="13"/>
        <v>#N/A</v>
      </c>
      <c r="Y31" s="45" t="e">
        <f t="shared" si="14"/>
        <v>#N/A</v>
      </c>
      <c r="Z31" s="43" t="e">
        <f>NA()</f>
        <v>#N/A</v>
      </c>
      <c r="AA31" s="44" t="e">
        <f t="shared" si="15"/>
        <v>#N/A</v>
      </c>
      <c r="AB31" s="45" t="e">
        <f t="shared" si="16"/>
        <v>#N/A</v>
      </c>
      <c r="AC31" s="43" t="e">
        <f>NA()</f>
        <v>#N/A</v>
      </c>
      <c r="AD31" s="44" t="e">
        <f t="shared" si="17"/>
        <v>#N/A</v>
      </c>
      <c r="AE31" s="45" t="e">
        <f t="shared" si="18"/>
        <v>#N/A</v>
      </c>
      <c r="AF31" s="43" t="e">
        <f>NA()</f>
        <v>#N/A</v>
      </c>
      <c r="AG31" s="44" t="e">
        <f t="shared" si="19"/>
        <v>#N/A</v>
      </c>
      <c r="AH31" s="45" t="e">
        <f t="shared" si="20"/>
        <v>#N/A</v>
      </c>
      <c r="AI31" s="43" t="e">
        <f>NA()</f>
        <v>#N/A</v>
      </c>
      <c r="AJ31" s="44" t="e">
        <f t="shared" si="21"/>
        <v>#N/A</v>
      </c>
      <c r="AK31" s="45" t="e">
        <f t="shared" si="22"/>
        <v>#N/A</v>
      </c>
      <c r="AL31" s="57" t="e">
        <f t="shared" si="24"/>
        <v>#N/A</v>
      </c>
      <c r="AM31" s="46" t="e">
        <f t="shared" si="23"/>
        <v>#N/A</v>
      </c>
      <c r="AN31" s="47" t="e">
        <f t="shared" si="25"/>
        <v>#N/A</v>
      </c>
      <c r="AO31" s="63" t="e">
        <f t="shared" si="26"/>
        <v>#N/A</v>
      </c>
      <c r="AP31" s="64"/>
      <c r="AR31" s="1">
        <v>0</v>
      </c>
      <c r="AS31" s="46">
        <v>0</v>
      </c>
      <c r="AT31" s="49">
        <f t="shared" si="27"/>
        <v>0</v>
      </c>
    </row>
    <row r="32" spans="1:46">
      <c r="A32" s="72" t="s">
        <v>38</v>
      </c>
      <c r="B32" s="43">
        <f>'Расходы помесячно (План-Факт)'!C135</f>
        <v>4920</v>
      </c>
      <c r="C32" s="44">
        <f t="shared" si="0"/>
        <v>2.6955596118833334E-4</v>
      </c>
      <c r="D32" s="45"/>
      <c r="E32" s="43">
        <f>'Расходы помесячно (План-Факт)'!H135</f>
        <v>1000</v>
      </c>
      <c r="F32" s="44">
        <f t="shared" si="1"/>
        <v>3.9909050594128991E-5</v>
      </c>
      <c r="G32" s="45">
        <f t="shared" si="2"/>
        <v>5.4787796989498651E-5</v>
      </c>
      <c r="H32" s="43">
        <f>'Расходы помесячно (План-Факт)'!M135</f>
        <v>20500</v>
      </c>
      <c r="I32" s="44">
        <f t="shared" si="3"/>
        <v>6.1758608559485319E-4</v>
      </c>
      <c r="J32" s="45">
        <f t="shared" si="4"/>
        <v>8.181355371796443E-4</v>
      </c>
      <c r="K32" s="43">
        <f>'Расходы помесячно (План-Факт)'!R135</f>
        <v>0</v>
      </c>
      <c r="L32" s="44">
        <f t="shared" si="5"/>
        <v>0</v>
      </c>
      <c r="M32" s="45">
        <f t="shared" si="6"/>
        <v>0</v>
      </c>
      <c r="N32" s="43">
        <f>'Расходы помесячно (План-Факт)'!W135</f>
        <v>41500</v>
      </c>
      <c r="O32" s="44">
        <f t="shared" si="7"/>
        <v>7.3132447646783957E-4</v>
      </c>
      <c r="P32" s="45">
        <f t="shared" si="8"/>
        <v>7.1780904228789847E-4</v>
      </c>
      <c r="Q32" s="43">
        <f>'Расходы помесячно (План-Факт)'!AB135</f>
        <v>7000</v>
      </c>
      <c r="R32" s="44">
        <f t="shared" si="9"/>
        <v>1.5798662455941248E-4</v>
      </c>
      <c r="S32" s="45">
        <f t="shared" si="10"/>
        <v>1.2335593578975608E-4</v>
      </c>
      <c r="T32" s="43">
        <f>'Расходы помесячно (План-Факт)'!AG135</f>
        <v>0</v>
      </c>
      <c r="U32" s="44">
        <f t="shared" si="11"/>
        <v>0</v>
      </c>
      <c r="V32" s="45">
        <f t="shared" si="12"/>
        <v>0</v>
      </c>
      <c r="W32" s="43">
        <f>'Расходы помесячно (План-Факт)'!AL135</f>
        <v>0</v>
      </c>
      <c r="X32" s="44">
        <f t="shared" si="13"/>
        <v>0</v>
      </c>
      <c r="Y32" s="45">
        <f t="shared" si="14"/>
        <v>0</v>
      </c>
      <c r="Z32" s="43">
        <f>'Расходы помесячно (План-Факт)'!AQ135</f>
        <v>0</v>
      </c>
      <c r="AA32" s="44">
        <f t="shared" si="15"/>
        <v>0</v>
      </c>
      <c r="AB32" s="45">
        <f t="shared" si="16"/>
        <v>0</v>
      </c>
      <c r="AC32" s="43">
        <f>'Расходы помесячно (План-Факт)'!AV135</f>
        <v>0</v>
      </c>
      <c r="AD32" s="44" t="e">
        <f t="shared" si="17"/>
        <v>#DIV/0!</v>
      </c>
      <c r="AE32" s="45">
        <f t="shared" si="18"/>
        <v>0</v>
      </c>
      <c r="AF32" s="43">
        <f>'Расходы помесячно (План-Факт)'!BA135</f>
        <v>0</v>
      </c>
      <c r="AG32" s="44" t="e">
        <f t="shared" si="19"/>
        <v>#DIV/0!</v>
      </c>
      <c r="AH32" s="45" t="e">
        <f t="shared" si="20"/>
        <v>#DIV/0!</v>
      </c>
      <c r="AI32" s="43">
        <f>'Расходы помесячно (План-Факт)'!BF135</f>
        <v>0</v>
      </c>
      <c r="AJ32" s="44" t="e">
        <f t="shared" si="21"/>
        <v>#DIV/0!</v>
      </c>
      <c r="AK32" s="45" t="e">
        <f t="shared" si="22"/>
        <v>#DIV/0!</v>
      </c>
      <c r="AL32" s="57">
        <f t="shared" si="24"/>
        <v>74920</v>
      </c>
      <c r="AM32" s="46">
        <f t="shared" si="23"/>
        <v>2.0335541239100368E-4</v>
      </c>
      <c r="AN32" s="47" t="e">
        <f t="shared" si="25"/>
        <v>#REF!</v>
      </c>
      <c r="AO32" s="63">
        <f t="shared" si="26"/>
        <v>21.194076055456783</v>
      </c>
      <c r="AP32" s="64"/>
      <c r="AR32" s="1">
        <v>0</v>
      </c>
      <c r="AS32" s="46">
        <v>0</v>
      </c>
      <c r="AT32" s="49">
        <f t="shared" si="27"/>
        <v>0</v>
      </c>
    </row>
    <row r="33" spans="1:46">
      <c r="A33" s="72" t="s">
        <v>47</v>
      </c>
      <c r="B33" s="43">
        <f>'Расходы помесячно (План-Факт)'!C97</f>
        <v>1095.6500000000001</v>
      </c>
      <c r="C33" s="44">
        <f t="shared" si="0"/>
        <v>6.0028249771544202E-5</v>
      </c>
      <c r="D33" s="45"/>
      <c r="E33" s="43">
        <f>'Расходы помесячно (План-Факт)'!H97</f>
        <v>2800</v>
      </c>
      <c r="F33" s="44">
        <f t="shared" si="1"/>
        <v>1.1174534166356118E-4</v>
      </c>
      <c r="G33" s="45">
        <f t="shared" si="2"/>
        <v>1.5340583157059622E-4</v>
      </c>
      <c r="H33" s="43">
        <f>'Расходы помесячно (План-Факт)'!M97</f>
        <v>2800</v>
      </c>
      <c r="I33" s="44">
        <f t="shared" si="3"/>
        <v>8.4353221447101904E-5</v>
      </c>
      <c r="J33" s="45">
        <f t="shared" si="4"/>
        <v>1.1174534166356118E-4</v>
      </c>
      <c r="K33" s="43">
        <f>'Расходы помесячно (План-Факт)'!R97</f>
        <v>2800</v>
      </c>
      <c r="L33" s="44">
        <f t="shared" si="5"/>
        <v>4.8430489600147366E-5</v>
      </c>
      <c r="M33" s="45">
        <f t="shared" si="6"/>
        <v>8.4353221447101904E-5</v>
      </c>
      <c r="N33" s="43">
        <f>'Расходы помесячно (План-Факт)'!W97</f>
        <v>2800</v>
      </c>
      <c r="O33" s="44">
        <f t="shared" si="7"/>
        <v>4.9342374315902428E-5</v>
      </c>
      <c r="P33" s="45">
        <f t="shared" si="8"/>
        <v>4.8430489600147366E-5</v>
      </c>
      <c r="Q33" s="43">
        <f>'Расходы помесячно (План-Факт)'!AB97</f>
        <v>2800</v>
      </c>
      <c r="R33" s="44">
        <f t="shared" si="9"/>
        <v>6.3194649823764993E-5</v>
      </c>
      <c r="S33" s="45">
        <f t="shared" si="10"/>
        <v>4.9342374315902428E-5</v>
      </c>
      <c r="T33" s="43">
        <f>'Расходы помесячно (План-Факт)'!AG97</f>
        <v>2800</v>
      </c>
      <c r="U33" s="44">
        <f t="shared" si="11"/>
        <v>6.3583103524259943E-5</v>
      </c>
      <c r="V33" s="45">
        <f t="shared" si="12"/>
        <v>6.3194649823764993E-5</v>
      </c>
      <c r="W33" s="43">
        <f>'Расходы помесячно (План-Факт)'!AL97</f>
        <v>2800</v>
      </c>
      <c r="X33" s="44">
        <f t="shared" si="13"/>
        <v>5.5514932668798181E-5</v>
      </c>
      <c r="Y33" s="45">
        <f t="shared" si="14"/>
        <v>6.3583103524259943E-5</v>
      </c>
      <c r="Z33" s="43">
        <f>'Расходы помесячно (План-Факт)'!AQ97</f>
        <v>2800</v>
      </c>
      <c r="AA33" s="44">
        <f t="shared" si="15"/>
        <v>7.2588535070920761E-5</v>
      </c>
      <c r="AB33" s="45">
        <f t="shared" si="16"/>
        <v>5.5514932668798181E-5</v>
      </c>
      <c r="AC33" s="43">
        <f>'Расходы помесячно (План-Факт)'!AV97</f>
        <v>0</v>
      </c>
      <c r="AD33" s="44" t="e">
        <f t="shared" si="17"/>
        <v>#DIV/0!</v>
      </c>
      <c r="AE33" s="45">
        <f t="shared" si="18"/>
        <v>0</v>
      </c>
      <c r="AF33" s="43">
        <f>'Расходы помесячно (План-Факт)'!BA97</f>
        <v>0</v>
      </c>
      <c r="AG33" s="44" t="e">
        <f t="shared" si="19"/>
        <v>#DIV/0!</v>
      </c>
      <c r="AH33" s="45" t="e">
        <f t="shared" si="20"/>
        <v>#DIV/0!</v>
      </c>
      <c r="AI33" s="43">
        <f>'Расходы помесячно (План-Факт)'!BF97</f>
        <v>0</v>
      </c>
      <c r="AJ33" s="44" t="e">
        <f t="shared" si="21"/>
        <v>#DIV/0!</v>
      </c>
      <c r="AK33" s="45" t="e">
        <f t="shared" si="22"/>
        <v>#DIV/0!</v>
      </c>
      <c r="AL33" s="57">
        <f t="shared" si="24"/>
        <v>23495.65</v>
      </c>
      <c r="AM33" s="46">
        <f t="shared" si="23"/>
        <v>6.3774260479774241E-5</v>
      </c>
      <c r="AN33" s="47" t="e">
        <f t="shared" si="25"/>
        <v>#REF!</v>
      </c>
      <c r="AO33" s="63">
        <f t="shared" si="26"/>
        <v>6.6466710233901924</v>
      </c>
      <c r="AP33" s="64">
        <v>230</v>
      </c>
      <c r="AR33" s="1">
        <v>3.5999999999999999E-3</v>
      </c>
      <c r="AS33" s="46">
        <v>3.5999999999999999E-3</v>
      </c>
      <c r="AT33" s="49">
        <f t="shared" si="27"/>
        <v>59011</v>
      </c>
    </row>
    <row r="34" spans="1:46">
      <c r="A34" s="72" t="s">
        <v>48</v>
      </c>
      <c r="B34" s="43">
        <f>'Расходы помесячно (План-Факт)'!C117</f>
        <v>9412</v>
      </c>
      <c r="C34" s="44">
        <f t="shared" si="0"/>
        <v>5.1566274526516128E-4</v>
      </c>
      <c r="D34" s="45"/>
      <c r="E34" s="43">
        <f>'Расходы помесячно (План-Факт)'!H117</f>
        <v>11635.81</v>
      </c>
      <c r="F34" s="44">
        <f t="shared" si="1"/>
        <v>4.6437412999367206E-4</v>
      </c>
      <c r="G34" s="45">
        <f t="shared" si="2"/>
        <v>6.3750039608837829E-4</v>
      </c>
      <c r="H34" s="43">
        <f>'Расходы помесячно (План-Факт)'!M117</f>
        <v>9903.7099999999991</v>
      </c>
      <c r="I34" s="44">
        <f t="shared" si="3"/>
        <v>2.9836065813495626E-4</v>
      </c>
      <c r="J34" s="45">
        <f t="shared" si="4"/>
        <v>3.9524766345958121E-4</v>
      </c>
      <c r="K34" s="43">
        <f>'Расходы помесячно (План-Факт)'!R117</f>
        <v>13027.339999999998</v>
      </c>
      <c r="L34" s="44">
        <f t="shared" si="5"/>
        <v>2.2532873370985132E-4</v>
      </c>
      <c r="M34" s="45">
        <f t="shared" si="6"/>
        <v>3.9246360567381727E-4</v>
      </c>
      <c r="N34" s="43">
        <f>'Расходы помесячно (План-Факт)'!W117</f>
        <v>14724.03</v>
      </c>
      <c r="O34" s="44">
        <f t="shared" si="7"/>
        <v>2.5947092846377747E-4</v>
      </c>
      <c r="P34" s="45">
        <f t="shared" si="8"/>
        <v>2.5467570778116354E-4</v>
      </c>
      <c r="Q34" s="43">
        <f>'Расходы помесячно (План-Факт)'!AB117</f>
        <v>10047.39</v>
      </c>
      <c r="R34" s="44">
        <f t="shared" si="9"/>
        <v>2.2676474739028504E-4</v>
      </c>
      <c r="S34" s="45">
        <f t="shared" si="10"/>
        <v>1.7705788509923389E-4</v>
      </c>
      <c r="T34" s="43">
        <f>'Расходы помесячно (План-Факт)'!AG117</f>
        <v>9877.84</v>
      </c>
      <c r="U34" s="44">
        <f t="shared" si="11"/>
        <v>2.2430847261288421E-4</v>
      </c>
      <c r="V34" s="45">
        <f t="shared" si="12"/>
        <v>2.2293808564827813E-4</v>
      </c>
      <c r="W34" s="43">
        <f>'Расходы помесячно (План-Факт)'!AL117</f>
        <v>10063.66</v>
      </c>
      <c r="X34" s="44">
        <f t="shared" si="13"/>
        <v>1.9952978832202769E-4</v>
      </c>
      <c r="Y34" s="45">
        <f t="shared" si="14"/>
        <v>2.285281198617692E-4</v>
      </c>
      <c r="Z34" s="43">
        <f>'Расходы помесячно (План-Факт)'!AQ117</f>
        <v>16458.739999999998</v>
      </c>
      <c r="AA34" s="44">
        <f t="shared" si="15"/>
        <v>4.2668422346898793E-4</v>
      </c>
      <c r="AB34" s="45">
        <f t="shared" si="16"/>
        <v>3.263235153261626E-4</v>
      </c>
      <c r="AC34" s="43">
        <f>'Расходы помесячно (План-Факт)'!AV117</f>
        <v>0</v>
      </c>
      <c r="AD34" s="44" t="e">
        <f t="shared" si="17"/>
        <v>#DIV/0!</v>
      </c>
      <c r="AE34" s="45">
        <f t="shared" si="18"/>
        <v>0</v>
      </c>
      <c r="AF34" s="43">
        <f>'Расходы помесячно (План-Факт)'!BA117</f>
        <v>0</v>
      </c>
      <c r="AG34" s="44" t="e">
        <f t="shared" si="19"/>
        <v>#DIV/0!</v>
      </c>
      <c r="AH34" s="45" t="e">
        <f t="shared" si="20"/>
        <v>#DIV/0!</v>
      </c>
      <c r="AI34" s="43">
        <f>'Расходы помесячно (План-Факт)'!BF117</f>
        <v>0</v>
      </c>
      <c r="AJ34" s="44" t="e">
        <f t="shared" si="21"/>
        <v>#DIV/0!</v>
      </c>
      <c r="AK34" s="45" t="e">
        <f t="shared" si="22"/>
        <v>#DIV/0!</v>
      </c>
      <c r="AL34" s="57">
        <f t="shared" si="24"/>
        <v>105150.51999999999</v>
      </c>
      <c r="AM34" s="46">
        <f t="shared" si="23"/>
        <v>2.8541013558099944E-4</v>
      </c>
      <c r="AN34" s="47" t="e">
        <f t="shared" si="25"/>
        <v>#REF!</v>
      </c>
      <c r="AO34" s="63">
        <f t="shared" si="26"/>
        <v>29.745970610662432</v>
      </c>
      <c r="AP34" s="64">
        <v>12</v>
      </c>
      <c r="AR34" s="1">
        <v>2.0000000000000001E-4</v>
      </c>
      <c r="AS34" s="46">
        <v>2.0000000000000001E-4</v>
      </c>
      <c r="AT34" s="49">
        <f t="shared" si="27"/>
        <v>3278</v>
      </c>
    </row>
    <row r="35" spans="1:46">
      <c r="A35" s="60" t="s">
        <v>49</v>
      </c>
      <c r="B35" s="51">
        <f>'Расходы помесячно (План-Факт)'!C132</f>
        <v>369952.95</v>
      </c>
      <c r="C35" s="52">
        <f t="shared" si="0"/>
        <v>2.0268907120266147E-2</v>
      </c>
      <c r="D35" s="53"/>
      <c r="E35" s="51">
        <f>'Расходы помесячно (План-Факт)'!H132</f>
        <v>778328.08999999985</v>
      </c>
      <c r="F35" s="52">
        <f t="shared" si="1"/>
        <v>3.1062335122641779E-2</v>
      </c>
      <c r="G35" s="53">
        <f t="shared" si="2"/>
        <v>4.2642881386144228E-2</v>
      </c>
      <c r="H35" s="51">
        <f>'Расходы помесячно (План-Факт)'!M132</f>
        <v>1478855.35</v>
      </c>
      <c r="I35" s="52">
        <f t="shared" si="3"/>
        <v>4.4552218866707648E-2</v>
      </c>
      <c r="J35" s="53">
        <f t="shared" si="4"/>
        <v>5.9019712984548341E-2</v>
      </c>
      <c r="K35" s="51">
        <f>'Расходы помесячно (План-Факт)'!R132</f>
        <v>1356061.5399999998</v>
      </c>
      <c r="L35" s="52">
        <f t="shared" si="5"/>
        <v>2.3455258682189218E-2</v>
      </c>
      <c r="M35" s="53">
        <f t="shared" si="6"/>
        <v>4.085291406411358E-2</v>
      </c>
      <c r="N35" s="51">
        <f>'Расходы помесячно (План-Факт)'!W132</f>
        <v>1316831.97</v>
      </c>
      <c r="O35" s="52">
        <f t="shared" si="7"/>
        <v>2.3205577133888284E-2</v>
      </c>
      <c r="P35" s="53">
        <f t="shared" si="8"/>
        <v>2.2776720367223773E-2</v>
      </c>
      <c r="Q35" s="51">
        <f>'Расходы помесячно (План-Факт)'!AB132</f>
        <v>1543934.54</v>
      </c>
      <c r="R35" s="52">
        <f t="shared" si="9"/>
        <v>3.4845858073612741E-2</v>
      </c>
      <c r="S35" s="53">
        <f t="shared" si="10"/>
        <v>2.7207641425689513E-2</v>
      </c>
      <c r="T35" s="51">
        <f>'Расходы помесячно (План-Факт)'!AG132</f>
        <v>948900.31</v>
      </c>
      <c r="U35" s="52">
        <f t="shared" si="11"/>
        <v>2.1547866658904409E-2</v>
      </c>
      <c r="V35" s="53">
        <f t="shared" si="12"/>
        <v>2.1416222431468589E-2</v>
      </c>
      <c r="W35" s="51">
        <f>'Расходы помесячно (План-Факт)'!AL132</f>
        <v>1521015.3399999999</v>
      </c>
      <c r="X35" s="52">
        <f t="shared" si="13"/>
        <v>3.0156808638681844E-2</v>
      </c>
      <c r="Y35" s="53">
        <f t="shared" si="14"/>
        <v>3.453959850900265E-2</v>
      </c>
      <c r="Z35" s="51">
        <f>'Расходы помесячно (План-Факт)'!AQ132</f>
        <v>931947.14999999991</v>
      </c>
      <c r="AA35" s="52">
        <f t="shared" si="15"/>
        <v>2.416024227929273E-2</v>
      </c>
      <c r="AB35" s="53">
        <f t="shared" si="16"/>
        <v>1.8477494029688697E-2</v>
      </c>
      <c r="AC35" s="51">
        <f>'Расходы помесячно (План-Факт)'!AV132</f>
        <v>0</v>
      </c>
      <c r="AD35" s="52" t="e">
        <f t="shared" si="17"/>
        <v>#DIV/0!</v>
      </c>
      <c r="AE35" s="53">
        <f t="shared" si="18"/>
        <v>0</v>
      </c>
      <c r="AF35" s="51">
        <f>'Расходы помесячно (План-Факт)'!BA132</f>
        <v>0</v>
      </c>
      <c r="AG35" s="52" t="e">
        <f t="shared" si="19"/>
        <v>#DIV/0!</v>
      </c>
      <c r="AH35" s="53" t="e">
        <f t="shared" si="20"/>
        <v>#DIV/0!</v>
      </c>
      <c r="AI35" s="51">
        <f>'Расходы помесячно (План-Факт)'!BF132</f>
        <v>0</v>
      </c>
      <c r="AJ35" s="52" t="e">
        <f t="shared" si="21"/>
        <v>#DIV/0!</v>
      </c>
      <c r="AK35" s="53" t="e">
        <f t="shared" si="22"/>
        <v>#DIV/0!</v>
      </c>
      <c r="AL35" s="51">
        <f t="shared" si="24"/>
        <v>10245827.24</v>
      </c>
      <c r="AM35" s="52">
        <f t="shared" si="23"/>
        <v>2.7810256589391073E-2</v>
      </c>
      <c r="AN35" s="53" t="e">
        <f t="shared" si="25"/>
        <v>#REF!</v>
      </c>
      <c r="AO35" s="61">
        <f t="shared" si="26"/>
        <v>2898.4362223122112</v>
      </c>
      <c r="AP35" s="62"/>
      <c r="AS35" s="52"/>
      <c r="AT35" s="55">
        <f>SUM(AT36,AT41)</f>
        <v>898281</v>
      </c>
    </row>
    <row r="36" spans="1:46">
      <c r="A36" s="65" t="s">
        <v>50</v>
      </c>
      <c r="B36" s="66" t="e">
        <f>NA()</f>
        <v>#N/A</v>
      </c>
      <c r="C36" s="67" t="e">
        <f t="shared" si="0"/>
        <v>#N/A</v>
      </c>
      <c r="D36" s="68"/>
      <c r="E36" s="66" t="e">
        <f>NA()</f>
        <v>#N/A</v>
      </c>
      <c r="F36" s="67" t="e">
        <f t="shared" si="1"/>
        <v>#N/A</v>
      </c>
      <c r="G36" s="68" t="e">
        <f t="shared" si="2"/>
        <v>#N/A</v>
      </c>
      <c r="H36" s="66" t="e">
        <f>NA()</f>
        <v>#N/A</v>
      </c>
      <c r="I36" s="67" t="e">
        <f t="shared" si="3"/>
        <v>#N/A</v>
      </c>
      <c r="J36" s="68" t="e">
        <f t="shared" si="4"/>
        <v>#N/A</v>
      </c>
      <c r="K36" s="66" t="e">
        <f>NA()</f>
        <v>#N/A</v>
      </c>
      <c r="L36" s="67" t="e">
        <f t="shared" si="5"/>
        <v>#N/A</v>
      </c>
      <c r="M36" s="68" t="e">
        <f t="shared" si="6"/>
        <v>#N/A</v>
      </c>
      <c r="N36" s="66" t="e">
        <f>NA()</f>
        <v>#N/A</v>
      </c>
      <c r="O36" s="67" t="e">
        <f t="shared" si="7"/>
        <v>#N/A</v>
      </c>
      <c r="P36" s="68" t="e">
        <f t="shared" si="8"/>
        <v>#N/A</v>
      </c>
      <c r="Q36" s="66" t="e">
        <f>NA()</f>
        <v>#N/A</v>
      </c>
      <c r="R36" s="67" t="e">
        <f t="shared" si="9"/>
        <v>#N/A</v>
      </c>
      <c r="S36" s="68" t="e">
        <f t="shared" si="10"/>
        <v>#N/A</v>
      </c>
      <c r="T36" s="66" t="e">
        <f>NA()</f>
        <v>#N/A</v>
      </c>
      <c r="U36" s="67" t="e">
        <f t="shared" si="11"/>
        <v>#N/A</v>
      </c>
      <c r="V36" s="68" t="e">
        <f t="shared" si="12"/>
        <v>#N/A</v>
      </c>
      <c r="W36" s="66" t="e">
        <f>NA()</f>
        <v>#N/A</v>
      </c>
      <c r="X36" s="67" t="e">
        <f t="shared" si="13"/>
        <v>#N/A</v>
      </c>
      <c r="Y36" s="68" t="e">
        <f t="shared" si="14"/>
        <v>#N/A</v>
      </c>
      <c r="Z36" s="66" t="e">
        <f>NA()</f>
        <v>#N/A</v>
      </c>
      <c r="AA36" s="67" t="e">
        <f t="shared" si="15"/>
        <v>#N/A</v>
      </c>
      <c r="AB36" s="68" t="e">
        <f t="shared" si="16"/>
        <v>#N/A</v>
      </c>
      <c r="AC36" s="66" t="e">
        <f>NA()</f>
        <v>#N/A</v>
      </c>
      <c r="AD36" s="67" t="e">
        <f t="shared" si="17"/>
        <v>#N/A</v>
      </c>
      <c r="AE36" s="68" t="e">
        <f t="shared" si="18"/>
        <v>#N/A</v>
      </c>
      <c r="AF36" s="66" t="e">
        <f>NA()</f>
        <v>#N/A</v>
      </c>
      <c r="AG36" s="67" t="e">
        <f t="shared" si="19"/>
        <v>#N/A</v>
      </c>
      <c r="AH36" s="68" t="e">
        <f t="shared" si="20"/>
        <v>#N/A</v>
      </c>
      <c r="AI36" s="66" t="e">
        <f>NA()</f>
        <v>#N/A</v>
      </c>
      <c r="AJ36" s="67" t="e">
        <f t="shared" si="21"/>
        <v>#N/A</v>
      </c>
      <c r="AK36" s="68" t="e">
        <f t="shared" si="22"/>
        <v>#N/A</v>
      </c>
      <c r="AL36" s="66" t="e">
        <f t="shared" si="24"/>
        <v>#N/A</v>
      </c>
      <c r="AM36" s="67" t="e">
        <f t="shared" si="23"/>
        <v>#N/A</v>
      </c>
      <c r="AN36" s="68" t="e">
        <f t="shared" si="25"/>
        <v>#N/A</v>
      </c>
      <c r="AO36" s="69" t="e">
        <f t="shared" si="26"/>
        <v>#N/A</v>
      </c>
      <c r="AP36" s="70"/>
      <c r="AS36" s="67"/>
      <c r="AT36" s="71">
        <f>SUM(AT37:AT40)</f>
        <v>329479</v>
      </c>
    </row>
    <row r="37" spans="1:46">
      <c r="A37" s="72" t="s">
        <v>51</v>
      </c>
      <c r="B37" s="43">
        <f>'Расходы помесячно (План-Факт)'!C136</f>
        <v>38177</v>
      </c>
      <c r="C37" s="44">
        <f t="shared" si="0"/>
        <v>2.0916337256680901E-3</v>
      </c>
      <c r="D37" s="45"/>
      <c r="E37" s="43">
        <f>'Расходы помесячно (План-Факт)'!H136</f>
        <v>14160</v>
      </c>
      <c r="F37" s="44">
        <f t="shared" si="1"/>
        <v>5.6511215641286648E-4</v>
      </c>
      <c r="G37" s="45">
        <f t="shared" si="2"/>
        <v>7.7579520537130093E-4</v>
      </c>
      <c r="H37" s="43">
        <f>'Расходы помесячно (План-Факт)'!M136</f>
        <v>0</v>
      </c>
      <c r="I37" s="44">
        <f t="shared" si="3"/>
        <v>0</v>
      </c>
      <c r="J37" s="45">
        <f t="shared" si="4"/>
        <v>0</v>
      </c>
      <c r="K37" s="43">
        <f>'Расходы помесячно (План-Факт)'!R136</f>
        <v>86100</v>
      </c>
      <c r="L37" s="44">
        <f t="shared" si="5"/>
        <v>1.4892375552045315E-3</v>
      </c>
      <c r="M37" s="45">
        <f t="shared" si="6"/>
        <v>2.5938615594983836E-3</v>
      </c>
      <c r="N37" s="43">
        <f>'Расходы помесячно (План-Факт)'!W136</f>
        <v>0</v>
      </c>
      <c r="O37" s="44">
        <f t="shared" si="7"/>
        <v>0</v>
      </c>
      <c r="P37" s="45">
        <f t="shared" si="8"/>
        <v>0</v>
      </c>
      <c r="Q37" s="43">
        <f>'Расходы помесячно (План-Факт)'!AB136</f>
        <v>30418</v>
      </c>
      <c r="R37" s="44">
        <f t="shared" si="9"/>
        <v>6.8651959226402983E-4</v>
      </c>
      <c r="S37" s="45">
        <f t="shared" si="10"/>
        <v>5.3603440783611428E-4</v>
      </c>
      <c r="T37" s="43">
        <f>'Расходы помесячно (План-Факт)'!AG136</f>
        <v>25980</v>
      </c>
      <c r="U37" s="44">
        <f t="shared" si="11"/>
        <v>5.8996036770009753E-4</v>
      </c>
      <c r="V37" s="45">
        <f t="shared" si="12"/>
        <v>5.8635607229336228E-4</v>
      </c>
      <c r="W37" s="43">
        <f>'Расходы помесячно (План-Факт)'!AL136</f>
        <v>50045</v>
      </c>
      <c r="X37" s="44">
        <f t="shared" si="13"/>
        <v>9.9223028764643031E-4</v>
      </c>
      <c r="Y37" s="45">
        <f t="shared" si="14"/>
        <v>1.136434434239853E-3</v>
      </c>
      <c r="Z37" s="43">
        <f>'Расходы помесячно (План-Факт)'!AQ136</f>
        <v>10372.86</v>
      </c>
      <c r="AA37" s="44">
        <f t="shared" si="15"/>
        <v>2.6891096853419683E-4</v>
      </c>
      <c r="AB37" s="45">
        <f t="shared" si="16"/>
        <v>2.056602230295964E-4</v>
      </c>
      <c r="AC37" s="43">
        <f>'Расходы помесячно (План-Факт)'!AV136</f>
        <v>0</v>
      </c>
      <c r="AD37" s="44" t="e">
        <f t="shared" si="17"/>
        <v>#DIV/0!</v>
      </c>
      <c r="AE37" s="45">
        <f t="shared" si="18"/>
        <v>0</v>
      </c>
      <c r="AF37" s="43">
        <f>'Расходы помесячно (План-Факт)'!BA136</f>
        <v>0</v>
      </c>
      <c r="AG37" s="44" t="e">
        <f t="shared" si="19"/>
        <v>#DIV/0!</v>
      </c>
      <c r="AH37" s="45" t="e">
        <f t="shared" si="20"/>
        <v>#DIV/0!</v>
      </c>
      <c r="AI37" s="43">
        <f>'Расходы помесячно (План-Факт)'!BF136</f>
        <v>0</v>
      </c>
      <c r="AJ37" s="44" t="e">
        <f t="shared" si="21"/>
        <v>#DIV/0!</v>
      </c>
      <c r="AK37" s="45" t="e">
        <f t="shared" si="22"/>
        <v>#DIV/0!</v>
      </c>
      <c r="AL37" s="57">
        <f t="shared" si="24"/>
        <v>255252.86</v>
      </c>
      <c r="AM37" s="46">
        <f t="shared" si="23"/>
        <v>6.9283303002246565E-4</v>
      </c>
      <c r="AN37" s="47" t="e">
        <f t="shared" si="25"/>
        <v>#REF!</v>
      </c>
      <c r="AO37" s="63">
        <f t="shared" si="26"/>
        <v>72.208335934501633</v>
      </c>
      <c r="AP37" s="64">
        <v>30</v>
      </c>
      <c r="AS37" s="46">
        <v>5.0000000000000001E-4</v>
      </c>
      <c r="AT37" s="49">
        <f>ROUND($AT$5*AS37,0)</f>
        <v>8196</v>
      </c>
    </row>
    <row r="38" spans="1:46">
      <c r="A38" s="72" t="s">
        <v>52</v>
      </c>
      <c r="B38" s="43">
        <f>'Расходы помесячно (План-Факт)'!C140</f>
        <v>59580.3</v>
      </c>
      <c r="C38" s="44">
        <f t="shared" si="0"/>
        <v>3.2642733809734267E-3</v>
      </c>
      <c r="D38" s="45"/>
      <c r="E38" s="43">
        <f>'Расходы помесячно (План-Факт)'!H140</f>
        <v>131400</v>
      </c>
      <c r="F38" s="44">
        <f t="shared" si="1"/>
        <v>5.2440492480685498E-3</v>
      </c>
      <c r="G38" s="45">
        <f t="shared" si="2"/>
        <v>7.199116524420123E-3</v>
      </c>
      <c r="H38" s="43">
        <f>'Расходы помесячно (План-Факт)'!M140</f>
        <v>72780.02</v>
      </c>
      <c r="I38" s="44">
        <f t="shared" si="3"/>
        <v>2.1925818371373237E-3</v>
      </c>
      <c r="J38" s="45">
        <f t="shared" si="4"/>
        <v>2.90458150042172E-3</v>
      </c>
      <c r="K38" s="43">
        <f>'Расходы помесячно (План-Факт)'!R140</f>
        <v>117533</v>
      </c>
      <c r="L38" s="44">
        <f t="shared" si="5"/>
        <v>2.0329216907764716E-3</v>
      </c>
      <c r="M38" s="45">
        <f t="shared" si="6"/>
        <v>3.5408168486936531E-3</v>
      </c>
      <c r="N38" s="43">
        <f>'Расходы помесячно (План-Факт)'!W140</f>
        <v>31446.14</v>
      </c>
      <c r="O38" s="44">
        <f t="shared" si="7"/>
        <v>5.5415257523938285E-4</v>
      </c>
      <c r="P38" s="45">
        <f t="shared" si="8"/>
        <v>5.4391141294099217E-4</v>
      </c>
      <c r="Q38" s="43">
        <f>'Расходы помесячно (План-Факт)'!AB140</f>
        <v>0</v>
      </c>
      <c r="R38" s="44">
        <f t="shared" si="9"/>
        <v>0</v>
      </c>
      <c r="S38" s="45">
        <f t="shared" si="10"/>
        <v>0</v>
      </c>
      <c r="T38" s="43">
        <f>'Расходы помесячно (План-Факт)'!AG140</f>
        <v>3010</v>
      </c>
      <c r="U38" s="44">
        <f t="shared" si="11"/>
        <v>6.8351836288579426E-5</v>
      </c>
      <c r="V38" s="45">
        <f t="shared" si="12"/>
        <v>6.7934248560547365E-5</v>
      </c>
      <c r="W38" s="43">
        <f>'Расходы помесячно (План-Факт)'!AL140</f>
        <v>33810</v>
      </c>
      <c r="X38" s="44">
        <f t="shared" si="13"/>
        <v>6.7034281197573804E-4</v>
      </c>
      <c r="Y38" s="45">
        <f t="shared" si="14"/>
        <v>7.6776597505543874E-4</v>
      </c>
      <c r="Z38" s="43">
        <f>'Расходы помесячно (План-Факт)'!AQ140</f>
        <v>26000</v>
      </c>
      <c r="AA38" s="44">
        <f t="shared" si="15"/>
        <v>6.7403639708712136E-4</v>
      </c>
      <c r="AB38" s="45">
        <f t="shared" si="16"/>
        <v>5.1549580335312592E-4</v>
      </c>
      <c r="AC38" s="43">
        <f>'Расходы помесячно (План-Факт)'!AV140</f>
        <v>0</v>
      </c>
      <c r="AD38" s="44" t="e">
        <f t="shared" si="17"/>
        <v>#DIV/0!</v>
      </c>
      <c r="AE38" s="45">
        <f t="shared" si="18"/>
        <v>0</v>
      </c>
      <c r="AF38" s="43">
        <f>'Расходы помесячно (План-Факт)'!BA140</f>
        <v>0</v>
      </c>
      <c r="AG38" s="44" t="e">
        <f t="shared" si="19"/>
        <v>#DIV/0!</v>
      </c>
      <c r="AH38" s="45" t="e">
        <f t="shared" si="20"/>
        <v>#DIV/0!</v>
      </c>
      <c r="AI38" s="43">
        <f>'Расходы помесячно (План-Факт)'!BF140</f>
        <v>0</v>
      </c>
      <c r="AJ38" s="44" t="e">
        <f t="shared" si="21"/>
        <v>#DIV/0!</v>
      </c>
      <c r="AK38" s="45" t="e">
        <f t="shared" si="22"/>
        <v>#DIV/0!</v>
      </c>
      <c r="AL38" s="57">
        <f t="shared" si="24"/>
        <v>475559.46</v>
      </c>
      <c r="AM38" s="46">
        <f t="shared" si="23"/>
        <v>1.2908114002234787E-3</v>
      </c>
      <c r="AN38" s="47" t="e">
        <f t="shared" si="25"/>
        <v>#REF!</v>
      </c>
      <c r="AO38" s="63">
        <f t="shared" si="26"/>
        <v>134.53074431569618</v>
      </c>
      <c r="AP38" s="64">
        <v>140</v>
      </c>
      <c r="AS38" s="46">
        <v>2.2000000000000001E-3</v>
      </c>
      <c r="AT38" s="49">
        <f>ROUND($AT$5*AS38,0)</f>
        <v>36062</v>
      </c>
    </row>
    <row r="39" spans="1:46">
      <c r="A39" s="72" t="s">
        <v>53</v>
      </c>
      <c r="B39" s="43">
        <f>'Расходы помесячно (План-Факт)'!C143</f>
        <v>55500</v>
      </c>
      <c r="C39" s="44">
        <f t="shared" si="0"/>
        <v>3.0407227329171753E-3</v>
      </c>
      <c r="D39" s="45"/>
      <c r="E39" s="43">
        <f>'Расходы помесячно (План-Факт)'!H143</f>
        <v>5372</v>
      </c>
      <c r="F39" s="44">
        <f t="shared" si="1"/>
        <v>2.1439141979166096E-4</v>
      </c>
      <c r="G39" s="45">
        <f t="shared" si="2"/>
        <v>2.9432004542758676E-4</v>
      </c>
      <c r="H39" s="43">
        <f>'Расходы помесячно (План-Факт)'!M143</f>
        <v>106500</v>
      </c>
      <c r="I39" s="44">
        <f t="shared" si="3"/>
        <v>3.2084350300415547E-3</v>
      </c>
      <c r="J39" s="45">
        <f t="shared" si="4"/>
        <v>4.250313888274738E-3</v>
      </c>
      <c r="K39" s="43">
        <f>'Расходы помесячно (План-Факт)'!R143</f>
        <v>14990</v>
      </c>
      <c r="L39" s="44">
        <f t="shared" si="5"/>
        <v>2.5927608539507465E-4</v>
      </c>
      <c r="M39" s="45">
        <f t="shared" si="6"/>
        <v>4.5159099624716341E-4</v>
      </c>
      <c r="N39" s="43">
        <f>'Расходы помесячно (План-Факт)'!W143</f>
        <v>128590</v>
      </c>
      <c r="O39" s="44">
        <f t="shared" si="7"/>
        <v>2.2660485404578192E-3</v>
      </c>
      <c r="P39" s="45">
        <f t="shared" si="8"/>
        <v>2.2241702348867677E-3</v>
      </c>
      <c r="Q39" s="43">
        <f>'Расходы помесячно (План-Факт)'!AB143</f>
        <v>4000</v>
      </c>
      <c r="R39" s="44">
        <f t="shared" si="9"/>
        <v>9.0278071176807129E-5</v>
      </c>
      <c r="S39" s="45">
        <f t="shared" si="10"/>
        <v>7.0489106165574903E-5</v>
      </c>
      <c r="T39" s="43">
        <f>'Расходы помесячно (План-Факт)'!AG143</f>
        <v>5850</v>
      </c>
      <c r="U39" s="44">
        <f t="shared" si="11"/>
        <v>1.3284326986318594E-4</v>
      </c>
      <c r="V39" s="45">
        <f t="shared" si="12"/>
        <v>1.3203167909608043E-4</v>
      </c>
      <c r="W39" s="43">
        <f>'Расходы помесячно (План-Факт)'!AL143</f>
        <v>6500</v>
      </c>
      <c r="X39" s="44">
        <f t="shared" si="13"/>
        <v>1.2887395083828148E-4</v>
      </c>
      <c r="Y39" s="45">
        <f t="shared" si="14"/>
        <v>1.4760363318131771E-4</v>
      </c>
      <c r="Z39" s="43">
        <f>'Расходы помесячно (План-Факт)'!AQ143</f>
        <v>5350</v>
      </c>
      <c r="AA39" s="44">
        <f t="shared" si="15"/>
        <v>1.3869595093908075E-4</v>
      </c>
      <c r="AB39" s="45">
        <f t="shared" si="16"/>
        <v>1.0607317492073938E-4</v>
      </c>
      <c r="AC39" s="43">
        <f>'Расходы помесячно (План-Факт)'!AV143</f>
        <v>0</v>
      </c>
      <c r="AD39" s="44" t="e">
        <f t="shared" si="17"/>
        <v>#DIV/0!</v>
      </c>
      <c r="AE39" s="45">
        <f t="shared" si="18"/>
        <v>0</v>
      </c>
      <c r="AF39" s="43">
        <f>'Расходы помесячно (План-Факт)'!BA143</f>
        <v>0</v>
      </c>
      <c r="AG39" s="44" t="e">
        <f t="shared" si="19"/>
        <v>#DIV/0!</v>
      </c>
      <c r="AH39" s="45" t="e">
        <f t="shared" si="20"/>
        <v>#DIV/0!</v>
      </c>
      <c r="AI39" s="43">
        <f>'Расходы помесячно (План-Факт)'!BF143</f>
        <v>0</v>
      </c>
      <c r="AJ39" s="44" t="e">
        <f t="shared" si="21"/>
        <v>#DIV/0!</v>
      </c>
      <c r="AK39" s="45" t="e">
        <f t="shared" si="22"/>
        <v>#DIV/0!</v>
      </c>
      <c r="AL39" s="57">
        <f t="shared" si="24"/>
        <v>332652</v>
      </c>
      <c r="AM39" s="46">
        <f t="shared" si="23"/>
        <v>9.0291757398147567E-4</v>
      </c>
      <c r="AN39" s="47" t="e">
        <f t="shared" si="25"/>
        <v>#REF!</v>
      </c>
      <c r="AO39" s="63">
        <f t="shared" si="26"/>
        <v>94.10373449012026</v>
      </c>
      <c r="AP39" s="64"/>
      <c r="AS39" s="46">
        <v>0</v>
      </c>
      <c r="AT39" s="49">
        <f>ROUND($AT$5*AS39,0)</f>
        <v>0</v>
      </c>
    </row>
    <row r="40" spans="1:46">
      <c r="A40" s="72" t="s">
        <v>54</v>
      </c>
      <c r="B40" s="43">
        <f>'Расходы помесячно (План-Факт)'!C80</f>
        <v>0</v>
      </c>
      <c r="C40" s="44">
        <f t="shared" si="0"/>
        <v>0</v>
      </c>
      <c r="D40" s="45"/>
      <c r="E40" s="43">
        <f>'Расходы помесячно (План-Факт)'!H80</f>
        <v>0</v>
      </c>
      <c r="F40" s="44">
        <f t="shared" si="1"/>
        <v>0</v>
      </c>
      <c r="G40" s="45">
        <f t="shared" si="2"/>
        <v>0</v>
      </c>
      <c r="H40" s="43">
        <f>'Расходы помесячно (План-Факт)'!M80</f>
        <v>0</v>
      </c>
      <c r="I40" s="44">
        <f t="shared" si="3"/>
        <v>0</v>
      </c>
      <c r="J40" s="45">
        <f t="shared" si="4"/>
        <v>0</v>
      </c>
      <c r="K40" s="43">
        <f>'Расходы помесячно (План-Факт)'!R80</f>
        <v>0</v>
      </c>
      <c r="L40" s="44">
        <f t="shared" si="5"/>
        <v>0</v>
      </c>
      <c r="M40" s="45">
        <f t="shared" si="6"/>
        <v>0</v>
      </c>
      <c r="N40" s="43">
        <f>'Расходы помесячно (План-Факт)'!W80</f>
        <v>0</v>
      </c>
      <c r="O40" s="44">
        <f t="shared" si="7"/>
        <v>0</v>
      </c>
      <c r="P40" s="45">
        <f t="shared" si="8"/>
        <v>0</v>
      </c>
      <c r="Q40" s="43">
        <f>'Расходы помесячно (План-Факт)'!AB80</f>
        <v>0</v>
      </c>
      <c r="R40" s="44">
        <f t="shared" si="9"/>
        <v>0</v>
      </c>
      <c r="S40" s="45">
        <f t="shared" si="10"/>
        <v>0</v>
      </c>
      <c r="T40" s="43">
        <f>'Расходы помесячно (План-Факт)'!AG80</f>
        <v>0</v>
      </c>
      <c r="U40" s="44">
        <f t="shared" si="11"/>
        <v>0</v>
      </c>
      <c r="V40" s="45">
        <f t="shared" si="12"/>
        <v>0</v>
      </c>
      <c r="W40" s="43">
        <f>'Расходы помесячно (План-Факт)'!AL80</f>
        <v>0</v>
      </c>
      <c r="X40" s="44">
        <f t="shared" si="13"/>
        <v>0</v>
      </c>
      <c r="Y40" s="45">
        <f t="shared" si="14"/>
        <v>0</v>
      </c>
      <c r="Z40" s="43">
        <f>'Расходы помесячно (План-Факт)'!AQ80</f>
        <v>0</v>
      </c>
      <c r="AA40" s="44">
        <f t="shared" si="15"/>
        <v>0</v>
      </c>
      <c r="AB40" s="45">
        <f t="shared" si="16"/>
        <v>0</v>
      </c>
      <c r="AC40" s="43">
        <f>'Расходы помесячно (План-Факт)'!AV80</f>
        <v>0</v>
      </c>
      <c r="AD40" s="44" t="e">
        <f t="shared" si="17"/>
        <v>#DIV/0!</v>
      </c>
      <c r="AE40" s="45">
        <f t="shared" si="18"/>
        <v>0</v>
      </c>
      <c r="AF40" s="43">
        <f>'Расходы помесячно (План-Факт)'!BA80</f>
        <v>0</v>
      </c>
      <c r="AG40" s="44" t="e">
        <f t="shared" si="19"/>
        <v>#DIV/0!</v>
      </c>
      <c r="AH40" s="45" t="e">
        <f t="shared" si="20"/>
        <v>#DIV/0!</v>
      </c>
      <c r="AI40" s="43">
        <f>'Расходы помесячно (План-Факт)'!BF80</f>
        <v>0</v>
      </c>
      <c r="AJ40" s="44" t="e">
        <f t="shared" si="21"/>
        <v>#DIV/0!</v>
      </c>
      <c r="AK40" s="45" t="e">
        <f t="shared" si="22"/>
        <v>#DIV/0!</v>
      </c>
      <c r="AL40" s="57">
        <f t="shared" si="24"/>
        <v>0</v>
      </c>
      <c r="AM40" s="46">
        <f t="shared" si="23"/>
        <v>0</v>
      </c>
      <c r="AN40" s="47" t="e">
        <f t="shared" si="25"/>
        <v>#REF!</v>
      </c>
      <c r="AO40" s="63">
        <f t="shared" si="26"/>
        <v>0</v>
      </c>
      <c r="AP40" s="64"/>
      <c r="AS40" s="46">
        <v>1.7399999999999999E-2</v>
      </c>
      <c r="AT40" s="58">
        <f>ROUND($AT$5*AS40,0)</f>
        <v>285221</v>
      </c>
    </row>
    <row r="41" spans="1:46">
      <c r="A41" s="65" t="s">
        <v>55</v>
      </c>
      <c r="B41" s="66" t="e">
        <f>NA()</f>
        <v>#N/A</v>
      </c>
      <c r="C41" s="67" t="e">
        <f t="shared" si="0"/>
        <v>#N/A</v>
      </c>
      <c r="D41" s="68"/>
      <c r="E41" s="66" t="e">
        <f>NA()</f>
        <v>#N/A</v>
      </c>
      <c r="F41" s="67" t="e">
        <f t="shared" si="1"/>
        <v>#N/A</v>
      </c>
      <c r="G41" s="68" t="e">
        <f t="shared" si="2"/>
        <v>#N/A</v>
      </c>
      <c r="H41" s="66" t="e">
        <f>NA()</f>
        <v>#N/A</v>
      </c>
      <c r="I41" s="67" t="e">
        <f t="shared" si="3"/>
        <v>#N/A</v>
      </c>
      <c r="J41" s="68" t="e">
        <f t="shared" si="4"/>
        <v>#N/A</v>
      </c>
      <c r="K41" s="66" t="e">
        <f>NA()</f>
        <v>#N/A</v>
      </c>
      <c r="L41" s="67" t="e">
        <f t="shared" si="5"/>
        <v>#N/A</v>
      </c>
      <c r="M41" s="68" t="e">
        <f t="shared" si="6"/>
        <v>#N/A</v>
      </c>
      <c r="N41" s="66" t="e">
        <f>NA()</f>
        <v>#N/A</v>
      </c>
      <c r="O41" s="67" t="e">
        <f t="shared" si="7"/>
        <v>#N/A</v>
      </c>
      <c r="P41" s="68" t="e">
        <f t="shared" si="8"/>
        <v>#N/A</v>
      </c>
      <c r="Q41" s="66" t="e">
        <f>NA()</f>
        <v>#N/A</v>
      </c>
      <c r="R41" s="67" t="e">
        <f t="shared" si="9"/>
        <v>#N/A</v>
      </c>
      <c r="S41" s="68" t="e">
        <f t="shared" si="10"/>
        <v>#N/A</v>
      </c>
      <c r="T41" s="66" t="e">
        <f>NA()</f>
        <v>#N/A</v>
      </c>
      <c r="U41" s="67" t="e">
        <f t="shared" si="11"/>
        <v>#N/A</v>
      </c>
      <c r="V41" s="68" t="e">
        <f t="shared" si="12"/>
        <v>#N/A</v>
      </c>
      <c r="W41" s="66" t="e">
        <f>NA()</f>
        <v>#N/A</v>
      </c>
      <c r="X41" s="67" t="e">
        <f t="shared" si="13"/>
        <v>#N/A</v>
      </c>
      <c r="Y41" s="68" t="e">
        <f t="shared" si="14"/>
        <v>#N/A</v>
      </c>
      <c r="Z41" s="66" t="e">
        <f>NA()</f>
        <v>#N/A</v>
      </c>
      <c r="AA41" s="67" t="e">
        <f t="shared" si="15"/>
        <v>#N/A</v>
      </c>
      <c r="AB41" s="68" t="e">
        <f t="shared" si="16"/>
        <v>#N/A</v>
      </c>
      <c r="AC41" s="66" t="e">
        <f>NA()</f>
        <v>#N/A</v>
      </c>
      <c r="AD41" s="67" t="e">
        <f t="shared" si="17"/>
        <v>#N/A</v>
      </c>
      <c r="AE41" s="68" t="e">
        <f t="shared" si="18"/>
        <v>#N/A</v>
      </c>
      <c r="AF41" s="66" t="e">
        <f>NA()</f>
        <v>#N/A</v>
      </c>
      <c r="AG41" s="67" t="e">
        <f t="shared" si="19"/>
        <v>#N/A</v>
      </c>
      <c r="AH41" s="68" t="e">
        <f t="shared" si="20"/>
        <v>#N/A</v>
      </c>
      <c r="AI41" s="66" t="e">
        <f>NA()</f>
        <v>#N/A</v>
      </c>
      <c r="AJ41" s="67" t="e">
        <f t="shared" si="21"/>
        <v>#N/A</v>
      </c>
      <c r="AK41" s="68" t="e">
        <f t="shared" si="22"/>
        <v>#N/A</v>
      </c>
      <c r="AL41" s="66" t="e">
        <f t="shared" si="24"/>
        <v>#N/A</v>
      </c>
      <c r="AM41" s="67" t="e">
        <f t="shared" si="23"/>
        <v>#N/A</v>
      </c>
      <c r="AN41" s="68" t="e">
        <f t="shared" si="25"/>
        <v>#N/A</v>
      </c>
      <c r="AO41" s="69" t="e">
        <f t="shared" si="26"/>
        <v>#N/A</v>
      </c>
      <c r="AP41" s="70"/>
      <c r="AS41" s="67"/>
      <c r="AT41" s="71">
        <f>SUM(AT42:AT43)</f>
        <v>568802</v>
      </c>
    </row>
    <row r="42" spans="1:46">
      <c r="A42" s="56"/>
      <c r="B42" s="43" t="e">
        <f>NA()</f>
        <v>#N/A</v>
      </c>
      <c r="C42" s="44" t="e">
        <f t="shared" si="0"/>
        <v>#N/A</v>
      </c>
      <c r="D42" s="45"/>
      <c r="E42" s="43" t="e">
        <f>NA()</f>
        <v>#N/A</v>
      </c>
      <c r="F42" s="44" t="e">
        <f t="shared" si="1"/>
        <v>#N/A</v>
      </c>
      <c r="G42" s="45" t="e">
        <f t="shared" si="2"/>
        <v>#N/A</v>
      </c>
      <c r="H42" s="43" t="e">
        <f>NA()</f>
        <v>#N/A</v>
      </c>
      <c r="I42" s="44" t="e">
        <f t="shared" si="3"/>
        <v>#N/A</v>
      </c>
      <c r="J42" s="45" t="e">
        <f t="shared" si="4"/>
        <v>#N/A</v>
      </c>
      <c r="K42" s="43" t="e">
        <f>NA()</f>
        <v>#N/A</v>
      </c>
      <c r="L42" s="44" t="e">
        <f t="shared" si="5"/>
        <v>#N/A</v>
      </c>
      <c r="M42" s="45" t="e">
        <f t="shared" si="6"/>
        <v>#N/A</v>
      </c>
      <c r="N42" s="43" t="e">
        <f>NA()</f>
        <v>#N/A</v>
      </c>
      <c r="O42" s="44" t="e">
        <f t="shared" si="7"/>
        <v>#N/A</v>
      </c>
      <c r="P42" s="45" t="e">
        <f t="shared" si="8"/>
        <v>#N/A</v>
      </c>
      <c r="Q42" s="43" t="e">
        <f>NA()</f>
        <v>#N/A</v>
      </c>
      <c r="R42" s="44" t="e">
        <f t="shared" si="9"/>
        <v>#N/A</v>
      </c>
      <c r="S42" s="45" t="e">
        <f t="shared" si="10"/>
        <v>#N/A</v>
      </c>
      <c r="T42" s="43" t="e">
        <f>NA()</f>
        <v>#N/A</v>
      </c>
      <c r="U42" s="44" t="e">
        <f t="shared" si="11"/>
        <v>#N/A</v>
      </c>
      <c r="V42" s="45" t="e">
        <f t="shared" si="12"/>
        <v>#N/A</v>
      </c>
      <c r="W42" s="43" t="e">
        <f>NA()</f>
        <v>#N/A</v>
      </c>
      <c r="X42" s="44" t="e">
        <f t="shared" si="13"/>
        <v>#N/A</v>
      </c>
      <c r="Y42" s="45" t="e">
        <f t="shared" si="14"/>
        <v>#N/A</v>
      </c>
      <c r="Z42" s="43" t="e">
        <f>NA()</f>
        <v>#N/A</v>
      </c>
      <c r="AA42" s="44" t="e">
        <f t="shared" si="15"/>
        <v>#N/A</v>
      </c>
      <c r="AB42" s="45" t="e">
        <f t="shared" si="16"/>
        <v>#N/A</v>
      </c>
      <c r="AC42" s="43" t="e">
        <f>NA()</f>
        <v>#N/A</v>
      </c>
      <c r="AD42" s="44" t="e">
        <f t="shared" si="17"/>
        <v>#N/A</v>
      </c>
      <c r="AE42" s="45" t="e">
        <f t="shared" si="18"/>
        <v>#N/A</v>
      </c>
      <c r="AF42" s="43" t="e">
        <f>NA()</f>
        <v>#N/A</v>
      </c>
      <c r="AG42" s="44" t="e">
        <f t="shared" si="19"/>
        <v>#N/A</v>
      </c>
      <c r="AH42" s="45" t="e">
        <f t="shared" si="20"/>
        <v>#N/A</v>
      </c>
      <c r="AI42" s="43" t="e">
        <f>NA()</f>
        <v>#N/A</v>
      </c>
      <c r="AJ42" s="44" t="e">
        <f t="shared" si="21"/>
        <v>#N/A</v>
      </c>
      <c r="AK42" s="45" t="e">
        <f t="shared" si="22"/>
        <v>#N/A</v>
      </c>
      <c r="AL42" s="57" t="e">
        <f t="shared" si="24"/>
        <v>#N/A</v>
      </c>
      <c r="AM42" s="46" t="e">
        <f t="shared" si="23"/>
        <v>#N/A</v>
      </c>
      <c r="AN42" s="47" t="e">
        <f t="shared" si="25"/>
        <v>#N/A</v>
      </c>
      <c r="AO42" s="63" t="e">
        <f t="shared" si="26"/>
        <v>#N/A</v>
      </c>
      <c r="AP42" s="64"/>
      <c r="AS42" s="46">
        <v>0</v>
      </c>
      <c r="AT42" s="49">
        <f>ROUND($AT$5*AS42,0)</f>
        <v>0</v>
      </c>
    </row>
    <row r="43" spans="1:46">
      <c r="A43" s="73" t="s">
        <v>56</v>
      </c>
      <c r="B43" s="43" t="e">
        <f>NA()</f>
        <v>#N/A</v>
      </c>
      <c r="C43" s="44" t="e">
        <f t="shared" si="0"/>
        <v>#N/A</v>
      </c>
      <c r="D43" s="45"/>
      <c r="E43" s="43" t="e">
        <f>NA()</f>
        <v>#N/A</v>
      </c>
      <c r="F43" s="44" t="e">
        <f t="shared" si="1"/>
        <v>#N/A</v>
      </c>
      <c r="G43" s="45" t="e">
        <f t="shared" si="2"/>
        <v>#N/A</v>
      </c>
      <c r="H43" s="43" t="e">
        <f>NA()</f>
        <v>#N/A</v>
      </c>
      <c r="I43" s="44" t="e">
        <f t="shared" si="3"/>
        <v>#N/A</v>
      </c>
      <c r="J43" s="45" t="e">
        <f t="shared" si="4"/>
        <v>#N/A</v>
      </c>
      <c r="K43" s="43" t="e">
        <f>NA()</f>
        <v>#N/A</v>
      </c>
      <c r="L43" s="44" t="e">
        <f t="shared" si="5"/>
        <v>#N/A</v>
      </c>
      <c r="M43" s="45" t="e">
        <f t="shared" si="6"/>
        <v>#N/A</v>
      </c>
      <c r="N43" s="43" t="e">
        <f>NA()</f>
        <v>#N/A</v>
      </c>
      <c r="O43" s="44" t="e">
        <f t="shared" si="7"/>
        <v>#N/A</v>
      </c>
      <c r="P43" s="45" t="e">
        <f t="shared" si="8"/>
        <v>#N/A</v>
      </c>
      <c r="Q43" s="43" t="e">
        <f>NA()</f>
        <v>#N/A</v>
      </c>
      <c r="R43" s="44" t="e">
        <f t="shared" si="9"/>
        <v>#N/A</v>
      </c>
      <c r="S43" s="45" t="e">
        <f t="shared" si="10"/>
        <v>#N/A</v>
      </c>
      <c r="T43" s="43" t="e">
        <f>NA()</f>
        <v>#N/A</v>
      </c>
      <c r="U43" s="44" t="e">
        <f t="shared" si="11"/>
        <v>#N/A</v>
      </c>
      <c r="V43" s="45" t="e">
        <f t="shared" si="12"/>
        <v>#N/A</v>
      </c>
      <c r="W43" s="43" t="e">
        <f>NA()</f>
        <v>#N/A</v>
      </c>
      <c r="X43" s="44" t="e">
        <f t="shared" si="13"/>
        <v>#N/A</v>
      </c>
      <c r="Y43" s="45" t="e">
        <f t="shared" si="14"/>
        <v>#N/A</v>
      </c>
      <c r="Z43" s="43" t="e">
        <f>NA()</f>
        <v>#N/A</v>
      </c>
      <c r="AA43" s="44" t="e">
        <f t="shared" si="15"/>
        <v>#N/A</v>
      </c>
      <c r="AB43" s="45" t="e">
        <f t="shared" si="16"/>
        <v>#N/A</v>
      </c>
      <c r="AC43" s="43" t="e">
        <f>NA()</f>
        <v>#N/A</v>
      </c>
      <c r="AD43" s="44" t="e">
        <f t="shared" si="17"/>
        <v>#N/A</v>
      </c>
      <c r="AE43" s="45" t="e">
        <f t="shared" si="18"/>
        <v>#N/A</v>
      </c>
      <c r="AF43" s="43" t="e">
        <f>NA()</f>
        <v>#N/A</v>
      </c>
      <c r="AG43" s="44" t="e">
        <f t="shared" si="19"/>
        <v>#N/A</v>
      </c>
      <c r="AH43" s="45" t="e">
        <f t="shared" si="20"/>
        <v>#N/A</v>
      </c>
      <c r="AI43" s="43" t="e">
        <f>NA()</f>
        <v>#N/A</v>
      </c>
      <c r="AJ43" s="44" t="e">
        <f t="shared" si="21"/>
        <v>#N/A</v>
      </c>
      <c r="AK43" s="45" t="e">
        <f t="shared" si="22"/>
        <v>#N/A</v>
      </c>
      <c r="AL43" s="57" t="e">
        <f t="shared" si="24"/>
        <v>#N/A</v>
      </c>
      <c r="AM43" s="46" t="e">
        <f t="shared" si="23"/>
        <v>#N/A</v>
      </c>
      <c r="AN43" s="47" t="e">
        <f t="shared" si="25"/>
        <v>#N/A</v>
      </c>
      <c r="AO43" s="63" t="e">
        <f t="shared" si="26"/>
        <v>#N/A</v>
      </c>
      <c r="AP43" s="64"/>
      <c r="AS43" s="46">
        <v>3.4700000000000002E-2</v>
      </c>
      <c r="AT43" s="49">
        <f>ROUND($AT$5*AS43,0)</f>
        <v>568802</v>
      </c>
    </row>
    <row r="44" spans="1:46">
      <c r="A44" s="74" t="s">
        <v>57</v>
      </c>
      <c r="B44" s="75" t="e">
        <f>NA()</f>
        <v>#N/A</v>
      </c>
      <c r="C44" s="76" t="e">
        <f t="shared" si="0"/>
        <v>#N/A</v>
      </c>
      <c r="D44" s="77"/>
      <c r="E44" s="75" t="e">
        <f>NA()</f>
        <v>#N/A</v>
      </c>
      <c r="F44" s="76" t="e">
        <f t="shared" si="1"/>
        <v>#N/A</v>
      </c>
      <c r="G44" s="77" t="e">
        <f t="shared" si="2"/>
        <v>#N/A</v>
      </c>
      <c r="H44" s="75" t="e">
        <f>NA()</f>
        <v>#N/A</v>
      </c>
      <c r="I44" s="76" t="e">
        <f t="shared" si="3"/>
        <v>#N/A</v>
      </c>
      <c r="J44" s="77" t="e">
        <f t="shared" si="4"/>
        <v>#N/A</v>
      </c>
      <c r="K44" s="75" t="e">
        <f>NA()</f>
        <v>#N/A</v>
      </c>
      <c r="L44" s="76" t="e">
        <f t="shared" si="5"/>
        <v>#N/A</v>
      </c>
      <c r="M44" s="77" t="e">
        <f t="shared" si="6"/>
        <v>#N/A</v>
      </c>
      <c r="N44" s="75" t="e">
        <f>NA()</f>
        <v>#N/A</v>
      </c>
      <c r="O44" s="76" t="e">
        <f t="shared" si="7"/>
        <v>#N/A</v>
      </c>
      <c r="P44" s="77" t="e">
        <f t="shared" si="8"/>
        <v>#N/A</v>
      </c>
      <c r="Q44" s="75" t="e">
        <f>NA()</f>
        <v>#N/A</v>
      </c>
      <c r="R44" s="76" t="e">
        <f t="shared" si="9"/>
        <v>#N/A</v>
      </c>
      <c r="S44" s="77" t="e">
        <f t="shared" si="10"/>
        <v>#N/A</v>
      </c>
      <c r="T44" s="75" t="e">
        <f>NA()</f>
        <v>#N/A</v>
      </c>
      <c r="U44" s="76" t="e">
        <f t="shared" si="11"/>
        <v>#N/A</v>
      </c>
      <c r="V44" s="77" t="e">
        <f t="shared" si="12"/>
        <v>#N/A</v>
      </c>
      <c r="W44" s="75" t="e">
        <f>NA()</f>
        <v>#N/A</v>
      </c>
      <c r="X44" s="76" t="e">
        <f t="shared" si="13"/>
        <v>#N/A</v>
      </c>
      <c r="Y44" s="77" t="e">
        <f t="shared" si="14"/>
        <v>#N/A</v>
      </c>
      <c r="Z44" s="75" t="e">
        <f>NA()</f>
        <v>#N/A</v>
      </c>
      <c r="AA44" s="76" t="e">
        <f t="shared" si="15"/>
        <v>#N/A</v>
      </c>
      <c r="AB44" s="77" t="e">
        <f t="shared" si="16"/>
        <v>#N/A</v>
      </c>
      <c r="AC44" s="75" t="e">
        <f>NA()</f>
        <v>#N/A</v>
      </c>
      <c r="AD44" s="76" t="e">
        <f t="shared" si="17"/>
        <v>#N/A</v>
      </c>
      <c r="AE44" s="77" t="e">
        <f t="shared" si="18"/>
        <v>#N/A</v>
      </c>
      <c r="AF44" s="75" t="e">
        <f>NA()</f>
        <v>#N/A</v>
      </c>
      <c r="AG44" s="76" t="e">
        <f t="shared" si="19"/>
        <v>#N/A</v>
      </c>
      <c r="AH44" s="77" t="e">
        <f t="shared" si="20"/>
        <v>#N/A</v>
      </c>
      <c r="AI44" s="75" t="e">
        <f>NA()</f>
        <v>#N/A</v>
      </c>
      <c r="AJ44" s="76" t="e">
        <f t="shared" si="21"/>
        <v>#N/A</v>
      </c>
      <c r="AK44" s="77" t="e">
        <f t="shared" si="22"/>
        <v>#N/A</v>
      </c>
      <c r="AL44" s="75" t="e">
        <f t="shared" si="24"/>
        <v>#N/A</v>
      </c>
      <c r="AM44" s="76" t="e">
        <f t="shared" si="23"/>
        <v>#N/A</v>
      </c>
      <c r="AN44" s="77" t="e">
        <f t="shared" si="25"/>
        <v>#N/A</v>
      </c>
      <c r="AO44" s="78" t="e">
        <f t="shared" si="26"/>
        <v>#N/A</v>
      </c>
      <c r="AP44" s="79"/>
      <c r="AS44" s="76">
        <v>1.222104420158828E-3</v>
      </c>
      <c r="AT44" s="80">
        <f>SUM(AT45:AT48)</f>
        <v>19670</v>
      </c>
    </row>
    <row r="45" spans="1:46">
      <c r="A45" s="56" t="s">
        <v>58</v>
      </c>
      <c r="B45" s="43">
        <f>'Расходы помесячно (План-Факт)'!C73</f>
        <v>0</v>
      </c>
      <c r="C45" s="44">
        <f t="shared" si="0"/>
        <v>0</v>
      </c>
      <c r="D45" s="45"/>
      <c r="E45" s="43">
        <f>'Расходы помесячно (План-Факт)'!H73</f>
        <v>0</v>
      </c>
      <c r="F45" s="44">
        <f t="shared" si="1"/>
        <v>0</v>
      </c>
      <c r="G45" s="45">
        <f t="shared" si="2"/>
        <v>0</v>
      </c>
      <c r="H45" s="43">
        <f>'Расходы помесячно (План-Факт)'!M73</f>
        <v>1689965.27</v>
      </c>
      <c r="I45" s="44">
        <f t="shared" si="3"/>
        <v>5.0912148092221915E-2</v>
      </c>
      <c r="J45" s="45">
        <f t="shared" si="4"/>
        <v>6.7444909462750863E-2</v>
      </c>
      <c r="K45" s="43">
        <f>'Расходы помесячно (План-Факт)'!R73</f>
        <v>8182060.3899999997</v>
      </c>
      <c r="L45" s="44">
        <f t="shared" si="5"/>
        <v>0.14152185379488311</v>
      </c>
      <c r="M45" s="45">
        <f t="shared" si="6"/>
        <v>0.24649398284686819</v>
      </c>
      <c r="N45" s="43">
        <f>'Расходы помесячно (План-Факт)'!W73</f>
        <v>616058.81999999995</v>
      </c>
      <c r="O45" s="44">
        <f t="shared" si="7"/>
        <v>1.0856358891804698E-2</v>
      </c>
      <c r="P45" s="45">
        <f t="shared" si="8"/>
        <v>1.0655725098246091E-2</v>
      </c>
      <c r="Q45" s="43">
        <f>'Расходы помесячно (План-Факт)'!AB73</f>
        <v>889793.15</v>
      </c>
      <c r="R45" s="44">
        <f t="shared" si="9"/>
        <v>2.0082202332083857E-2</v>
      </c>
      <c r="S45" s="45">
        <f t="shared" si="10"/>
        <v>1.568018095393783E-2</v>
      </c>
      <c r="T45" s="43">
        <f>'Расходы помесячно (План-Факт)'!AG73</f>
        <v>384962.11</v>
      </c>
      <c r="U45" s="44">
        <f t="shared" si="11"/>
        <v>8.74181631894555E-3</v>
      </c>
      <c r="V45" s="45">
        <f t="shared" si="12"/>
        <v>8.688409191738463E-3</v>
      </c>
      <c r="W45" s="43">
        <f>'Расходы помесячно (План-Факт)'!AL73</f>
        <v>666159.37</v>
      </c>
      <c r="X45" s="44">
        <f t="shared" si="13"/>
        <v>1.3207783061513934E-2</v>
      </c>
      <c r="Y45" s="45">
        <f t="shared" si="14"/>
        <v>1.5127314352273493E-2</v>
      </c>
      <c r="Z45" s="43">
        <f>'Расходы помесячно (План-Факт)'!AQ73</f>
        <v>435665.79</v>
      </c>
      <c r="AA45" s="44">
        <f t="shared" si="15"/>
        <v>1.1294407670219785E-2</v>
      </c>
      <c r="AB45" s="45">
        <f t="shared" si="16"/>
        <v>8.6378417849817014E-3</v>
      </c>
      <c r="AC45" s="43">
        <f>'Расходы помесячно (План-Факт)'!AV73</f>
        <v>0</v>
      </c>
      <c r="AD45" s="44" t="e">
        <f t="shared" si="17"/>
        <v>#DIV/0!</v>
      </c>
      <c r="AE45" s="45">
        <f t="shared" si="18"/>
        <v>0</v>
      </c>
      <c r="AF45" s="43">
        <f>'Расходы помесячно (План-Факт)'!BA73</f>
        <v>0</v>
      </c>
      <c r="AG45" s="44" t="e">
        <f t="shared" si="19"/>
        <v>#DIV/0!</v>
      </c>
      <c r="AH45" s="45" t="e">
        <f t="shared" si="20"/>
        <v>#DIV/0!</v>
      </c>
      <c r="AI45" s="43">
        <f>'Расходы помесячно (План-Факт)'!BF73</f>
        <v>0</v>
      </c>
      <c r="AJ45" s="44" t="e">
        <f t="shared" si="21"/>
        <v>#DIV/0!</v>
      </c>
      <c r="AK45" s="45" t="e">
        <f t="shared" si="22"/>
        <v>#DIV/0!</v>
      </c>
      <c r="AL45" s="57">
        <f t="shared" si="24"/>
        <v>12864664.899999999</v>
      </c>
      <c r="AM45" s="46">
        <f t="shared" si="23"/>
        <v>3.4918569621083424E-2</v>
      </c>
      <c r="AN45" s="47" t="e">
        <f t="shared" si="25"/>
        <v>#REF!</v>
      </c>
      <c r="AO45" s="63">
        <f t="shared" si="26"/>
        <v>3639.2777138089336</v>
      </c>
      <c r="AP45" s="64"/>
      <c r="AS45" s="46">
        <v>0</v>
      </c>
      <c r="AT45" s="49">
        <f>ROUND($AT$5*AS45,0)</f>
        <v>0</v>
      </c>
    </row>
    <row r="46" spans="1:46">
      <c r="A46" s="56" t="s">
        <v>59</v>
      </c>
      <c r="B46" s="43">
        <f>'Расходы помесячно (План-Факт)'!C146</f>
        <v>0</v>
      </c>
      <c r="C46" s="44">
        <f t="shared" si="0"/>
        <v>0</v>
      </c>
      <c r="D46" s="45"/>
      <c r="E46" s="43">
        <f>'Расходы помесячно (План-Факт)'!H146</f>
        <v>29447.51</v>
      </c>
      <c r="F46" s="44">
        <f t="shared" si="1"/>
        <v>1.1752221664611195E-3</v>
      </c>
      <c r="G46" s="45">
        <f t="shared" si="2"/>
        <v>1.6133641997262314E-3</v>
      </c>
      <c r="H46" s="43">
        <f>'Расходы помесячно (План-Факт)'!M146</f>
        <v>0</v>
      </c>
      <c r="I46" s="44">
        <f t="shared" si="3"/>
        <v>0</v>
      </c>
      <c r="J46" s="45">
        <f t="shared" si="4"/>
        <v>0</v>
      </c>
      <c r="K46" s="43">
        <f>'Расходы помесячно (План-Факт)'!R146</f>
        <v>731.16</v>
      </c>
      <c r="L46" s="44">
        <f t="shared" si="5"/>
        <v>1.2646584562872767E-5</v>
      </c>
      <c r="M46" s="45">
        <f t="shared" si="6"/>
        <v>2.2027036211879653E-5</v>
      </c>
      <c r="N46" s="43">
        <f>'Расходы помесячно (План-Факт)'!W146</f>
        <v>15479.95</v>
      </c>
      <c r="O46" s="44">
        <f t="shared" si="7"/>
        <v>2.7279195974694781E-4</v>
      </c>
      <c r="P46" s="45">
        <f t="shared" si="8"/>
        <v>2.67750556244929E-4</v>
      </c>
      <c r="Q46" s="43">
        <f>'Расходы помесячно (План-Факт)'!AB146</f>
        <v>4555.7299999999996</v>
      </c>
      <c r="R46" s="44">
        <f t="shared" si="9"/>
        <v>1.0282062930057887E-4</v>
      </c>
      <c r="S46" s="45">
        <f t="shared" si="10"/>
        <v>8.0282333907923624E-5</v>
      </c>
      <c r="T46" s="43">
        <f>'Расходы помесячно (План-Факт)'!AG146</f>
        <v>1699.28</v>
      </c>
      <c r="U46" s="44">
        <f t="shared" si="11"/>
        <v>3.8587677198823007E-5</v>
      </c>
      <c r="V46" s="45">
        <f t="shared" si="12"/>
        <v>3.8351930197331202E-5</v>
      </c>
      <c r="W46" s="43">
        <f>'Расходы помесячно (План-Факт)'!AL146</f>
        <v>0</v>
      </c>
      <c r="X46" s="44">
        <f t="shared" si="13"/>
        <v>0</v>
      </c>
      <c r="Y46" s="45">
        <f t="shared" si="14"/>
        <v>0</v>
      </c>
      <c r="Z46" s="43">
        <f>'Расходы помесячно (План-Факт)'!AQ146</f>
        <v>0</v>
      </c>
      <c r="AA46" s="44">
        <f t="shared" si="15"/>
        <v>0</v>
      </c>
      <c r="AB46" s="45">
        <f t="shared" si="16"/>
        <v>0</v>
      </c>
      <c r="AC46" s="43">
        <f>'Расходы помесячно (План-Факт)'!AV146</f>
        <v>0</v>
      </c>
      <c r="AD46" s="44" t="e">
        <f t="shared" si="17"/>
        <v>#DIV/0!</v>
      </c>
      <c r="AE46" s="45">
        <f t="shared" si="18"/>
        <v>0</v>
      </c>
      <c r="AF46" s="43">
        <f>'Расходы помесячно (План-Факт)'!BA146</f>
        <v>0</v>
      </c>
      <c r="AG46" s="44" t="e">
        <f t="shared" si="19"/>
        <v>#DIV/0!</v>
      </c>
      <c r="AH46" s="45" t="e">
        <f t="shared" si="20"/>
        <v>#DIV/0!</v>
      </c>
      <c r="AI46" s="43">
        <f>'Расходы помесячно (План-Факт)'!BF146</f>
        <v>0</v>
      </c>
      <c r="AJ46" s="44" t="e">
        <f t="shared" si="21"/>
        <v>#DIV/0!</v>
      </c>
      <c r="AK46" s="45" t="e">
        <f t="shared" si="22"/>
        <v>#DIV/0!</v>
      </c>
      <c r="AL46" s="57">
        <f t="shared" si="24"/>
        <v>51913.62999999999</v>
      </c>
      <c r="AM46" s="46">
        <f t="shared" si="23"/>
        <v>1.4090920498350211E-4</v>
      </c>
      <c r="AN46" s="47" t="e">
        <f t="shared" si="25"/>
        <v>#REF!</v>
      </c>
      <c r="AO46" s="63">
        <f t="shared" si="26"/>
        <v>14.685817172114826</v>
      </c>
      <c r="AP46" s="64"/>
      <c r="AS46" s="46">
        <v>0</v>
      </c>
      <c r="AT46" s="49">
        <f>ROUND($AT$5*AS46,0)</f>
        <v>0</v>
      </c>
    </row>
    <row r="47" spans="1:46">
      <c r="A47" s="56" t="s">
        <v>60</v>
      </c>
      <c r="B47" s="43">
        <f>'Расходы помесячно (План-Факт)'!C121</f>
        <v>0</v>
      </c>
      <c r="C47" s="44">
        <f t="shared" si="0"/>
        <v>0</v>
      </c>
      <c r="D47" s="45"/>
      <c r="E47" s="43">
        <f>'Расходы помесячно (План-Факт)'!H121</f>
        <v>0</v>
      </c>
      <c r="F47" s="44">
        <f t="shared" si="1"/>
        <v>0</v>
      </c>
      <c r="G47" s="45">
        <f t="shared" si="2"/>
        <v>0</v>
      </c>
      <c r="H47" s="43">
        <f>'Расходы помесячно (План-Факт)'!M121</f>
        <v>0</v>
      </c>
      <c r="I47" s="44">
        <f t="shared" si="3"/>
        <v>0</v>
      </c>
      <c r="J47" s="45">
        <f t="shared" si="4"/>
        <v>0</v>
      </c>
      <c r="K47" s="43">
        <f>'Расходы помесячно (План-Факт)'!R121</f>
        <v>40300</v>
      </c>
      <c r="L47" s="44">
        <f t="shared" si="5"/>
        <v>6.9705311817354961E-4</v>
      </c>
      <c r="M47" s="45">
        <f t="shared" si="6"/>
        <v>1.214083865827931E-3</v>
      </c>
      <c r="N47" s="43">
        <f>'Расходы помесячно (План-Факт)'!W121</f>
        <v>0</v>
      </c>
      <c r="O47" s="44">
        <f t="shared" si="7"/>
        <v>0</v>
      </c>
      <c r="P47" s="45">
        <f t="shared" si="8"/>
        <v>0</v>
      </c>
      <c r="Q47" s="43">
        <f>'Расходы помесячно (План-Факт)'!AB121</f>
        <v>0</v>
      </c>
      <c r="R47" s="44">
        <f t="shared" si="9"/>
        <v>0</v>
      </c>
      <c r="S47" s="45">
        <f t="shared" si="10"/>
        <v>0</v>
      </c>
      <c r="T47" s="43">
        <f>'Расходы помесячно (План-Факт)'!AG121</f>
        <v>0</v>
      </c>
      <c r="U47" s="44">
        <f t="shared" si="11"/>
        <v>0</v>
      </c>
      <c r="V47" s="45">
        <f t="shared" si="12"/>
        <v>0</v>
      </c>
      <c r="W47" s="43">
        <f>'Расходы помесячно (План-Факт)'!AL121</f>
        <v>96500</v>
      </c>
      <c r="X47" s="44">
        <f t="shared" si="13"/>
        <v>1.9132825009067944E-3</v>
      </c>
      <c r="Y47" s="45">
        <f t="shared" si="14"/>
        <v>2.1913462464611014E-3</v>
      </c>
      <c r="Z47" s="43">
        <f>'Расходы помесячно (План-Факт)'!AQ121</f>
        <v>0</v>
      </c>
      <c r="AA47" s="44">
        <f t="shared" si="15"/>
        <v>0</v>
      </c>
      <c r="AB47" s="45">
        <f t="shared" si="16"/>
        <v>0</v>
      </c>
      <c r="AC47" s="43">
        <f>'Расходы помесячно (План-Факт)'!AV121</f>
        <v>0</v>
      </c>
      <c r="AD47" s="44" t="e">
        <f t="shared" si="17"/>
        <v>#DIV/0!</v>
      </c>
      <c r="AE47" s="45">
        <f t="shared" si="18"/>
        <v>0</v>
      </c>
      <c r="AF47" s="43">
        <f>'Расходы помесячно (План-Факт)'!BA121</f>
        <v>0</v>
      </c>
      <c r="AG47" s="44" t="e">
        <f t="shared" si="19"/>
        <v>#DIV/0!</v>
      </c>
      <c r="AH47" s="45" t="e">
        <f t="shared" si="20"/>
        <v>#DIV/0!</v>
      </c>
      <c r="AI47" s="43">
        <f>'Расходы помесячно (План-Факт)'!BF121</f>
        <v>0</v>
      </c>
      <c r="AJ47" s="44" t="e">
        <f t="shared" si="21"/>
        <v>#DIV/0!</v>
      </c>
      <c r="AK47" s="45" t="e">
        <f t="shared" si="22"/>
        <v>#DIV/0!</v>
      </c>
      <c r="AL47" s="57">
        <f t="shared" si="24"/>
        <v>136800</v>
      </c>
      <c r="AM47" s="46">
        <f t="shared" si="23"/>
        <v>3.7131634296702219E-4</v>
      </c>
      <c r="AN47" s="47" t="e">
        <f t="shared" si="25"/>
        <v>#REF!</v>
      </c>
      <c r="AO47" s="63">
        <f t="shared" si="26"/>
        <v>38.699273950700587</v>
      </c>
      <c r="AP47" s="64">
        <v>70</v>
      </c>
      <c r="AS47" s="46">
        <v>1.1000000000000001E-3</v>
      </c>
      <c r="AT47" s="49">
        <f>ROUND($AT$5*AS47,0)</f>
        <v>18031</v>
      </c>
    </row>
    <row r="48" spans="1:46">
      <c r="A48" s="59" t="s">
        <v>61</v>
      </c>
      <c r="B48" s="43">
        <f>'Расходы помесячно (План-Факт)'!C150</f>
        <v>0</v>
      </c>
      <c r="C48" s="44">
        <f t="shared" si="0"/>
        <v>0</v>
      </c>
      <c r="D48" s="45"/>
      <c r="E48" s="43">
        <f>'Расходы помесячно (План-Факт)'!H150</f>
        <v>0</v>
      </c>
      <c r="F48" s="44">
        <f t="shared" si="1"/>
        <v>0</v>
      </c>
      <c r="G48" s="45">
        <f t="shared" si="2"/>
        <v>0</v>
      </c>
      <c r="H48" s="43">
        <f>'Расходы помесячно (План-Факт)'!M150</f>
        <v>0</v>
      </c>
      <c r="I48" s="44">
        <f t="shared" si="3"/>
        <v>0</v>
      </c>
      <c r="J48" s="45">
        <f t="shared" si="4"/>
        <v>0</v>
      </c>
      <c r="K48" s="43">
        <f>'Расходы помесячно (План-Факт)'!R150</f>
        <v>0</v>
      </c>
      <c r="L48" s="44">
        <f t="shared" si="5"/>
        <v>0</v>
      </c>
      <c r="M48" s="45">
        <f t="shared" si="6"/>
        <v>0</v>
      </c>
      <c r="N48" s="43">
        <f>'Расходы помесячно (План-Факт)'!W150</f>
        <v>0</v>
      </c>
      <c r="O48" s="44">
        <f t="shared" si="7"/>
        <v>0</v>
      </c>
      <c r="P48" s="45">
        <f t="shared" si="8"/>
        <v>0</v>
      </c>
      <c r="Q48" s="43">
        <f>'Расходы помесячно (План-Факт)'!AB150</f>
        <v>0</v>
      </c>
      <c r="R48" s="44">
        <f t="shared" si="9"/>
        <v>0</v>
      </c>
      <c r="S48" s="45">
        <f t="shared" si="10"/>
        <v>0</v>
      </c>
      <c r="T48" s="43">
        <f>'Расходы помесячно (План-Факт)'!AG150</f>
        <v>0</v>
      </c>
      <c r="U48" s="44">
        <f t="shared" si="11"/>
        <v>0</v>
      </c>
      <c r="V48" s="45">
        <f t="shared" si="12"/>
        <v>0</v>
      </c>
      <c r="W48" s="43">
        <f>'Расходы помесячно (План-Факт)'!AL150</f>
        <v>0</v>
      </c>
      <c r="X48" s="44">
        <f t="shared" si="13"/>
        <v>0</v>
      </c>
      <c r="Y48" s="45">
        <f t="shared" si="14"/>
        <v>0</v>
      </c>
      <c r="Z48" s="43">
        <f>'Расходы помесячно (План-Факт)'!AQ150</f>
        <v>0</v>
      </c>
      <c r="AA48" s="44">
        <f t="shared" si="15"/>
        <v>0</v>
      </c>
      <c r="AB48" s="45">
        <f t="shared" si="16"/>
        <v>0</v>
      </c>
      <c r="AC48" s="43">
        <f>'Расходы помесячно (План-Факт)'!AV150</f>
        <v>0</v>
      </c>
      <c r="AD48" s="44" t="e">
        <f t="shared" si="17"/>
        <v>#DIV/0!</v>
      </c>
      <c r="AE48" s="45">
        <f t="shared" si="18"/>
        <v>0</v>
      </c>
      <c r="AF48" s="43">
        <f>'Расходы помесячно (План-Факт)'!BA150</f>
        <v>0</v>
      </c>
      <c r="AG48" s="44" t="e">
        <f t="shared" si="19"/>
        <v>#DIV/0!</v>
      </c>
      <c r="AH48" s="45" t="e">
        <f t="shared" si="20"/>
        <v>#DIV/0!</v>
      </c>
      <c r="AI48" s="43">
        <f>'Расходы помесячно (План-Факт)'!BF150</f>
        <v>0</v>
      </c>
      <c r="AJ48" s="44" t="e">
        <f t="shared" si="21"/>
        <v>#DIV/0!</v>
      </c>
      <c r="AK48" s="45" t="e">
        <f t="shared" si="22"/>
        <v>#DIV/0!</v>
      </c>
      <c r="AL48" s="57">
        <f t="shared" si="24"/>
        <v>0</v>
      </c>
      <c r="AM48" s="46">
        <f t="shared" si="23"/>
        <v>0</v>
      </c>
      <c r="AN48" s="47" t="e">
        <f t="shared" si="25"/>
        <v>#REF!</v>
      </c>
      <c r="AO48" s="63">
        <f t="shared" si="26"/>
        <v>0</v>
      </c>
      <c r="AP48" s="64"/>
      <c r="AS48" s="46">
        <v>1E-4</v>
      </c>
      <c r="AT48" s="49">
        <f>ROUND($AT$5*AS48,0)</f>
        <v>1639</v>
      </c>
    </row>
    <row r="49" spans="1:46">
      <c r="A49" s="81" t="s">
        <v>62</v>
      </c>
      <c r="B49" s="82">
        <f>'Расходы помесячно (План-Факт)'!C151</f>
        <v>14778.719999999972</v>
      </c>
      <c r="C49" s="83">
        <f t="shared" si="0"/>
        <v>8.0969351112464196E-4</v>
      </c>
      <c r="D49" s="84"/>
      <c r="E49" s="82">
        <f>'Расходы помесячно (План-Факт)'!H151</f>
        <v>-14308.500000000466</v>
      </c>
      <c r="F49" s="83">
        <f t="shared" si="1"/>
        <v>-5.7103865042611331E-4</v>
      </c>
      <c r="G49" s="84">
        <f t="shared" si="2"/>
        <v>-7.8393119322426696E-4</v>
      </c>
      <c r="H49" s="82">
        <f>'Расходы помесячно (План-Факт)'!M151</f>
        <v>6411509.2199999997</v>
      </c>
      <c r="I49" s="83">
        <f t="shared" si="3"/>
        <v>0.19315409180171272</v>
      </c>
      <c r="J49" s="84">
        <f t="shared" si="4"/>
        <v>0.25587724584570448</v>
      </c>
      <c r="K49" s="82">
        <f>'Расходы помесячно (План-Факт)'!R151</f>
        <v>14657076.049999999</v>
      </c>
      <c r="L49" s="83">
        <f t="shared" si="5"/>
        <v>0.25351763186003357</v>
      </c>
      <c r="M49" s="84">
        <f t="shared" si="6"/>
        <v>0.44156127921880844</v>
      </c>
      <c r="N49" s="82">
        <f>'Расходы помесячно (План-Факт)'!W151</f>
        <v>5757928.4399999995</v>
      </c>
      <c r="O49" s="83">
        <f t="shared" si="7"/>
        <v>0.10146780727523576</v>
      </c>
      <c r="P49" s="84">
        <f t="shared" si="8"/>
        <v>9.9592604797075976E-2</v>
      </c>
      <c r="Q49" s="82">
        <f>'Расходы помесячно (План-Факт)'!AB151</f>
        <v>6724715.5499999998</v>
      </c>
      <c r="R49" s="83">
        <f t="shared" si="9"/>
        <v>0.15177358726667042</v>
      </c>
      <c r="S49" s="84">
        <f t="shared" si="10"/>
        <v>0.1185047970843106</v>
      </c>
      <c r="T49" s="82">
        <f>'Расходы помесячно (План-Факт)'!AG151</f>
        <v>5432024.71</v>
      </c>
      <c r="U49" s="83">
        <f t="shared" si="11"/>
        <v>0.12335178195795288</v>
      </c>
      <c r="V49" s="84">
        <f t="shared" si="12"/>
        <v>0.12259817835088878</v>
      </c>
      <c r="W49" s="82">
        <f>'Расходы помесячно (План-Факт)'!AL151</f>
        <v>6235442.2100000009</v>
      </c>
      <c r="X49" s="83">
        <f t="shared" si="13"/>
        <v>0.12362862658869006</v>
      </c>
      <c r="Y49" s="84">
        <f t="shared" si="14"/>
        <v>0.1415959884135608</v>
      </c>
      <c r="Z49" s="82">
        <f>'Расходы помесячно (План-Факт)'!AQ151</f>
        <v>4413775.34</v>
      </c>
      <c r="AA49" s="83">
        <f t="shared" si="15"/>
        <v>0.114424816450984</v>
      </c>
      <c r="AB49" s="84">
        <f t="shared" si="16"/>
        <v>8.7510871719750638E-2</v>
      </c>
      <c r="AC49" s="82">
        <f>'Расходы помесячно (План-Факт)'!AV151</f>
        <v>0</v>
      </c>
      <c r="AD49" s="83" t="e">
        <f t="shared" si="17"/>
        <v>#DIV/0!</v>
      </c>
      <c r="AE49" s="84">
        <f t="shared" si="18"/>
        <v>0</v>
      </c>
      <c r="AF49" s="82">
        <f>'Расходы помесячно (План-Факт)'!BA151</f>
        <v>0</v>
      </c>
      <c r="AG49" s="83" t="e">
        <f t="shared" si="19"/>
        <v>#DIV/0!</v>
      </c>
      <c r="AH49" s="84" t="e">
        <f t="shared" si="20"/>
        <v>#DIV/0!</v>
      </c>
      <c r="AI49" s="82">
        <f>'Расходы помесячно (План-Факт)'!BF151</f>
        <v>0</v>
      </c>
      <c r="AJ49" s="83" t="e">
        <f t="shared" si="21"/>
        <v>#DIV/0!</v>
      </c>
      <c r="AK49" s="84" t="e">
        <f t="shared" si="22"/>
        <v>#DIV/0!</v>
      </c>
      <c r="AL49" s="82">
        <f t="shared" si="24"/>
        <v>49632941.739999995</v>
      </c>
      <c r="AM49" s="83">
        <f t="shared" si="23"/>
        <v>0.13471873112274904</v>
      </c>
      <c r="AN49" s="84"/>
      <c r="AO49" s="84"/>
      <c r="AP49" s="85"/>
      <c r="AS49" s="83"/>
      <c r="AT49" s="86">
        <f>ROUND($AT$5*AS49,0)</f>
        <v>0</v>
      </c>
    </row>
    <row r="50" spans="1:46">
      <c r="E50" s="2"/>
      <c r="H50" s="2"/>
      <c r="K50" s="2"/>
      <c r="N50" s="2"/>
      <c r="Q50" s="2"/>
      <c r="T50" s="2"/>
      <c r="W50" s="2"/>
      <c r="Z50" s="2"/>
      <c r="AC50" s="2"/>
      <c r="AF50" s="2"/>
      <c r="AI50" s="2"/>
      <c r="AL50" s="87"/>
    </row>
    <row r="51" spans="1:46" s="33" customFormat="1">
      <c r="A51" s="28" t="s">
        <v>63</v>
      </c>
      <c r="B51" s="88" t="e">
        <f>'Расходы помесячно (План-Факт)'!#REF!</f>
        <v>#REF!</v>
      </c>
      <c r="C51" s="89"/>
      <c r="D51" s="90"/>
      <c r="E51" s="88" t="e">
        <f>'Расходы помесячно (План-Факт)'!#REF!</f>
        <v>#REF!</v>
      </c>
      <c r="F51" s="89"/>
      <c r="G51" s="90"/>
      <c r="H51" s="88" t="e">
        <f>'Расходы помесячно (План-Факт)'!#REF!</f>
        <v>#REF!</v>
      </c>
      <c r="I51" s="89"/>
      <c r="J51" s="90"/>
      <c r="K51" s="88" t="e">
        <f>'Расходы помесячно (План-Факт)'!#REF!</f>
        <v>#REF!</v>
      </c>
      <c r="L51" s="89"/>
      <c r="M51" s="90"/>
      <c r="N51" s="88" t="e">
        <f>'Расходы помесячно (План-Факт)'!#REF!</f>
        <v>#REF!</v>
      </c>
      <c r="O51" s="89"/>
      <c r="P51" s="90"/>
      <c r="Q51" s="88" t="e">
        <f>'Расходы помесячно (План-Факт)'!#REF!</f>
        <v>#REF!</v>
      </c>
      <c r="R51" s="89"/>
      <c r="S51" s="90"/>
      <c r="T51" s="88" t="e">
        <f>'Расходы помесячно (План-Факт)'!#REF!</f>
        <v>#REF!</v>
      </c>
      <c r="U51" s="89"/>
      <c r="V51" s="90"/>
      <c r="W51" s="88" t="e">
        <f>'Расходы помесячно (План-Факт)'!#REF!</f>
        <v>#REF!</v>
      </c>
      <c r="X51" s="89"/>
      <c r="Y51" s="90"/>
      <c r="Z51" s="88" t="e">
        <f>'Расходы помесячно (План-Факт)'!#REF!</f>
        <v>#REF!</v>
      </c>
      <c r="AA51" s="89"/>
      <c r="AB51" s="90"/>
      <c r="AC51" s="88" t="e">
        <f>'Расходы помесячно (План-Факт)'!#REF!</f>
        <v>#REF!</v>
      </c>
      <c r="AD51" s="89"/>
      <c r="AE51" s="90"/>
      <c r="AF51" s="88" t="e">
        <f>'Расходы помесячно (План-Факт)'!#REF!</f>
        <v>#REF!</v>
      </c>
      <c r="AG51" s="89"/>
      <c r="AH51" s="90"/>
      <c r="AI51" s="88" t="e">
        <f>'Расходы помесячно (План-Факт)'!#REF!</f>
        <v>#REF!</v>
      </c>
      <c r="AJ51" s="89"/>
      <c r="AK51" s="90"/>
      <c r="AL51" s="88" t="e">
        <f>SUM(B51,E51,H51,K51,N51,Q51,T51,W51,Z51,AC51,AF51,AI51)</f>
        <v>#REF!</v>
      </c>
      <c r="AM51" s="89"/>
      <c r="AN51" s="90"/>
      <c r="AO51" s="90"/>
      <c r="AP51" s="91"/>
      <c r="AS51" s="89"/>
      <c r="AT51" s="92"/>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legacyDrawing r:id="rId1"/>
</worksheet>
</file>

<file path=xl/worksheets/sheet10.xml><?xml version="1.0" encoding="utf-8"?>
<worksheet xmlns="http://schemas.openxmlformats.org/spreadsheetml/2006/main" xmlns:r="http://schemas.openxmlformats.org/officeDocument/2006/relationships">
  <sheetPr enableFormatConditionsCalculation="0">
    <tabColor indexed="11"/>
  </sheetPr>
  <dimension ref="A2:G224"/>
  <sheetViews>
    <sheetView zoomScale="90" zoomScaleNormal="90" workbookViewId="0">
      <pane xSplit="1" ySplit="3" topLeftCell="B187" activePane="bottomRight" state="frozen"/>
      <selection pane="topRight" activeCell="B1" sqref="B1"/>
      <selection pane="bottomLeft" activeCell="A187" sqref="A187"/>
      <selection pane="bottomRight" activeCell="E196" sqref="E196"/>
    </sheetView>
  </sheetViews>
  <sheetFormatPr defaultColWidth="8.7109375" defaultRowHeight="12.75" outlineLevelRow="1" outlineLevelCol="1"/>
  <cols>
    <col min="1" max="1" width="11.85546875" style="1" customWidth="1"/>
    <col min="2" max="2" width="19.140625" style="1344" customWidth="1"/>
    <col min="3" max="3" width="14.28515625" style="1343" customWidth="1"/>
    <col min="4" max="4" width="11.85546875" style="1" customWidth="1"/>
    <col min="5" max="5" width="36" style="94" customWidth="1"/>
    <col min="6" max="6" width="17.7109375" style="1" customWidth="1"/>
    <col min="7" max="7" width="14.140625" style="1" customWidth="1" outlineLevel="1"/>
    <col min="8" max="16384" width="8.7109375" style="1"/>
  </cols>
  <sheetData>
    <row r="2" spans="1:7" s="1347" customFormat="1">
      <c r="A2" s="1345" t="s">
        <v>524</v>
      </c>
      <c r="B2" s="887" t="s">
        <v>525</v>
      </c>
      <c r="C2" s="1345" t="s">
        <v>526</v>
      </c>
      <c r="D2" s="1345" t="s">
        <v>527</v>
      </c>
      <c r="E2" s="1346" t="s">
        <v>528</v>
      </c>
      <c r="F2" s="1345" t="s">
        <v>529</v>
      </c>
      <c r="G2" s="1345" t="s">
        <v>530</v>
      </c>
    </row>
    <row r="3" spans="1:7" s="1347" customFormat="1">
      <c r="A3" s="1345"/>
      <c r="B3" s="887"/>
      <c r="C3" s="1348">
        <f>SUBTOTAL(9,C4:C1099)</f>
        <v>10626972.5</v>
      </c>
      <c r="D3" s="1348">
        <f>SUBTOTAL(9,D4:D1099)</f>
        <v>10598972.5</v>
      </c>
      <c r="E3" s="1346"/>
      <c r="F3" s="1345"/>
      <c r="G3" s="1345"/>
    </row>
    <row r="4" spans="1:7" outlineLevel="1">
      <c r="A4" s="1349">
        <v>42018</v>
      </c>
      <c r="B4" s="1350">
        <f t="shared" ref="B4:B67" si="0">F3</f>
        <v>0</v>
      </c>
      <c r="C4" s="1351">
        <v>535900</v>
      </c>
      <c r="D4" s="1352"/>
      <c r="E4" s="1353" t="s">
        <v>531</v>
      </c>
      <c r="F4" s="1350">
        <f t="shared" ref="F4:F67" si="1">B4+C4-D4</f>
        <v>535900</v>
      </c>
      <c r="G4" s="1354"/>
    </row>
    <row r="5" spans="1:7" outlineLevel="1">
      <c r="A5" s="1349">
        <v>42018</v>
      </c>
      <c r="B5" s="1350">
        <f t="shared" si="0"/>
        <v>535900</v>
      </c>
      <c r="C5" s="1351">
        <v>2000</v>
      </c>
      <c r="D5" s="1352"/>
      <c r="E5" s="1353" t="s">
        <v>532</v>
      </c>
      <c r="F5" s="1350">
        <f t="shared" si="1"/>
        <v>537900</v>
      </c>
      <c r="G5" s="1354"/>
    </row>
    <row r="6" spans="1:7" outlineLevel="1">
      <c r="A6" s="1349">
        <v>42018</v>
      </c>
      <c r="B6" s="1350">
        <f t="shared" si="0"/>
        <v>537900</v>
      </c>
      <c r="C6" s="1351">
        <v>12000</v>
      </c>
      <c r="D6" s="1352"/>
      <c r="E6" s="1353" t="s">
        <v>533</v>
      </c>
      <c r="F6" s="1350">
        <f t="shared" si="1"/>
        <v>549900</v>
      </c>
      <c r="G6" s="1354"/>
    </row>
    <row r="7" spans="1:7" outlineLevel="1">
      <c r="A7" s="1349">
        <v>42018</v>
      </c>
      <c r="B7" s="1350">
        <f t="shared" si="0"/>
        <v>549900</v>
      </c>
      <c r="C7" s="1351"/>
      <c r="D7" s="1352">
        <v>492400</v>
      </c>
      <c r="E7" s="1355" t="s">
        <v>534</v>
      </c>
      <c r="F7" s="1350">
        <f t="shared" si="1"/>
        <v>57500</v>
      </c>
      <c r="G7" s="1354"/>
    </row>
    <row r="8" spans="1:7" outlineLevel="1">
      <c r="A8" s="1349">
        <v>42018</v>
      </c>
      <c r="B8" s="1350">
        <f t="shared" si="0"/>
        <v>57500</v>
      </c>
      <c r="C8" s="1351"/>
      <c r="D8" s="1352">
        <v>42000</v>
      </c>
      <c r="E8" s="1355" t="s">
        <v>535</v>
      </c>
      <c r="F8" s="1350">
        <f t="shared" si="1"/>
        <v>15500</v>
      </c>
      <c r="G8" s="1354"/>
    </row>
    <row r="9" spans="1:7" outlineLevel="1">
      <c r="A9" s="1349">
        <v>42018</v>
      </c>
      <c r="B9" s="1350">
        <f t="shared" si="0"/>
        <v>15500</v>
      </c>
      <c r="C9" s="1351"/>
      <c r="D9" s="1352">
        <v>1500</v>
      </c>
      <c r="E9" s="1355" t="s">
        <v>536</v>
      </c>
      <c r="F9" s="1350">
        <f t="shared" si="1"/>
        <v>14000</v>
      </c>
      <c r="G9" s="1354"/>
    </row>
    <row r="10" spans="1:7" outlineLevel="1">
      <c r="A10" s="1349">
        <v>42018</v>
      </c>
      <c r="B10" s="1350">
        <f t="shared" si="0"/>
        <v>14000</v>
      </c>
      <c r="C10" s="1351"/>
      <c r="D10" s="1352">
        <v>12000</v>
      </c>
      <c r="E10" s="1355" t="s">
        <v>84</v>
      </c>
      <c r="F10" s="1350">
        <f t="shared" si="1"/>
        <v>2000</v>
      </c>
      <c r="G10" s="1354"/>
    </row>
    <row r="11" spans="1:7" outlineLevel="1">
      <c r="A11" s="1349">
        <v>42020</v>
      </c>
      <c r="B11" s="1350">
        <f t="shared" si="0"/>
        <v>2000</v>
      </c>
      <c r="C11" s="1351">
        <v>1000</v>
      </c>
      <c r="D11" s="1352"/>
      <c r="E11" s="1353" t="s">
        <v>532</v>
      </c>
      <c r="F11" s="1350">
        <f t="shared" si="1"/>
        <v>3000</v>
      </c>
      <c r="G11" s="1354"/>
    </row>
    <row r="12" spans="1:7" outlineLevel="1">
      <c r="A12" s="1349">
        <v>42026</v>
      </c>
      <c r="B12" s="1350">
        <f t="shared" si="0"/>
        <v>3000</v>
      </c>
      <c r="C12" s="1351">
        <v>2000</v>
      </c>
      <c r="D12" s="1352"/>
      <c r="E12" s="1353" t="s">
        <v>532</v>
      </c>
      <c r="F12" s="1350">
        <f t="shared" si="1"/>
        <v>5000</v>
      </c>
      <c r="G12" s="1354"/>
    </row>
    <row r="13" spans="1:7" outlineLevel="1">
      <c r="A13" s="1349">
        <v>42032</v>
      </c>
      <c r="B13" s="1350">
        <f t="shared" si="0"/>
        <v>5000</v>
      </c>
      <c r="C13" s="1351">
        <v>12000</v>
      </c>
      <c r="D13" s="1352"/>
      <c r="E13" s="1353" t="s">
        <v>533</v>
      </c>
      <c r="F13" s="1350">
        <f t="shared" si="1"/>
        <v>17000</v>
      </c>
      <c r="G13" s="1354"/>
    </row>
    <row r="14" spans="1:7" outlineLevel="1">
      <c r="A14" s="1349">
        <v>42032</v>
      </c>
      <c r="B14" s="1350">
        <f t="shared" si="0"/>
        <v>17000</v>
      </c>
      <c r="C14" s="1351"/>
      <c r="D14" s="1352">
        <v>12000</v>
      </c>
      <c r="E14" s="1355" t="s">
        <v>84</v>
      </c>
      <c r="F14" s="1350">
        <f t="shared" si="1"/>
        <v>5000</v>
      </c>
      <c r="G14" s="1354"/>
    </row>
    <row r="15" spans="1:7" outlineLevel="1">
      <c r="A15" s="1349">
        <v>42033</v>
      </c>
      <c r="B15" s="1350">
        <f t="shared" si="0"/>
        <v>5000</v>
      </c>
      <c r="C15" s="1351">
        <v>220000</v>
      </c>
      <c r="D15" s="1352"/>
      <c r="E15" s="1353" t="s">
        <v>537</v>
      </c>
      <c r="F15" s="1350">
        <f t="shared" si="1"/>
        <v>225000</v>
      </c>
      <c r="G15" s="1354"/>
    </row>
    <row r="16" spans="1:7" outlineLevel="1">
      <c r="A16" s="1349">
        <v>42033</v>
      </c>
      <c r="B16" s="1350">
        <f t="shared" si="0"/>
        <v>225000</v>
      </c>
      <c r="C16" s="1351">
        <v>2000</v>
      </c>
      <c r="D16" s="1352"/>
      <c r="E16" s="1353" t="s">
        <v>532</v>
      </c>
      <c r="F16" s="1350">
        <f t="shared" si="1"/>
        <v>227000</v>
      </c>
      <c r="G16" s="1354"/>
    </row>
    <row r="17" spans="1:7" outlineLevel="1">
      <c r="A17" s="1349">
        <v>42035</v>
      </c>
      <c r="B17" s="1350">
        <f t="shared" si="0"/>
        <v>227000</v>
      </c>
      <c r="C17" s="1351"/>
      <c r="D17" s="1352">
        <v>200</v>
      </c>
      <c r="E17" s="1355" t="s">
        <v>538</v>
      </c>
      <c r="F17" s="1350">
        <f t="shared" si="1"/>
        <v>226800</v>
      </c>
      <c r="G17" s="1354" t="s">
        <v>539</v>
      </c>
    </row>
    <row r="18" spans="1:7" outlineLevel="1">
      <c r="A18" s="1349">
        <v>42035</v>
      </c>
      <c r="B18" s="1350">
        <f t="shared" si="0"/>
        <v>226800</v>
      </c>
      <c r="C18" s="1351"/>
      <c r="D18" s="1352">
        <v>350</v>
      </c>
      <c r="E18" s="1355" t="s">
        <v>540</v>
      </c>
      <c r="F18" s="1350">
        <f t="shared" si="1"/>
        <v>226450</v>
      </c>
      <c r="G18" s="1354" t="s">
        <v>539</v>
      </c>
    </row>
    <row r="19" spans="1:7" outlineLevel="1">
      <c r="A19" s="1349">
        <v>42035</v>
      </c>
      <c r="B19" s="1350">
        <f t="shared" si="0"/>
        <v>226450</v>
      </c>
      <c r="C19" s="1351"/>
      <c r="D19" s="1352">
        <v>240</v>
      </c>
      <c r="E19" s="1355" t="s">
        <v>541</v>
      </c>
      <c r="F19" s="1350">
        <f t="shared" si="1"/>
        <v>226210</v>
      </c>
      <c r="G19" s="1354" t="s">
        <v>539</v>
      </c>
    </row>
    <row r="20" spans="1:7" outlineLevel="1">
      <c r="A20" s="1349">
        <v>42035</v>
      </c>
      <c r="B20" s="1350">
        <f t="shared" si="0"/>
        <v>226210</v>
      </c>
      <c r="C20" s="1351"/>
      <c r="D20" s="1352">
        <f>1000-535</f>
        <v>465</v>
      </c>
      <c r="E20" s="1355" t="s">
        <v>542</v>
      </c>
      <c r="F20" s="1350">
        <f t="shared" si="1"/>
        <v>225745</v>
      </c>
      <c r="G20" s="1354" t="s">
        <v>543</v>
      </c>
    </row>
    <row r="21" spans="1:7" outlineLevel="1">
      <c r="A21" s="1349">
        <v>42035</v>
      </c>
      <c r="B21" s="1350">
        <f t="shared" si="0"/>
        <v>225745</v>
      </c>
      <c r="C21" s="1351"/>
      <c r="D21" s="1352">
        <v>600</v>
      </c>
      <c r="E21" s="1355" t="s">
        <v>544</v>
      </c>
      <c r="F21" s="1350">
        <f t="shared" si="1"/>
        <v>225145</v>
      </c>
      <c r="G21" s="1354" t="s">
        <v>543</v>
      </c>
    </row>
    <row r="22" spans="1:7" outlineLevel="1">
      <c r="A22" s="1349">
        <v>42035</v>
      </c>
      <c r="B22" s="1350">
        <f t="shared" si="0"/>
        <v>225145</v>
      </c>
      <c r="C22" s="1351"/>
      <c r="D22" s="1352">
        <v>200</v>
      </c>
      <c r="E22" s="1355" t="s">
        <v>545</v>
      </c>
      <c r="F22" s="1350">
        <f t="shared" si="1"/>
        <v>224945</v>
      </c>
      <c r="G22" s="1354" t="s">
        <v>543</v>
      </c>
    </row>
    <row r="23" spans="1:7" outlineLevel="1">
      <c r="A23" s="1349">
        <v>42035</v>
      </c>
      <c r="B23" s="1350">
        <f t="shared" si="0"/>
        <v>224945</v>
      </c>
      <c r="C23" s="1351"/>
      <c r="D23" s="1352">
        <v>300</v>
      </c>
      <c r="E23" s="1355" t="s">
        <v>546</v>
      </c>
      <c r="F23" s="1350">
        <f t="shared" si="1"/>
        <v>224645</v>
      </c>
      <c r="G23" s="1354" t="s">
        <v>539</v>
      </c>
    </row>
    <row r="24" spans="1:7" outlineLevel="1">
      <c r="A24" s="1349">
        <v>42035</v>
      </c>
      <c r="B24" s="1350">
        <f t="shared" si="0"/>
        <v>224645</v>
      </c>
      <c r="C24" s="1351"/>
      <c r="D24" s="1352">
        <v>600</v>
      </c>
      <c r="E24" s="1355" t="s">
        <v>227</v>
      </c>
      <c r="F24" s="1350">
        <f t="shared" si="1"/>
        <v>224045</v>
      </c>
      <c r="G24" s="1354" t="s">
        <v>547</v>
      </c>
    </row>
    <row r="25" spans="1:7" outlineLevel="1">
      <c r="A25" s="1349">
        <v>42035</v>
      </c>
      <c r="B25" s="1350">
        <f t="shared" si="0"/>
        <v>224045</v>
      </c>
      <c r="C25" s="1351"/>
      <c r="D25" s="1352">
        <v>540</v>
      </c>
      <c r="E25" s="1355" t="s">
        <v>548</v>
      </c>
      <c r="F25" s="1350">
        <f t="shared" si="1"/>
        <v>223505</v>
      </c>
      <c r="G25" s="1354" t="s">
        <v>45</v>
      </c>
    </row>
    <row r="26" spans="1:7" outlineLevel="1">
      <c r="A26" s="1349">
        <v>42035</v>
      </c>
      <c r="B26" s="1350">
        <f t="shared" si="0"/>
        <v>223505</v>
      </c>
      <c r="C26" s="1351"/>
      <c r="D26" s="1352">
        <v>479</v>
      </c>
      <c r="E26" s="1355" t="s">
        <v>549</v>
      </c>
      <c r="F26" s="1350">
        <f t="shared" si="1"/>
        <v>223026</v>
      </c>
      <c r="G26" s="1354" t="s">
        <v>539</v>
      </c>
    </row>
    <row r="27" spans="1:7" outlineLevel="1">
      <c r="A27" s="1349">
        <v>42035</v>
      </c>
      <c r="B27" s="1350">
        <f t="shared" si="0"/>
        <v>223026</v>
      </c>
      <c r="C27" s="1351"/>
      <c r="D27" s="1352">
        <v>600</v>
      </c>
      <c r="E27" s="1355" t="s">
        <v>550</v>
      </c>
      <c r="F27" s="1350">
        <f t="shared" si="1"/>
        <v>222426</v>
      </c>
      <c r="G27" s="1354" t="s">
        <v>547</v>
      </c>
    </row>
    <row r="28" spans="1:7" outlineLevel="1">
      <c r="A28" s="1349">
        <v>42035</v>
      </c>
      <c r="B28" s="1350">
        <f t="shared" si="0"/>
        <v>222426</v>
      </c>
      <c r="C28" s="1351"/>
      <c r="D28" s="1352">
        <v>96</v>
      </c>
      <c r="E28" s="1355" t="s">
        <v>551</v>
      </c>
      <c r="F28" s="1350">
        <f t="shared" si="1"/>
        <v>222330</v>
      </c>
      <c r="G28" s="1354" t="s">
        <v>539</v>
      </c>
    </row>
    <row r="29" spans="1:7" outlineLevel="1">
      <c r="A29" s="1349">
        <v>42035</v>
      </c>
      <c r="B29" s="1350">
        <f t="shared" si="0"/>
        <v>222330</v>
      </c>
      <c r="C29" s="1351"/>
      <c r="D29" s="1352">
        <v>550</v>
      </c>
      <c r="E29" s="1355" t="s">
        <v>291</v>
      </c>
      <c r="F29" s="1350">
        <f t="shared" si="1"/>
        <v>221780</v>
      </c>
      <c r="G29" s="1354" t="s">
        <v>539</v>
      </c>
    </row>
    <row r="30" spans="1:7" outlineLevel="1">
      <c r="A30" s="1349">
        <v>42035</v>
      </c>
      <c r="B30" s="1350">
        <f t="shared" si="0"/>
        <v>221780</v>
      </c>
      <c r="C30" s="1351"/>
      <c r="D30" s="1352">
        <v>256</v>
      </c>
      <c r="E30" s="1355" t="s">
        <v>261</v>
      </c>
      <c r="F30" s="1350">
        <f t="shared" si="1"/>
        <v>221524</v>
      </c>
      <c r="G30" s="1354" t="s">
        <v>539</v>
      </c>
    </row>
    <row r="31" spans="1:7" outlineLevel="1">
      <c r="A31" s="1349">
        <v>42035</v>
      </c>
      <c r="B31" s="1350">
        <f t="shared" si="0"/>
        <v>221524</v>
      </c>
      <c r="C31" s="1351"/>
      <c r="D31" s="1352">
        <v>600</v>
      </c>
      <c r="E31" s="1355" t="s">
        <v>227</v>
      </c>
      <c r="F31" s="1350">
        <f t="shared" si="1"/>
        <v>220924</v>
      </c>
      <c r="G31" s="1354" t="s">
        <v>547</v>
      </c>
    </row>
    <row r="32" spans="1:7" outlineLevel="1">
      <c r="A32" s="1349">
        <v>42035</v>
      </c>
      <c r="B32" s="1350">
        <f t="shared" si="0"/>
        <v>220924</v>
      </c>
      <c r="C32" s="1351"/>
      <c r="D32" s="1352">
        <v>242</v>
      </c>
      <c r="E32" s="1355" t="s">
        <v>552</v>
      </c>
      <c r="F32" s="1350">
        <f t="shared" si="1"/>
        <v>220682</v>
      </c>
      <c r="G32" s="1354" t="s">
        <v>539</v>
      </c>
    </row>
    <row r="33" spans="1:7" outlineLevel="1">
      <c r="A33" s="1349">
        <v>42035</v>
      </c>
      <c r="B33" s="1350">
        <f t="shared" si="0"/>
        <v>220682</v>
      </c>
      <c r="C33" s="1351"/>
      <c r="D33" s="1352">
        <v>82</v>
      </c>
      <c r="E33" s="1355" t="s">
        <v>553</v>
      </c>
      <c r="F33" s="1350">
        <f t="shared" si="1"/>
        <v>220600</v>
      </c>
      <c r="G33" s="1354" t="s">
        <v>539</v>
      </c>
    </row>
    <row r="34" spans="1:7" outlineLevel="1">
      <c r="A34" s="1349">
        <v>42035</v>
      </c>
      <c r="B34" s="1350">
        <f t="shared" si="0"/>
        <v>220600</v>
      </c>
      <c r="C34" s="1351"/>
      <c r="D34" s="1352">
        <v>600</v>
      </c>
      <c r="E34" s="1355" t="s">
        <v>227</v>
      </c>
      <c r="F34" s="1350">
        <f t="shared" si="1"/>
        <v>220000</v>
      </c>
      <c r="G34" s="1354" t="s">
        <v>547</v>
      </c>
    </row>
    <row r="35" spans="1:7">
      <c r="A35" s="1356">
        <v>42035</v>
      </c>
      <c r="B35" s="1357">
        <f t="shared" si="0"/>
        <v>220000</v>
      </c>
      <c r="C35" s="1358"/>
      <c r="D35" s="1359"/>
      <c r="E35" s="1360"/>
      <c r="F35" s="1357">
        <f t="shared" si="1"/>
        <v>220000</v>
      </c>
      <c r="G35" s="1361"/>
    </row>
    <row r="36" spans="1:7">
      <c r="A36" s="1349">
        <v>42037</v>
      </c>
      <c r="B36" s="1350">
        <f t="shared" si="0"/>
        <v>220000</v>
      </c>
      <c r="C36" s="1351">
        <v>59000</v>
      </c>
      <c r="D36" s="1352"/>
      <c r="E36" s="1353" t="s">
        <v>537</v>
      </c>
      <c r="F36" s="1350">
        <f t="shared" si="1"/>
        <v>279000</v>
      </c>
      <c r="G36" s="1354"/>
    </row>
    <row r="37" spans="1:7">
      <c r="A37" s="1349">
        <v>42041</v>
      </c>
      <c r="B37" s="1350">
        <f t="shared" si="0"/>
        <v>279000</v>
      </c>
      <c r="C37" s="1351">
        <v>10000</v>
      </c>
      <c r="D37" s="1352"/>
      <c r="E37" s="1353" t="s">
        <v>537</v>
      </c>
      <c r="F37" s="1350">
        <f t="shared" si="1"/>
        <v>289000</v>
      </c>
      <c r="G37" s="1354"/>
    </row>
    <row r="38" spans="1:7">
      <c r="A38" s="1349">
        <v>42041</v>
      </c>
      <c r="B38" s="1350">
        <f t="shared" si="0"/>
        <v>289000</v>
      </c>
      <c r="C38" s="1351">
        <v>12000</v>
      </c>
      <c r="D38" s="1352"/>
      <c r="E38" s="1353" t="s">
        <v>533</v>
      </c>
      <c r="F38" s="1350">
        <f t="shared" si="1"/>
        <v>301000</v>
      </c>
      <c r="G38" s="1354"/>
    </row>
    <row r="39" spans="1:7">
      <c r="A39" s="1349">
        <v>42041</v>
      </c>
      <c r="B39" s="1350">
        <f t="shared" si="0"/>
        <v>301000</v>
      </c>
      <c r="C39" s="1351"/>
      <c r="D39" s="1352">
        <v>289000</v>
      </c>
      <c r="E39" s="1355" t="s">
        <v>554</v>
      </c>
      <c r="F39" s="1350">
        <f t="shared" si="1"/>
        <v>12000</v>
      </c>
      <c r="G39" s="1354"/>
    </row>
    <row r="40" spans="1:7">
      <c r="A40" s="1349">
        <v>42041</v>
      </c>
      <c r="B40" s="1350">
        <f t="shared" si="0"/>
        <v>12000</v>
      </c>
      <c r="C40" s="1351"/>
      <c r="D40" s="1352">
        <v>12000</v>
      </c>
      <c r="E40" s="1355" t="s">
        <v>84</v>
      </c>
      <c r="F40" s="1350">
        <f t="shared" si="1"/>
        <v>0</v>
      </c>
      <c r="G40" s="1354"/>
    </row>
    <row r="41" spans="1:7">
      <c r="A41" s="1349">
        <v>42045</v>
      </c>
      <c r="B41" s="1350">
        <f t="shared" si="0"/>
        <v>0</v>
      </c>
      <c r="C41" s="1351">
        <v>155000</v>
      </c>
      <c r="D41" s="1352"/>
      <c r="E41" s="1353" t="s">
        <v>531</v>
      </c>
      <c r="F41" s="1350">
        <f t="shared" si="1"/>
        <v>155000</v>
      </c>
      <c r="G41" s="1354"/>
    </row>
    <row r="42" spans="1:7">
      <c r="A42" s="1349">
        <v>42048</v>
      </c>
      <c r="B42" s="1350">
        <f t="shared" si="0"/>
        <v>155000</v>
      </c>
      <c r="C42" s="1351">
        <v>160000</v>
      </c>
      <c r="D42" s="1352"/>
      <c r="E42" s="1353" t="s">
        <v>531</v>
      </c>
      <c r="F42" s="1350">
        <f t="shared" si="1"/>
        <v>315000</v>
      </c>
      <c r="G42" s="1354"/>
    </row>
    <row r="43" spans="1:7">
      <c r="A43" s="1349">
        <v>42049</v>
      </c>
      <c r="B43" s="1350">
        <f t="shared" si="0"/>
        <v>315000</v>
      </c>
      <c r="C43" s="1351">
        <v>29880</v>
      </c>
      <c r="D43" s="1352"/>
      <c r="E43" s="1353" t="s">
        <v>531</v>
      </c>
      <c r="F43" s="1350">
        <f t="shared" si="1"/>
        <v>344880</v>
      </c>
      <c r="G43" s="1354"/>
    </row>
    <row r="44" spans="1:7">
      <c r="A44" s="1349">
        <v>42052</v>
      </c>
      <c r="B44" s="1350">
        <f t="shared" si="0"/>
        <v>344880</v>
      </c>
      <c r="C44" s="1351">
        <v>5420</v>
      </c>
      <c r="D44" s="1352"/>
      <c r="E44" s="1353" t="s">
        <v>531</v>
      </c>
      <c r="F44" s="1350">
        <f t="shared" si="1"/>
        <v>350300</v>
      </c>
      <c r="G44" s="1354"/>
    </row>
    <row r="45" spans="1:7">
      <c r="A45" s="1349">
        <v>42052</v>
      </c>
      <c r="B45" s="1350">
        <f t="shared" si="0"/>
        <v>350300</v>
      </c>
      <c r="C45" s="1362"/>
      <c r="D45" s="1362">
        <v>350300</v>
      </c>
      <c r="E45" s="1355" t="s">
        <v>534</v>
      </c>
      <c r="F45" s="1350">
        <f t="shared" si="1"/>
        <v>0</v>
      </c>
      <c r="G45" s="1354"/>
    </row>
    <row r="46" spans="1:7">
      <c r="A46" s="1349">
        <v>42055</v>
      </c>
      <c r="B46" s="1350">
        <f t="shared" si="0"/>
        <v>0</v>
      </c>
      <c r="C46" s="1351">
        <v>100000</v>
      </c>
      <c r="D46" s="1352"/>
      <c r="E46" s="1353" t="s">
        <v>537</v>
      </c>
      <c r="F46" s="1350">
        <f t="shared" si="1"/>
        <v>100000</v>
      </c>
      <c r="G46" s="1354"/>
    </row>
    <row r="47" spans="1:7">
      <c r="A47" s="1349">
        <v>42059</v>
      </c>
      <c r="B47" s="1350">
        <f t="shared" si="0"/>
        <v>100000</v>
      </c>
      <c r="C47" s="1351">
        <v>150000</v>
      </c>
      <c r="D47" s="1352"/>
      <c r="E47" s="1353" t="s">
        <v>537</v>
      </c>
      <c r="F47" s="1350">
        <f t="shared" si="1"/>
        <v>250000</v>
      </c>
      <c r="G47" s="1354"/>
    </row>
    <row r="48" spans="1:7">
      <c r="A48" s="1349">
        <v>42061</v>
      </c>
      <c r="B48" s="1350">
        <f t="shared" si="0"/>
        <v>250000</v>
      </c>
      <c r="C48" s="1351">
        <v>76000</v>
      </c>
      <c r="D48" s="1352"/>
      <c r="E48" s="1353" t="s">
        <v>537</v>
      </c>
      <c r="F48" s="1350">
        <f t="shared" si="1"/>
        <v>326000</v>
      </c>
      <c r="G48" s="1354"/>
    </row>
    <row r="49" spans="1:7">
      <c r="A49" s="1349">
        <v>42061</v>
      </c>
      <c r="B49" s="1350">
        <f t="shared" si="0"/>
        <v>326000</v>
      </c>
      <c r="C49" s="1362"/>
      <c r="D49" s="1362">
        <v>326000</v>
      </c>
      <c r="E49" s="1355" t="s">
        <v>554</v>
      </c>
      <c r="F49" s="1350">
        <f t="shared" si="1"/>
        <v>0</v>
      </c>
      <c r="G49" s="1354"/>
    </row>
    <row r="50" spans="1:7">
      <c r="A50" s="1356"/>
      <c r="B50" s="1357">
        <f t="shared" si="0"/>
        <v>0</v>
      </c>
      <c r="C50" s="1363"/>
      <c r="D50" s="1363"/>
      <c r="E50" s="1360"/>
      <c r="F50" s="1357">
        <f t="shared" si="1"/>
        <v>0</v>
      </c>
      <c r="G50" s="1361"/>
    </row>
    <row r="51" spans="1:7">
      <c r="A51" s="1349">
        <v>42066</v>
      </c>
      <c r="B51" s="1350">
        <f t="shared" si="0"/>
        <v>0</v>
      </c>
      <c r="C51" s="1351">
        <v>6000</v>
      </c>
      <c r="D51" s="1352"/>
      <c r="E51" s="1353" t="s">
        <v>533</v>
      </c>
      <c r="F51" s="1350">
        <f t="shared" si="1"/>
        <v>6000</v>
      </c>
      <c r="G51" s="1354"/>
    </row>
    <row r="52" spans="1:7">
      <c r="A52" s="1349">
        <v>42066</v>
      </c>
      <c r="B52" s="1350">
        <f t="shared" si="0"/>
        <v>6000</v>
      </c>
      <c r="C52" s="1362"/>
      <c r="D52" s="1362">
        <v>7000</v>
      </c>
      <c r="E52" s="1355" t="s">
        <v>84</v>
      </c>
      <c r="F52" s="1350">
        <f t="shared" si="1"/>
        <v>-1000</v>
      </c>
      <c r="G52" s="1354"/>
    </row>
    <row r="53" spans="1:7">
      <c r="A53" s="1349">
        <v>42068</v>
      </c>
      <c r="B53" s="1350">
        <f t="shared" si="0"/>
        <v>-1000</v>
      </c>
      <c r="C53" s="1351">
        <v>1000</v>
      </c>
      <c r="D53" s="1352"/>
      <c r="E53" s="1353" t="s">
        <v>533</v>
      </c>
      <c r="F53" s="1350">
        <f t="shared" si="1"/>
        <v>0</v>
      </c>
      <c r="G53" s="1354"/>
    </row>
    <row r="54" spans="1:7">
      <c r="A54" s="1349">
        <v>42075</v>
      </c>
      <c r="B54" s="1350">
        <f t="shared" si="0"/>
        <v>0</v>
      </c>
      <c r="C54" s="1351">
        <v>9012.5</v>
      </c>
      <c r="D54" s="1362"/>
      <c r="E54" s="1353" t="s">
        <v>555</v>
      </c>
      <c r="F54" s="1350">
        <f t="shared" si="1"/>
        <v>9012.5</v>
      </c>
      <c r="G54" s="1354"/>
    </row>
    <row r="55" spans="1:7">
      <c r="A55" s="1349">
        <v>42075</v>
      </c>
      <c r="B55" s="1350">
        <f t="shared" si="0"/>
        <v>9012.5</v>
      </c>
      <c r="C55" s="1362"/>
      <c r="D55" s="1362">
        <v>9012.5</v>
      </c>
      <c r="E55" s="1355" t="s">
        <v>556</v>
      </c>
      <c r="F55" s="1350">
        <f t="shared" si="1"/>
        <v>0</v>
      </c>
      <c r="G55" s="1354"/>
    </row>
    <row r="56" spans="1:7">
      <c r="A56" s="1349">
        <v>42075</v>
      </c>
      <c r="B56" s="1350">
        <f t="shared" si="0"/>
        <v>0</v>
      </c>
      <c r="C56" s="1351">
        <v>170000</v>
      </c>
      <c r="D56" s="1352"/>
      <c r="E56" s="1353" t="s">
        <v>531</v>
      </c>
      <c r="F56" s="1350">
        <f t="shared" si="1"/>
        <v>170000</v>
      </c>
      <c r="G56" s="1354"/>
    </row>
    <row r="57" spans="1:7">
      <c r="A57" s="1349">
        <v>42075</v>
      </c>
      <c r="B57" s="1350">
        <f t="shared" si="0"/>
        <v>170000</v>
      </c>
      <c r="C57" s="1351">
        <v>7000</v>
      </c>
      <c r="D57" s="1352"/>
      <c r="E57" s="1353" t="s">
        <v>533</v>
      </c>
      <c r="F57" s="1350">
        <f t="shared" si="1"/>
        <v>177000</v>
      </c>
      <c r="G57" s="1354"/>
    </row>
    <row r="58" spans="1:7">
      <c r="A58" s="1349">
        <v>42075</v>
      </c>
      <c r="B58" s="1350">
        <f t="shared" si="0"/>
        <v>177000</v>
      </c>
      <c r="C58" s="1351">
        <v>3000</v>
      </c>
      <c r="D58" s="1362"/>
      <c r="E58" s="1353" t="s">
        <v>557</v>
      </c>
      <c r="F58" s="1350">
        <f t="shared" si="1"/>
        <v>180000</v>
      </c>
      <c r="G58" s="1354"/>
    </row>
    <row r="59" spans="1:7">
      <c r="A59" s="1349">
        <v>42076</v>
      </c>
      <c r="B59" s="1350">
        <f t="shared" si="0"/>
        <v>180000</v>
      </c>
      <c r="C59" s="1351">
        <v>3000</v>
      </c>
      <c r="D59" s="1362"/>
      <c r="E59" s="1353" t="s">
        <v>558</v>
      </c>
      <c r="F59" s="1350">
        <f t="shared" si="1"/>
        <v>183000</v>
      </c>
      <c r="G59" s="1354"/>
    </row>
    <row r="60" spans="1:7">
      <c r="A60" s="1349">
        <v>42076</v>
      </c>
      <c r="B60" s="1350">
        <f t="shared" si="0"/>
        <v>183000</v>
      </c>
      <c r="C60" s="1362"/>
      <c r="D60" s="1362">
        <v>7000</v>
      </c>
      <c r="E60" s="1355" t="s">
        <v>84</v>
      </c>
      <c r="F60" s="1350">
        <f t="shared" si="1"/>
        <v>176000</v>
      </c>
      <c r="G60" s="1354"/>
    </row>
    <row r="61" spans="1:7">
      <c r="A61" s="1349">
        <v>42076</v>
      </c>
      <c r="B61" s="1350">
        <f t="shared" si="0"/>
        <v>176000</v>
      </c>
      <c r="C61" s="1362"/>
      <c r="D61" s="1362">
        <v>3000</v>
      </c>
      <c r="E61" s="1355" t="s">
        <v>536</v>
      </c>
      <c r="F61" s="1350">
        <f t="shared" si="1"/>
        <v>173000</v>
      </c>
      <c r="G61" s="1354"/>
    </row>
    <row r="62" spans="1:7">
      <c r="A62" s="1349">
        <v>42076</v>
      </c>
      <c r="B62" s="1350">
        <f t="shared" si="0"/>
        <v>173000</v>
      </c>
      <c r="C62" s="1362"/>
      <c r="D62" s="1362">
        <v>3000</v>
      </c>
      <c r="E62" s="1355" t="s">
        <v>559</v>
      </c>
      <c r="F62" s="1350">
        <f t="shared" si="1"/>
        <v>170000</v>
      </c>
      <c r="G62" s="1354"/>
    </row>
    <row r="63" spans="1:7">
      <c r="A63" s="1349">
        <v>42076</v>
      </c>
      <c r="B63" s="1350">
        <f t="shared" si="0"/>
        <v>170000</v>
      </c>
      <c r="C63" s="1351">
        <v>110000</v>
      </c>
      <c r="D63" s="1352"/>
      <c r="E63" s="1353" t="s">
        <v>531</v>
      </c>
      <c r="F63" s="1350">
        <f t="shared" si="1"/>
        <v>280000</v>
      </c>
      <c r="G63" s="1354"/>
    </row>
    <row r="64" spans="1:7">
      <c r="A64" s="1349">
        <v>42079</v>
      </c>
      <c r="B64" s="1350">
        <f t="shared" si="0"/>
        <v>280000</v>
      </c>
      <c r="C64" s="1351">
        <v>190000</v>
      </c>
      <c r="D64" s="1352"/>
      <c r="E64" s="1353" t="s">
        <v>531</v>
      </c>
      <c r="F64" s="1350">
        <f t="shared" si="1"/>
        <v>470000</v>
      </c>
      <c r="G64" s="1354"/>
    </row>
    <row r="65" spans="1:7">
      <c r="A65" s="1349">
        <v>42080</v>
      </c>
      <c r="B65" s="1350">
        <f t="shared" si="0"/>
        <v>470000</v>
      </c>
      <c r="C65" s="1351">
        <v>110700</v>
      </c>
      <c r="D65" s="1352"/>
      <c r="E65" s="1353" t="s">
        <v>531</v>
      </c>
      <c r="F65" s="1350">
        <f t="shared" si="1"/>
        <v>580700</v>
      </c>
      <c r="G65" s="1354"/>
    </row>
    <row r="66" spans="1:7">
      <c r="A66" s="1349">
        <v>42080</v>
      </c>
      <c r="B66" s="1350">
        <f t="shared" si="0"/>
        <v>580700</v>
      </c>
      <c r="C66" s="1362"/>
      <c r="D66" s="1362">
        <v>533700</v>
      </c>
      <c r="E66" s="1355" t="s">
        <v>534</v>
      </c>
      <c r="F66" s="1350">
        <f t="shared" si="1"/>
        <v>47000</v>
      </c>
      <c r="G66" s="1354"/>
    </row>
    <row r="67" spans="1:7">
      <c r="A67" s="1349">
        <v>42080</v>
      </c>
      <c r="B67" s="1350">
        <f t="shared" si="0"/>
        <v>47000</v>
      </c>
      <c r="C67" s="1362"/>
      <c r="D67" s="1362">
        <v>47000</v>
      </c>
      <c r="E67" s="1355" t="s">
        <v>535</v>
      </c>
      <c r="F67" s="1350">
        <f t="shared" si="1"/>
        <v>0</v>
      </c>
      <c r="G67" s="1354"/>
    </row>
    <row r="68" spans="1:7">
      <c r="A68" s="1349">
        <v>42080</v>
      </c>
      <c r="B68" s="1350">
        <f t="shared" ref="B68:B131" si="2">F67</f>
        <v>0</v>
      </c>
      <c r="C68" s="1351"/>
      <c r="D68" s="1352">
        <v>7000</v>
      </c>
      <c r="E68" s="1355" t="s">
        <v>84</v>
      </c>
      <c r="F68" s="1350">
        <f t="shared" ref="F68:F131" si="3">B68+C68-D68</f>
        <v>-7000</v>
      </c>
      <c r="G68" s="1354"/>
    </row>
    <row r="69" spans="1:7">
      <c r="A69" s="1349">
        <v>42087</v>
      </c>
      <c r="B69" s="1350">
        <f t="shared" si="2"/>
        <v>-7000</v>
      </c>
      <c r="C69" s="1351">
        <v>14000</v>
      </c>
      <c r="D69" s="1352"/>
      <c r="E69" s="1353" t="s">
        <v>533</v>
      </c>
      <c r="F69" s="1350">
        <f t="shared" si="3"/>
        <v>7000</v>
      </c>
      <c r="G69" s="1354"/>
    </row>
    <row r="70" spans="1:7">
      <c r="A70" s="1349">
        <v>42087</v>
      </c>
      <c r="B70" s="1350">
        <f t="shared" si="2"/>
        <v>7000</v>
      </c>
      <c r="C70" s="1351">
        <v>490</v>
      </c>
      <c r="D70" s="1352"/>
      <c r="E70" s="1353" t="s">
        <v>560</v>
      </c>
      <c r="F70" s="1350">
        <f t="shared" si="3"/>
        <v>7490</v>
      </c>
      <c r="G70" s="1354"/>
    </row>
    <row r="71" spans="1:7">
      <c r="A71" s="1349">
        <v>42087</v>
      </c>
      <c r="B71" s="1350">
        <f t="shared" si="2"/>
        <v>7490</v>
      </c>
      <c r="C71" s="1351"/>
      <c r="D71" s="1362">
        <v>490</v>
      </c>
      <c r="E71" s="1355" t="s">
        <v>291</v>
      </c>
      <c r="F71" s="1350">
        <f t="shared" si="3"/>
        <v>7000</v>
      </c>
      <c r="G71" s="1354"/>
    </row>
    <row r="72" spans="1:7">
      <c r="A72" s="1349">
        <v>42087</v>
      </c>
      <c r="B72" s="1350">
        <f t="shared" si="2"/>
        <v>7000</v>
      </c>
      <c r="C72" s="1351">
        <v>22000</v>
      </c>
      <c r="D72" s="1362"/>
      <c r="E72" s="1353" t="s">
        <v>561</v>
      </c>
      <c r="F72" s="1350">
        <f t="shared" si="3"/>
        <v>29000</v>
      </c>
      <c r="G72" s="1354"/>
    </row>
    <row r="73" spans="1:7">
      <c r="A73" s="1349">
        <v>42087</v>
      </c>
      <c r="B73" s="1350">
        <f t="shared" si="2"/>
        <v>29000</v>
      </c>
      <c r="C73" s="1362"/>
      <c r="D73" s="1362">
        <v>22000</v>
      </c>
      <c r="E73" s="1355" t="s">
        <v>562</v>
      </c>
      <c r="F73" s="1350">
        <f t="shared" si="3"/>
        <v>7000</v>
      </c>
      <c r="G73" s="1354"/>
    </row>
    <row r="74" spans="1:7">
      <c r="A74" s="1349">
        <v>42088</v>
      </c>
      <c r="B74" s="1350">
        <f t="shared" si="2"/>
        <v>7000</v>
      </c>
      <c r="C74" s="1351"/>
      <c r="D74" s="1352">
        <v>7000</v>
      </c>
      <c r="E74" s="1355" t="s">
        <v>84</v>
      </c>
      <c r="F74" s="1350">
        <f t="shared" si="3"/>
        <v>0</v>
      </c>
      <c r="G74" s="1354"/>
    </row>
    <row r="75" spans="1:7">
      <c r="A75" s="1349">
        <v>42090</v>
      </c>
      <c r="B75" s="1350">
        <f t="shared" si="2"/>
        <v>0</v>
      </c>
      <c r="C75" s="1351">
        <v>331000</v>
      </c>
      <c r="D75" s="1352"/>
      <c r="E75" s="1353" t="s">
        <v>537</v>
      </c>
      <c r="F75" s="1364">
        <f t="shared" si="3"/>
        <v>331000</v>
      </c>
      <c r="G75" s="1365"/>
    </row>
    <row r="76" spans="1:7">
      <c r="A76" s="1349">
        <v>42093</v>
      </c>
      <c r="B76" s="1350">
        <f t="shared" si="2"/>
        <v>331000</v>
      </c>
      <c r="C76" s="1362"/>
      <c r="D76" s="1362">
        <v>331000</v>
      </c>
      <c r="E76" s="1355" t="s">
        <v>554</v>
      </c>
      <c r="F76" s="1350">
        <f t="shared" si="3"/>
        <v>0</v>
      </c>
      <c r="G76" s="1354"/>
    </row>
    <row r="77" spans="1:7">
      <c r="A77" s="1356"/>
      <c r="B77" s="1357">
        <f t="shared" si="2"/>
        <v>0</v>
      </c>
      <c r="C77" s="1358"/>
      <c r="D77" s="1359"/>
      <c r="E77" s="1360"/>
      <c r="F77" s="1357">
        <f t="shared" si="3"/>
        <v>0</v>
      </c>
      <c r="G77" s="1361"/>
    </row>
    <row r="78" spans="1:7">
      <c r="A78" s="1349">
        <v>42100</v>
      </c>
      <c r="B78" s="1350">
        <f t="shared" si="2"/>
        <v>0</v>
      </c>
      <c r="C78" s="1351">
        <v>14000</v>
      </c>
      <c r="D78" s="1352"/>
      <c r="E78" s="1353" t="s">
        <v>533</v>
      </c>
      <c r="F78" s="1350">
        <f t="shared" si="3"/>
        <v>14000</v>
      </c>
      <c r="G78" s="1354"/>
    </row>
    <row r="79" spans="1:7">
      <c r="A79" s="1349">
        <v>42100</v>
      </c>
      <c r="B79" s="1350">
        <f t="shared" si="2"/>
        <v>14000</v>
      </c>
      <c r="C79" s="1351"/>
      <c r="D79" s="1352">
        <v>14000</v>
      </c>
      <c r="E79" s="1355" t="s">
        <v>84</v>
      </c>
      <c r="F79" s="1350">
        <f t="shared" si="3"/>
        <v>0</v>
      </c>
      <c r="G79" s="1354"/>
    </row>
    <row r="80" spans="1:7">
      <c r="A80" s="1349">
        <v>42103</v>
      </c>
      <c r="B80" s="1350">
        <f t="shared" si="2"/>
        <v>0</v>
      </c>
      <c r="C80" s="1351">
        <v>305000</v>
      </c>
      <c r="D80" s="1352"/>
      <c r="E80" s="1353" t="s">
        <v>531</v>
      </c>
      <c r="F80" s="1350">
        <f t="shared" si="3"/>
        <v>305000</v>
      </c>
      <c r="G80" s="1354"/>
    </row>
    <row r="81" spans="1:7">
      <c r="A81" s="1349">
        <v>42107</v>
      </c>
      <c r="B81" s="1350">
        <f t="shared" si="2"/>
        <v>305000</v>
      </c>
      <c r="C81" s="1351">
        <v>192300</v>
      </c>
      <c r="D81" s="1352"/>
      <c r="E81" s="1353" t="s">
        <v>531</v>
      </c>
      <c r="F81" s="1350">
        <f t="shared" si="3"/>
        <v>497300</v>
      </c>
      <c r="G81" s="1354"/>
    </row>
    <row r="82" spans="1:7">
      <c r="A82" s="1349">
        <v>42107</v>
      </c>
      <c r="B82" s="1350">
        <f t="shared" si="2"/>
        <v>497300</v>
      </c>
      <c r="C82" s="1351">
        <v>7000</v>
      </c>
      <c r="D82" s="1352"/>
      <c r="E82" s="1353" t="s">
        <v>533</v>
      </c>
      <c r="F82" s="1350">
        <f t="shared" si="3"/>
        <v>504300</v>
      </c>
      <c r="G82" s="1354"/>
    </row>
    <row r="83" spans="1:7">
      <c r="A83" s="1349">
        <v>42107</v>
      </c>
      <c r="B83" s="1350">
        <f t="shared" si="2"/>
        <v>504300</v>
      </c>
      <c r="C83" s="1351"/>
      <c r="D83" s="1352">
        <v>7000</v>
      </c>
      <c r="E83" s="1355" t="s">
        <v>84</v>
      </c>
      <c r="F83" s="1350">
        <f t="shared" si="3"/>
        <v>497300</v>
      </c>
      <c r="G83" s="1354"/>
    </row>
    <row r="84" spans="1:7">
      <c r="A84" s="1349">
        <v>42108</v>
      </c>
      <c r="B84" s="1350">
        <f t="shared" si="2"/>
        <v>497300</v>
      </c>
      <c r="C84" s="1351"/>
      <c r="D84" s="1352">
        <v>482700</v>
      </c>
      <c r="E84" s="1355" t="s">
        <v>534</v>
      </c>
      <c r="F84" s="1350">
        <f t="shared" si="3"/>
        <v>14600</v>
      </c>
      <c r="G84" s="1354"/>
    </row>
    <row r="85" spans="1:7">
      <c r="A85" s="1349">
        <v>42108</v>
      </c>
      <c r="B85" s="1350">
        <f t="shared" si="2"/>
        <v>14600</v>
      </c>
      <c r="C85" s="1351"/>
      <c r="D85" s="1352">
        <v>600</v>
      </c>
      <c r="E85" s="1355" t="s">
        <v>563</v>
      </c>
      <c r="F85" s="1350">
        <f t="shared" si="3"/>
        <v>14000</v>
      </c>
      <c r="G85" s="1354"/>
    </row>
    <row r="86" spans="1:7">
      <c r="A86" s="1349">
        <v>42108</v>
      </c>
      <c r="B86" s="1350">
        <f t="shared" si="2"/>
        <v>14000</v>
      </c>
      <c r="C86" s="1351"/>
      <c r="D86" s="1352">
        <v>14000</v>
      </c>
      <c r="E86" s="1355" t="s">
        <v>84</v>
      </c>
      <c r="F86" s="1350">
        <f t="shared" si="3"/>
        <v>0</v>
      </c>
      <c r="G86" s="1354"/>
    </row>
    <row r="87" spans="1:7">
      <c r="A87" s="1349">
        <v>42115</v>
      </c>
      <c r="B87" s="1350">
        <f t="shared" si="2"/>
        <v>0</v>
      </c>
      <c r="C87" s="1351">
        <v>500</v>
      </c>
      <c r="D87" s="1352"/>
      <c r="E87" s="1353" t="s">
        <v>564</v>
      </c>
      <c r="F87" s="1350">
        <f t="shared" si="3"/>
        <v>500</v>
      </c>
      <c r="G87" s="1354"/>
    </row>
    <row r="88" spans="1:7">
      <c r="A88" s="1349">
        <v>42115</v>
      </c>
      <c r="B88" s="1350">
        <f t="shared" si="2"/>
        <v>500</v>
      </c>
      <c r="C88" s="1351"/>
      <c r="D88" s="1352">
        <v>560</v>
      </c>
      <c r="E88" s="1355" t="s">
        <v>563</v>
      </c>
      <c r="F88" s="1350">
        <f t="shared" si="3"/>
        <v>-60</v>
      </c>
      <c r="G88" s="1354"/>
    </row>
    <row r="89" spans="1:7">
      <c r="A89" s="1349">
        <v>42115</v>
      </c>
      <c r="B89" s="1350">
        <f t="shared" si="2"/>
        <v>-60</v>
      </c>
      <c r="C89" s="1351">
        <v>170000</v>
      </c>
      <c r="D89" s="1352"/>
      <c r="E89" s="1353" t="s">
        <v>537</v>
      </c>
      <c r="F89" s="1350">
        <f t="shared" si="3"/>
        <v>169940</v>
      </c>
      <c r="G89" s="1354"/>
    </row>
    <row r="90" spans="1:7">
      <c r="A90" s="1349">
        <v>42121</v>
      </c>
      <c r="B90" s="1350">
        <f t="shared" si="2"/>
        <v>169940</v>
      </c>
      <c r="C90" s="1351">
        <v>267000</v>
      </c>
      <c r="D90" s="1352"/>
      <c r="E90" s="1353" t="s">
        <v>537</v>
      </c>
      <c r="F90" s="1350">
        <f t="shared" si="3"/>
        <v>436940</v>
      </c>
      <c r="G90" s="1354"/>
    </row>
    <row r="91" spans="1:7">
      <c r="A91" s="1349">
        <v>42121</v>
      </c>
      <c r="B91" s="1350">
        <f t="shared" si="2"/>
        <v>436940</v>
      </c>
      <c r="C91" s="1351"/>
      <c r="D91" s="1352">
        <v>426900</v>
      </c>
      <c r="E91" s="1355" t="s">
        <v>554</v>
      </c>
      <c r="F91" s="1350">
        <f t="shared" si="3"/>
        <v>10040</v>
      </c>
      <c r="G91" s="1354"/>
    </row>
    <row r="92" spans="1:7">
      <c r="A92" s="1356"/>
      <c r="B92" s="1357">
        <f t="shared" si="2"/>
        <v>10040</v>
      </c>
      <c r="C92" s="1358"/>
      <c r="D92" s="1359"/>
      <c r="E92" s="1366"/>
      <c r="F92" s="1357">
        <f t="shared" si="3"/>
        <v>10040</v>
      </c>
      <c r="G92" s="1361"/>
    </row>
    <row r="93" spans="1:7">
      <c r="A93" s="1349">
        <v>42131</v>
      </c>
      <c r="B93" s="1350">
        <f t="shared" si="2"/>
        <v>10040</v>
      </c>
      <c r="C93" s="1351">
        <v>7000</v>
      </c>
      <c r="D93" s="1352"/>
      <c r="E93" s="1353" t="s">
        <v>533</v>
      </c>
      <c r="F93" s="1350">
        <f t="shared" si="3"/>
        <v>17040</v>
      </c>
      <c r="G93" s="1354"/>
    </row>
    <row r="94" spans="1:7">
      <c r="A94" s="1349">
        <v>42131</v>
      </c>
      <c r="B94" s="1350">
        <f t="shared" si="2"/>
        <v>17040</v>
      </c>
      <c r="C94" s="1351"/>
      <c r="D94" s="1352">
        <v>7000</v>
      </c>
      <c r="E94" s="1355" t="s">
        <v>84</v>
      </c>
      <c r="F94" s="1350">
        <f t="shared" si="3"/>
        <v>10040</v>
      </c>
      <c r="G94" s="1354"/>
    </row>
    <row r="95" spans="1:7">
      <c r="A95" s="1349">
        <v>42131</v>
      </c>
      <c r="B95" s="1350">
        <f t="shared" si="2"/>
        <v>10040</v>
      </c>
      <c r="C95" s="1351"/>
      <c r="D95" s="1352">
        <v>10000</v>
      </c>
      <c r="E95" s="1355" t="s">
        <v>292</v>
      </c>
      <c r="F95" s="1350">
        <f t="shared" si="3"/>
        <v>40</v>
      </c>
      <c r="G95" s="1354"/>
    </row>
    <row r="96" spans="1:7">
      <c r="A96" s="1349">
        <v>42136</v>
      </c>
      <c r="B96" s="1350">
        <f t="shared" si="2"/>
        <v>40</v>
      </c>
      <c r="C96" s="1351">
        <v>398500</v>
      </c>
      <c r="D96" s="1352"/>
      <c r="E96" s="1353" t="s">
        <v>531</v>
      </c>
      <c r="F96" s="1350">
        <f t="shared" si="3"/>
        <v>398540</v>
      </c>
      <c r="G96" s="1354"/>
    </row>
    <row r="97" spans="1:7">
      <c r="A97" s="1349">
        <v>42138</v>
      </c>
      <c r="B97" s="1350">
        <f t="shared" si="2"/>
        <v>398540</v>
      </c>
      <c r="C97" s="1351">
        <v>300000</v>
      </c>
      <c r="D97" s="1352"/>
      <c r="E97" s="1353" t="s">
        <v>531</v>
      </c>
      <c r="F97" s="1350">
        <f t="shared" si="3"/>
        <v>698540</v>
      </c>
      <c r="G97" s="1354"/>
    </row>
    <row r="98" spans="1:7">
      <c r="A98" s="1349">
        <v>42138</v>
      </c>
      <c r="B98" s="1350">
        <f t="shared" si="2"/>
        <v>698540</v>
      </c>
      <c r="C98" s="1351">
        <v>7000</v>
      </c>
      <c r="D98" s="1352"/>
      <c r="E98" s="1353" t="s">
        <v>533</v>
      </c>
      <c r="F98" s="1350">
        <f t="shared" si="3"/>
        <v>705540</v>
      </c>
      <c r="G98" s="1354"/>
    </row>
    <row r="99" spans="1:7">
      <c r="A99" s="1349">
        <v>42138</v>
      </c>
      <c r="B99" s="1350">
        <f t="shared" si="2"/>
        <v>705540</v>
      </c>
      <c r="C99" s="1351"/>
      <c r="D99" s="1352">
        <v>7000</v>
      </c>
      <c r="E99" s="1355" t="s">
        <v>84</v>
      </c>
      <c r="F99" s="1350">
        <f t="shared" si="3"/>
        <v>698540</v>
      </c>
      <c r="G99" s="1354"/>
    </row>
    <row r="100" spans="1:7">
      <c r="A100" s="1349">
        <v>42144</v>
      </c>
      <c r="B100" s="1350">
        <f t="shared" si="2"/>
        <v>698540</v>
      </c>
      <c r="C100" s="1351">
        <v>26900</v>
      </c>
      <c r="D100" s="1352"/>
      <c r="E100" s="1353" t="s">
        <v>531</v>
      </c>
      <c r="F100" s="1350">
        <f t="shared" si="3"/>
        <v>725440</v>
      </c>
      <c r="G100" s="1354"/>
    </row>
    <row r="101" spans="1:7">
      <c r="A101" s="1349">
        <v>42144</v>
      </c>
      <c r="B101" s="1350">
        <f t="shared" si="2"/>
        <v>725440</v>
      </c>
      <c r="C101" s="1351"/>
      <c r="D101" s="1352">
        <v>723900</v>
      </c>
      <c r="E101" s="1355" t="s">
        <v>534</v>
      </c>
      <c r="F101" s="1350">
        <f t="shared" si="3"/>
        <v>1540</v>
      </c>
      <c r="G101" s="1354"/>
    </row>
    <row r="102" spans="1:7">
      <c r="A102" s="1349">
        <v>42144</v>
      </c>
      <c r="B102" s="1350">
        <f t="shared" si="2"/>
        <v>1540</v>
      </c>
      <c r="C102" s="1351"/>
      <c r="D102" s="1352">
        <v>1500</v>
      </c>
      <c r="E102" s="1355" t="s">
        <v>536</v>
      </c>
      <c r="F102" s="1350">
        <f t="shared" si="3"/>
        <v>40</v>
      </c>
      <c r="G102" s="1354"/>
    </row>
    <row r="103" spans="1:7">
      <c r="A103" s="1349">
        <v>42150</v>
      </c>
      <c r="B103" s="1350">
        <f t="shared" si="2"/>
        <v>40</v>
      </c>
      <c r="C103" s="1351">
        <v>411000</v>
      </c>
      <c r="D103" s="1352"/>
      <c r="E103" s="1353" t="s">
        <v>537</v>
      </c>
      <c r="F103" s="1350">
        <f t="shared" si="3"/>
        <v>411040</v>
      </c>
      <c r="G103" s="1354"/>
    </row>
    <row r="104" spans="1:7">
      <c r="A104" s="1349">
        <v>42150</v>
      </c>
      <c r="B104" s="1350">
        <f t="shared" si="2"/>
        <v>411040</v>
      </c>
      <c r="C104" s="1351">
        <v>7000</v>
      </c>
      <c r="D104" s="1352"/>
      <c r="E104" s="1353" t="s">
        <v>533</v>
      </c>
      <c r="F104" s="1350">
        <f t="shared" si="3"/>
        <v>418040</v>
      </c>
      <c r="G104" s="1354"/>
    </row>
    <row r="105" spans="1:7">
      <c r="A105" s="1349">
        <v>42150</v>
      </c>
      <c r="B105" s="1350">
        <f t="shared" si="2"/>
        <v>418040</v>
      </c>
      <c r="C105" s="1351"/>
      <c r="D105" s="1352">
        <v>7000</v>
      </c>
      <c r="E105" s="1355" t="s">
        <v>84</v>
      </c>
      <c r="F105" s="1350">
        <f t="shared" si="3"/>
        <v>411040</v>
      </c>
      <c r="G105" s="1354"/>
    </row>
    <row r="106" spans="1:7">
      <c r="A106" s="1349">
        <v>42151</v>
      </c>
      <c r="B106" s="1350">
        <f t="shared" si="2"/>
        <v>411040</v>
      </c>
      <c r="C106" s="1351"/>
      <c r="D106" s="1352">
        <v>411000</v>
      </c>
      <c r="E106" s="1355" t="s">
        <v>554</v>
      </c>
      <c r="F106" s="1350">
        <f t="shared" si="3"/>
        <v>40</v>
      </c>
      <c r="G106" s="1354"/>
    </row>
    <row r="107" spans="1:7">
      <c r="A107" s="1349">
        <v>42153</v>
      </c>
      <c r="B107" s="1350">
        <f t="shared" si="2"/>
        <v>40</v>
      </c>
      <c r="C107" s="1351">
        <v>7000</v>
      </c>
      <c r="D107" s="1352"/>
      <c r="E107" s="1353" t="s">
        <v>533</v>
      </c>
      <c r="F107" s="1350">
        <f t="shared" si="3"/>
        <v>7040</v>
      </c>
      <c r="G107" s="1354"/>
    </row>
    <row r="108" spans="1:7">
      <c r="A108" s="1356"/>
      <c r="B108" s="1357">
        <f t="shared" si="2"/>
        <v>7040</v>
      </c>
      <c r="C108" s="1358"/>
      <c r="D108" s="1359"/>
      <c r="E108" s="1367"/>
      <c r="F108" s="1357">
        <f t="shared" si="3"/>
        <v>7040</v>
      </c>
      <c r="G108" s="1361"/>
    </row>
    <row r="109" spans="1:7">
      <c r="A109" s="1349">
        <v>42156</v>
      </c>
      <c r="B109" s="1350">
        <f t="shared" si="2"/>
        <v>7040</v>
      </c>
      <c r="C109" s="1351"/>
      <c r="D109" s="1352">
        <v>7000</v>
      </c>
      <c r="E109" s="1355" t="s">
        <v>84</v>
      </c>
      <c r="F109" s="1350">
        <f t="shared" si="3"/>
        <v>40</v>
      </c>
      <c r="G109" s="1354"/>
    </row>
    <row r="110" spans="1:7">
      <c r="A110" s="1349">
        <v>42166</v>
      </c>
      <c r="B110" s="1350">
        <f t="shared" si="2"/>
        <v>40</v>
      </c>
      <c r="C110" s="1351">
        <v>200000</v>
      </c>
      <c r="D110" s="1352"/>
      <c r="E110" s="1353" t="s">
        <v>531</v>
      </c>
      <c r="F110" s="1350">
        <f t="shared" si="3"/>
        <v>200040</v>
      </c>
      <c r="G110" s="1354"/>
    </row>
    <row r="111" spans="1:7">
      <c r="A111" s="1349">
        <v>42171</v>
      </c>
      <c r="B111" s="1350">
        <f t="shared" si="2"/>
        <v>200040</v>
      </c>
      <c r="C111" s="1351">
        <v>460000</v>
      </c>
      <c r="D111" s="1352"/>
      <c r="E111" s="1353" t="s">
        <v>531</v>
      </c>
      <c r="F111" s="1350">
        <f t="shared" si="3"/>
        <v>660040</v>
      </c>
      <c r="G111" s="1354"/>
    </row>
    <row r="112" spans="1:7">
      <c r="A112" s="1349">
        <v>42171</v>
      </c>
      <c r="B112" s="1350">
        <f t="shared" si="2"/>
        <v>660040</v>
      </c>
      <c r="C112" s="1351">
        <v>14000</v>
      </c>
      <c r="D112" s="1352"/>
      <c r="E112" s="1353" t="s">
        <v>533</v>
      </c>
      <c r="F112" s="1350">
        <f t="shared" si="3"/>
        <v>674040</v>
      </c>
      <c r="G112" s="1354"/>
    </row>
    <row r="113" spans="1:7">
      <c r="A113" s="1349">
        <v>42172</v>
      </c>
      <c r="B113" s="1350">
        <f t="shared" si="2"/>
        <v>674040</v>
      </c>
      <c r="C113" s="1351">
        <v>50</v>
      </c>
      <c r="D113" s="1352"/>
      <c r="E113" s="1353" t="s">
        <v>565</v>
      </c>
      <c r="F113" s="1350">
        <f t="shared" si="3"/>
        <v>674090</v>
      </c>
      <c r="G113" s="1354"/>
    </row>
    <row r="114" spans="1:7">
      <c r="A114" s="1349">
        <v>42172</v>
      </c>
      <c r="B114" s="1350">
        <f t="shared" si="2"/>
        <v>674090</v>
      </c>
      <c r="C114" s="1351"/>
      <c r="D114" s="1352">
        <v>7000</v>
      </c>
      <c r="E114" s="1355" t="s">
        <v>84</v>
      </c>
      <c r="F114" s="1350">
        <f t="shared" si="3"/>
        <v>667090</v>
      </c>
      <c r="G114" s="1354"/>
    </row>
    <row r="115" spans="1:7">
      <c r="A115" s="1349">
        <v>42174</v>
      </c>
      <c r="B115" s="1350">
        <f t="shared" si="2"/>
        <v>667090</v>
      </c>
      <c r="C115" s="1351">
        <v>10000</v>
      </c>
      <c r="D115" s="1352"/>
      <c r="E115" s="1353" t="s">
        <v>531</v>
      </c>
      <c r="F115" s="1350">
        <f t="shared" si="3"/>
        <v>677090</v>
      </c>
      <c r="G115" s="1354"/>
    </row>
    <row r="116" spans="1:7">
      <c r="A116" s="1349">
        <v>42174</v>
      </c>
      <c r="B116" s="1350">
        <f t="shared" si="2"/>
        <v>677090</v>
      </c>
      <c r="C116" s="1351"/>
      <c r="D116" s="1352">
        <v>668590</v>
      </c>
      <c r="E116" s="1355" t="s">
        <v>534</v>
      </c>
      <c r="F116" s="1350">
        <f t="shared" si="3"/>
        <v>8500</v>
      </c>
      <c r="G116" s="1354"/>
    </row>
    <row r="117" spans="1:7">
      <c r="A117" s="1349">
        <v>42174</v>
      </c>
      <c r="B117" s="1350">
        <f t="shared" si="2"/>
        <v>8500</v>
      </c>
      <c r="C117" s="1351"/>
      <c r="D117" s="1352">
        <v>1500</v>
      </c>
      <c r="E117" s="1355" t="s">
        <v>536</v>
      </c>
      <c r="F117" s="1350">
        <f t="shared" si="3"/>
        <v>7000</v>
      </c>
      <c r="G117" s="1354"/>
    </row>
    <row r="118" spans="1:7">
      <c r="A118" s="1349">
        <v>42174</v>
      </c>
      <c r="B118" s="1350">
        <f t="shared" si="2"/>
        <v>7000</v>
      </c>
      <c r="C118" s="1351"/>
      <c r="D118" s="1352">
        <v>7000</v>
      </c>
      <c r="E118" s="1355" t="s">
        <v>84</v>
      </c>
      <c r="F118" s="1350">
        <f t="shared" si="3"/>
        <v>0</v>
      </c>
      <c r="G118" s="1354"/>
    </row>
    <row r="119" spans="1:7">
      <c r="A119" s="1349">
        <v>42175</v>
      </c>
      <c r="B119" s="1350">
        <f t="shared" si="2"/>
        <v>0</v>
      </c>
      <c r="C119" s="1351">
        <v>46300</v>
      </c>
      <c r="D119" s="1352"/>
      <c r="E119" s="1353" t="s">
        <v>566</v>
      </c>
      <c r="F119" s="1350">
        <f t="shared" si="3"/>
        <v>46300</v>
      </c>
      <c r="G119" s="1354"/>
    </row>
    <row r="120" spans="1:7">
      <c r="A120" s="1349">
        <v>42180</v>
      </c>
      <c r="B120" s="1350">
        <f t="shared" si="2"/>
        <v>46300</v>
      </c>
      <c r="C120" s="1351"/>
      <c r="D120" s="1352">
        <v>46300</v>
      </c>
      <c r="E120" s="1355" t="s">
        <v>535</v>
      </c>
      <c r="F120" s="1350">
        <f t="shared" si="3"/>
        <v>0</v>
      </c>
      <c r="G120" s="1354"/>
    </row>
    <row r="121" spans="1:7">
      <c r="A121" s="1349">
        <v>42180</v>
      </c>
      <c r="B121" s="1350">
        <f t="shared" si="2"/>
        <v>0</v>
      </c>
      <c r="C121" s="1351">
        <v>140600</v>
      </c>
      <c r="D121" s="1352"/>
      <c r="E121" s="1353" t="s">
        <v>566</v>
      </c>
      <c r="F121" s="1350">
        <f t="shared" si="3"/>
        <v>140600</v>
      </c>
      <c r="G121" s="1354"/>
    </row>
    <row r="122" spans="1:7">
      <c r="A122" s="1349">
        <v>42181</v>
      </c>
      <c r="B122" s="1350">
        <f t="shared" si="2"/>
        <v>140600</v>
      </c>
      <c r="C122" s="1351"/>
      <c r="D122" s="1352">
        <v>140600</v>
      </c>
      <c r="E122" s="1355" t="s">
        <v>535</v>
      </c>
      <c r="F122" s="1350">
        <f t="shared" si="3"/>
        <v>0</v>
      </c>
      <c r="G122" s="1354"/>
    </row>
    <row r="123" spans="1:7">
      <c r="A123" s="1349">
        <v>42181</v>
      </c>
      <c r="B123" s="1350">
        <f t="shared" si="2"/>
        <v>0</v>
      </c>
      <c r="C123" s="1351">
        <v>398000</v>
      </c>
      <c r="D123" s="1352"/>
      <c r="E123" s="1353" t="s">
        <v>537</v>
      </c>
      <c r="F123" s="1350">
        <f t="shared" si="3"/>
        <v>398000</v>
      </c>
      <c r="G123" s="1354"/>
    </row>
    <row r="124" spans="1:7">
      <c r="A124" s="1349">
        <v>42181</v>
      </c>
      <c r="B124" s="1350">
        <f t="shared" si="2"/>
        <v>398000</v>
      </c>
      <c r="C124" s="1351"/>
      <c r="D124" s="1352">
        <v>398000</v>
      </c>
      <c r="E124" s="1355" t="s">
        <v>554</v>
      </c>
      <c r="F124" s="1350">
        <f t="shared" si="3"/>
        <v>0</v>
      </c>
      <c r="G124" s="1354"/>
    </row>
    <row r="125" spans="1:7">
      <c r="A125" s="1349">
        <v>42184</v>
      </c>
      <c r="B125" s="1350">
        <f t="shared" si="2"/>
        <v>0</v>
      </c>
      <c r="C125" s="1351">
        <v>7000</v>
      </c>
      <c r="D125" s="1352"/>
      <c r="E125" s="1353" t="s">
        <v>533</v>
      </c>
      <c r="F125" s="1350">
        <f t="shared" si="3"/>
        <v>7000</v>
      </c>
      <c r="G125" s="1354"/>
    </row>
    <row r="126" spans="1:7">
      <c r="A126" s="1349">
        <v>42185</v>
      </c>
      <c r="B126" s="1350">
        <f t="shared" si="2"/>
        <v>7000</v>
      </c>
      <c r="C126" s="1351">
        <v>2000</v>
      </c>
      <c r="D126" s="1352"/>
      <c r="E126" s="1353" t="s">
        <v>567</v>
      </c>
      <c r="F126" s="1350">
        <f t="shared" si="3"/>
        <v>9000</v>
      </c>
      <c r="G126" s="1354"/>
    </row>
    <row r="127" spans="1:7">
      <c r="A127" s="1349">
        <v>42185</v>
      </c>
      <c r="B127" s="1350">
        <f t="shared" si="2"/>
        <v>9000</v>
      </c>
      <c r="C127" s="1351"/>
      <c r="D127" s="1352">
        <v>2000</v>
      </c>
      <c r="E127" s="1355" t="s">
        <v>568</v>
      </c>
      <c r="F127" s="1350">
        <f t="shared" si="3"/>
        <v>7000</v>
      </c>
      <c r="G127" s="1354"/>
    </row>
    <row r="128" spans="1:7">
      <c r="A128" s="1356"/>
      <c r="B128" s="1357">
        <f t="shared" si="2"/>
        <v>7000</v>
      </c>
      <c r="C128" s="1358"/>
      <c r="D128" s="1359"/>
      <c r="E128" s="1366"/>
      <c r="F128" s="1357">
        <f t="shared" si="3"/>
        <v>7000</v>
      </c>
      <c r="G128" s="1361"/>
    </row>
    <row r="129" spans="1:7">
      <c r="A129" s="1349">
        <v>42186</v>
      </c>
      <c r="B129" s="1350">
        <f t="shared" si="2"/>
        <v>7000</v>
      </c>
      <c r="C129" s="1351"/>
      <c r="D129" s="1352">
        <v>7000</v>
      </c>
      <c r="E129" s="1355" t="s">
        <v>84</v>
      </c>
      <c r="F129" s="1350">
        <f t="shared" si="3"/>
        <v>0</v>
      </c>
      <c r="G129" s="1354"/>
    </row>
    <row r="130" spans="1:7">
      <c r="A130" s="1349">
        <v>42187</v>
      </c>
      <c r="B130" s="1350">
        <f t="shared" si="2"/>
        <v>0</v>
      </c>
      <c r="C130" s="1351">
        <v>7000</v>
      </c>
      <c r="D130" s="1352"/>
      <c r="E130" s="1353" t="s">
        <v>533</v>
      </c>
      <c r="F130" s="1350">
        <f t="shared" si="3"/>
        <v>7000</v>
      </c>
      <c r="G130" s="1354"/>
    </row>
    <row r="131" spans="1:7">
      <c r="A131" s="1349">
        <v>42187</v>
      </c>
      <c r="B131" s="1350">
        <f t="shared" si="2"/>
        <v>7000</v>
      </c>
      <c r="C131" s="1351"/>
      <c r="D131" s="1352">
        <v>7000</v>
      </c>
      <c r="E131" s="1355" t="s">
        <v>84</v>
      </c>
      <c r="F131" s="1350">
        <f t="shared" si="3"/>
        <v>0</v>
      </c>
      <c r="G131" s="1354"/>
    </row>
    <row r="132" spans="1:7">
      <c r="A132" s="1349">
        <v>42193</v>
      </c>
      <c r="B132" s="1350">
        <f t="shared" ref="B132:B195" si="4">F131</f>
        <v>0</v>
      </c>
      <c r="C132" s="1351">
        <v>657200</v>
      </c>
      <c r="D132" s="1352"/>
      <c r="E132" s="1353" t="s">
        <v>531</v>
      </c>
      <c r="F132" s="1350">
        <f t="shared" ref="F132:F195" si="5">B132+C132-D132</f>
        <v>657200</v>
      </c>
      <c r="G132" s="1354"/>
    </row>
    <row r="133" spans="1:7">
      <c r="A133" s="1349">
        <v>42193</v>
      </c>
      <c r="B133" s="1350">
        <f t="shared" si="4"/>
        <v>657200</v>
      </c>
      <c r="C133" s="1351"/>
      <c r="D133" s="1352">
        <v>655700</v>
      </c>
      <c r="E133" s="1355" t="s">
        <v>534</v>
      </c>
      <c r="F133" s="1350">
        <f t="shared" si="5"/>
        <v>1500</v>
      </c>
      <c r="G133" s="1354"/>
    </row>
    <row r="134" spans="1:7">
      <c r="A134" s="1349">
        <v>42193</v>
      </c>
      <c r="B134" s="1350">
        <f t="shared" si="4"/>
        <v>1500</v>
      </c>
      <c r="C134" s="1351"/>
      <c r="D134" s="1352">
        <v>1500</v>
      </c>
      <c r="E134" s="1355" t="s">
        <v>536</v>
      </c>
      <c r="F134" s="1350">
        <f t="shared" si="5"/>
        <v>0</v>
      </c>
      <c r="G134" s="1354"/>
    </row>
    <row r="135" spans="1:7">
      <c r="A135" s="1349">
        <v>42198</v>
      </c>
      <c r="B135" s="1350">
        <f t="shared" si="4"/>
        <v>0</v>
      </c>
      <c r="C135" s="1351">
        <v>7000</v>
      </c>
      <c r="D135" s="1352"/>
      <c r="E135" s="1353" t="s">
        <v>533</v>
      </c>
      <c r="F135" s="1350">
        <f t="shared" si="5"/>
        <v>7000</v>
      </c>
      <c r="G135" s="1354"/>
    </row>
    <row r="136" spans="1:7">
      <c r="A136" s="1349">
        <v>42198</v>
      </c>
      <c r="B136" s="1350">
        <f t="shared" si="4"/>
        <v>7000</v>
      </c>
      <c r="C136" s="1351">
        <v>600</v>
      </c>
      <c r="D136" s="1352"/>
      <c r="E136" s="1353" t="s">
        <v>569</v>
      </c>
      <c r="F136" s="1350">
        <f t="shared" si="5"/>
        <v>7600</v>
      </c>
      <c r="G136" s="1354"/>
    </row>
    <row r="137" spans="1:7">
      <c r="A137" s="1349">
        <v>42199</v>
      </c>
      <c r="B137" s="1350">
        <f t="shared" si="4"/>
        <v>7600</v>
      </c>
      <c r="C137" s="1351">
        <v>7000</v>
      </c>
      <c r="D137" s="1352"/>
      <c r="E137" s="1353" t="s">
        <v>533</v>
      </c>
      <c r="F137" s="1350">
        <f t="shared" si="5"/>
        <v>14600</v>
      </c>
      <c r="G137" s="1354"/>
    </row>
    <row r="138" spans="1:7">
      <c r="A138" s="1349">
        <v>42207</v>
      </c>
      <c r="B138" s="1350">
        <f t="shared" si="4"/>
        <v>14600</v>
      </c>
      <c r="C138" s="1351"/>
      <c r="D138" s="1352">
        <v>14000</v>
      </c>
      <c r="E138" s="1355" t="s">
        <v>84</v>
      </c>
      <c r="F138" s="1350">
        <f t="shared" si="5"/>
        <v>600</v>
      </c>
      <c r="G138" s="1354"/>
    </row>
    <row r="139" spans="1:7">
      <c r="A139" s="1349">
        <v>42207</v>
      </c>
      <c r="B139" s="1350">
        <f t="shared" si="4"/>
        <v>600</v>
      </c>
      <c r="C139" s="1351"/>
      <c r="D139" s="1352">
        <v>600</v>
      </c>
      <c r="E139" s="1355" t="s">
        <v>570</v>
      </c>
      <c r="F139" s="1350">
        <f t="shared" si="5"/>
        <v>0</v>
      </c>
      <c r="G139" s="1354"/>
    </row>
    <row r="140" spans="1:7">
      <c r="A140" s="1349">
        <v>42207</v>
      </c>
      <c r="B140" s="1350">
        <f t="shared" si="4"/>
        <v>0</v>
      </c>
      <c r="C140" s="1351">
        <v>100000</v>
      </c>
      <c r="D140" s="1352"/>
      <c r="E140" s="1353" t="s">
        <v>537</v>
      </c>
      <c r="F140" s="1350">
        <f t="shared" si="5"/>
        <v>100000</v>
      </c>
      <c r="G140" s="1354"/>
    </row>
    <row r="141" spans="1:7">
      <c r="A141" s="1349">
        <v>42207</v>
      </c>
      <c r="B141" s="1350">
        <f t="shared" si="4"/>
        <v>100000</v>
      </c>
      <c r="C141" s="1351">
        <v>100000</v>
      </c>
      <c r="D141" s="1352"/>
      <c r="E141" s="1353" t="s">
        <v>537</v>
      </c>
      <c r="F141" s="1350">
        <f t="shared" si="5"/>
        <v>200000</v>
      </c>
      <c r="G141" s="1354"/>
    </row>
    <row r="142" spans="1:7">
      <c r="A142" s="1349">
        <v>42208</v>
      </c>
      <c r="B142" s="1350">
        <f t="shared" si="4"/>
        <v>200000</v>
      </c>
      <c r="C142" s="1351">
        <v>100000</v>
      </c>
      <c r="D142" s="1352"/>
      <c r="E142" s="1353" t="s">
        <v>537</v>
      </c>
      <c r="F142" s="1350">
        <f t="shared" si="5"/>
        <v>300000</v>
      </c>
      <c r="G142" s="1354"/>
    </row>
    <row r="143" spans="1:7">
      <c r="A143" s="1349">
        <v>42209</v>
      </c>
      <c r="B143" s="1350">
        <f t="shared" si="4"/>
        <v>300000</v>
      </c>
      <c r="C143" s="1351">
        <v>65500</v>
      </c>
      <c r="D143" s="1352"/>
      <c r="E143" s="1353" t="s">
        <v>537</v>
      </c>
      <c r="F143" s="1350">
        <f t="shared" si="5"/>
        <v>365500</v>
      </c>
      <c r="G143" s="1354"/>
    </row>
    <row r="144" spans="1:7">
      <c r="A144" s="1349">
        <v>42209</v>
      </c>
      <c r="B144" s="1350">
        <f t="shared" si="4"/>
        <v>365500</v>
      </c>
      <c r="C144" s="1351">
        <v>12500</v>
      </c>
      <c r="D144" s="1352"/>
      <c r="E144" s="1353" t="s">
        <v>555</v>
      </c>
      <c r="F144" s="1350">
        <f t="shared" si="5"/>
        <v>378000</v>
      </c>
      <c r="G144" s="1354"/>
    </row>
    <row r="145" spans="1:7">
      <c r="A145" s="1349">
        <v>42209</v>
      </c>
      <c r="B145" s="1350">
        <f t="shared" si="4"/>
        <v>378000</v>
      </c>
      <c r="C145" s="1351"/>
      <c r="D145" s="1352">
        <v>378000</v>
      </c>
      <c r="E145" s="1355" t="s">
        <v>554</v>
      </c>
      <c r="F145" s="1350">
        <f t="shared" si="5"/>
        <v>0</v>
      </c>
      <c r="G145" s="1354"/>
    </row>
    <row r="146" spans="1:7">
      <c r="A146" s="1349">
        <v>42215</v>
      </c>
      <c r="B146" s="1350">
        <f t="shared" si="4"/>
        <v>0</v>
      </c>
      <c r="C146" s="1351">
        <v>66000</v>
      </c>
      <c r="D146" s="1352"/>
      <c r="E146" s="1353" t="s">
        <v>571</v>
      </c>
      <c r="F146" s="1350">
        <f t="shared" si="5"/>
        <v>66000</v>
      </c>
      <c r="G146" s="1354"/>
    </row>
    <row r="147" spans="1:7">
      <c r="A147" s="1349">
        <v>42215</v>
      </c>
      <c r="B147" s="1350">
        <f t="shared" si="4"/>
        <v>66000</v>
      </c>
      <c r="C147" s="1351"/>
      <c r="D147" s="1352">
        <v>66000</v>
      </c>
      <c r="E147" s="1355" t="s">
        <v>534</v>
      </c>
      <c r="F147" s="1350">
        <f t="shared" si="5"/>
        <v>0</v>
      </c>
      <c r="G147" s="1354"/>
    </row>
    <row r="148" spans="1:7">
      <c r="A148" s="1349">
        <v>42216</v>
      </c>
      <c r="B148" s="1350">
        <f t="shared" si="4"/>
        <v>0</v>
      </c>
      <c r="C148" s="1351">
        <v>14000</v>
      </c>
      <c r="D148" s="1352"/>
      <c r="E148" s="1353" t="s">
        <v>533</v>
      </c>
      <c r="F148" s="1350">
        <f t="shared" si="5"/>
        <v>14000</v>
      </c>
      <c r="G148" s="1354"/>
    </row>
    <row r="149" spans="1:7">
      <c r="A149" s="1349">
        <v>42216</v>
      </c>
      <c r="B149" s="1350">
        <f t="shared" si="4"/>
        <v>14000</v>
      </c>
      <c r="C149" s="1351"/>
      <c r="D149" s="1352"/>
      <c r="E149" s="1355"/>
      <c r="F149" s="1350">
        <f t="shared" si="5"/>
        <v>14000</v>
      </c>
      <c r="G149" s="1354"/>
    </row>
    <row r="150" spans="1:7">
      <c r="A150" s="1356"/>
      <c r="B150" s="1357">
        <f t="shared" si="4"/>
        <v>14000</v>
      </c>
      <c r="C150" s="1358"/>
      <c r="D150" s="1359"/>
      <c r="E150" s="1366"/>
      <c r="F150" s="1357">
        <f t="shared" si="5"/>
        <v>14000</v>
      </c>
      <c r="G150" s="1361"/>
    </row>
    <row r="151" spans="1:7">
      <c r="A151" s="1349">
        <v>42227</v>
      </c>
      <c r="B151" s="1350">
        <f t="shared" si="4"/>
        <v>14000</v>
      </c>
      <c r="C151" s="1351"/>
      <c r="D151" s="1352">
        <v>14000</v>
      </c>
      <c r="E151" s="1355" t="s">
        <v>84</v>
      </c>
      <c r="F151" s="1350">
        <f t="shared" si="5"/>
        <v>0</v>
      </c>
      <c r="G151" s="1354"/>
    </row>
    <row r="152" spans="1:7">
      <c r="A152" s="1349">
        <v>42228</v>
      </c>
      <c r="B152" s="1350">
        <f t="shared" si="4"/>
        <v>0</v>
      </c>
      <c r="C152" s="1351">
        <v>200000</v>
      </c>
      <c r="D152" s="1352"/>
      <c r="E152" s="1353" t="s">
        <v>531</v>
      </c>
      <c r="F152" s="1350">
        <f t="shared" si="5"/>
        <v>200000</v>
      </c>
      <c r="G152" s="1354"/>
    </row>
    <row r="153" spans="1:7">
      <c r="A153" s="1349">
        <v>42230</v>
      </c>
      <c r="B153" s="1350">
        <f t="shared" si="4"/>
        <v>200000</v>
      </c>
      <c r="C153" s="1351"/>
      <c r="D153" s="1352">
        <v>7000</v>
      </c>
      <c r="E153" s="1355" t="s">
        <v>84</v>
      </c>
      <c r="F153" s="1350">
        <f t="shared" si="5"/>
        <v>193000</v>
      </c>
      <c r="G153" s="1354"/>
    </row>
    <row r="154" spans="1:7">
      <c r="A154" s="1349">
        <v>42233</v>
      </c>
      <c r="B154" s="1350">
        <f t="shared" si="4"/>
        <v>193000</v>
      </c>
      <c r="C154" s="1351">
        <v>450000</v>
      </c>
      <c r="D154" s="1352"/>
      <c r="E154" s="1353" t="s">
        <v>531</v>
      </c>
      <c r="F154" s="1350">
        <f t="shared" si="5"/>
        <v>643000</v>
      </c>
      <c r="G154" s="1354"/>
    </row>
    <row r="155" spans="1:7">
      <c r="A155" s="1349">
        <v>42234</v>
      </c>
      <c r="B155" s="1350">
        <f t="shared" si="4"/>
        <v>643000</v>
      </c>
      <c r="C155" s="1351">
        <v>64600</v>
      </c>
      <c r="D155" s="1352"/>
      <c r="E155" s="1353" t="s">
        <v>531</v>
      </c>
      <c r="F155" s="1350">
        <f t="shared" si="5"/>
        <v>707600</v>
      </c>
      <c r="G155" s="1354"/>
    </row>
    <row r="156" spans="1:7">
      <c r="A156" s="1349">
        <v>42234</v>
      </c>
      <c r="B156" s="1350">
        <f t="shared" si="4"/>
        <v>707600</v>
      </c>
      <c r="C156" s="1351"/>
      <c r="D156" s="1352">
        <v>704600</v>
      </c>
      <c r="E156" s="1355" t="s">
        <v>572</v>
      </c>
      <c r="F156" s="1350">
        <f t="shared" si="5"/>
        <v>3000</v>
      </c>
      <c r="G156" s="1354"/>
    </row>
    <row r="157" spans="1:7">
      <c r="A157" s="1349">
        <v>42236</v>
      </c>
      <c r="B157" s="1350">
        <f t="shared" si="4"/>
        <v>3000</v>
      </c>
      <c r="C157" s="1351"/>
      <c r="D157" s="1352">
        <v>1500</v>
      </c>
      <c r="E157" s="1355" t="s">
        <v>536</v>
      </c>
      <c r="F157" s="1350">
        <f t="shared" si="5"/>
        <v>1500</v>
      </c>
      <c r="G157" s="1354"/>
    </row>
    <row r="158" spans="1:7">
      <c r="A158" s="1349">
        <v>42236</v>
      </c>
      <c r="B158" s="1350">
        <f t="shared" si="4"/>
        <v>1500</v>
      </c>
      <c r="C158" s="1351"/>
      <c r="D158" s="1352">
        <v>1500</v>
      </c>
      <c r="E158" s="1355" t="s">
        <v>245</v>
      </c>
      <c r="F158" s="1350">
        <f t="shared" si="5"/>
        <v>0</v>
      </c>
      <c r="G158" s="1354"/>
    </row>
    <row r="159" spans="1:7">
      <c r="A159" s="1349">
        <v>42240</v>
      </c>
      <c r="B159" s="1350">
        <f t="shared" si="4"/>
        <v>0</v>
      </c>
      <c r="C159" s="1351">
        <v>7000</v>
      </c>
      <c r="D159" s="1352"/>
      <c r="E159" s="1353" t="s">
        <v>533</v>
      </c>
      <c r="F159" s="1350">
        <f t="shared" si="5"/>
        <v>7000</v>
      </c>
      <c r="G159" s="1354"/>
    </row>
    <row r="160" spans="1:7">
      <c r="A160" s="1349">
        <v>42241</v>
      </c>
      <c r="B160" s="1350">
        <f t="shared" si="4"/>
        <v>7000</v>
      </c>
      <c r="C160" s="1351">
        <v>150000</v>
      </c>
      <c r="D160" s="1352"/>
      <c r="E160" s="1353" t="s">
        <v>537</v>
      </c>
      <c r="F160" s="1350">
        <f t="shared" si="5"/>
        <v>157000</v>
      </c>
      <c r="G160" s="1354"/>
    </row>
    <row r="161" spans="1:7">
      <c r="A161" s="1349">
        <v>42241</v>
      </c>
      <c r="B161" s="1350">
        <f t="shared" si="4"/>
        <v>157000</v>
      </c>
      <c r="C161" s="1351">
        <v>7000</v>
      </c>
      <c r="D161" s="1352"/>
      <c r="E161" s="1353" t="s">
        <v>533</v>
      </c>
      <c r="F161" s="1350">
        <f t="shared" si="5"/>
        <v>164000</v>
      </c>
      <c r="G161" s="1354"/>
    </row>
    <row r="162" spans="1:7">
      <c r="A162" s="1349">
        <v>42242</v>
      </c>
      <c r="B162" s="1350">
        <f t="shared" si="4"/>
        <v>164000</v>
      </c>
      <c r="C162" s="1351">
        <v>50000</v>
      </c>
      <c r="D162" s="1352"/>
      <c r="E162" s="1353" t="s">
        <v>537</v>
      </c>
      <c r="F162" s="1350">
        <f t="shared" si="5"/>
        <v>214000</v>
      </c>
      <c r="G162" s="1354"/>
    </row>
    <row r="163" spans="1:7">
      <c r="A163" s="1349">
        <v>42243</v>
      </c>
      <c r="B163" s="1350">
        <f t="shared" si="4"/>
        <v>214000</v>
      </c>
      <c r="C163" s="1351">
        <v>7000</v>
      </c>
      <c r="D163" s="1352"/>
      <c r="E163" s="1353" t="s">
        <v>533</v>
      </c>
      <c r="F163" s="1350">
        <f t="shared" si="5"/>
        <v>221000</v>
      </c>
      <c r="G163" s="1354"/>
    </row>
    <row r="164" spans="1:7">
      <c r="A164" s="1349">
        <v>42243</v>
      </c>
      <c r="B164" s="1350">
        <f t="shared" si="4"/>
        <v>221000</v>
      </c>
      <c r="C164" s="1351">
        <v>249700</v>
      </c>
      <c r="D164" s="1352"/>
      <c r="E164" s="1353" t="s">
        <v>537</v>
      </c>
      <c r="F164" s="1350">
        <f t="shared" si="5"/>
        <v>470700</v>
      </c>
      <c r="G164" s="1354"/>
    </row>
    <row r="165" spans="1:7">
      <c r="A165" s="1349">
        <v>42243</v>
      </c>
      <c r="B165" s="1350">
        <f t="shared" si="4"/>
        <v>470700</v>
      </c>
      <c r="C165" s="1351"/>
      <c r="D165" s="1352">
        <v>21000</v>
      </c>
      <c r="E165" s="1355" t="s">
        <v>84</v>
      </c>
      <c r="F165" s="1350">
        <f t="shared" si="5"/>
        <v>449700</v>
      </c>
      <c r="G165" s="1354"/>
    </row>
    <row r="166" spans="1:7">
      <c r="A166" s="1349">
        <v>42243</v>
      </c>
      <c r="B166" s="1350">
        <f t="shared" si="4"/>
        <v>449700</v>
      </c>
      <c r="C166" s="1351"/>
      <c r="D166" s="1352">
        <v>449700</v>
      </c>
      <c r="E166" s="1355" t="s">
        <v>573</v>
      </c>
      <c r="F166" s="1350">
        <f t="shared" si="5"/>
        <v>0</v>
      </c>
      <c r="G166" s="1354"/>
    </row>
    <row r="167" spans="1:7">
      <c r="A167" s="1356"/>
      <c r="B167" s="1357">
        <f t="shared" si="4"/>
        <v>0</v>
      </c>
      <c r="C167" s="1358"/>
      <c r="D167" s="1359"/>
      <c r="E167" s="1360"/>
      <c r="F167" s="1357">
        <f t="shared" si="5"/>
        <v>0</v>
      </c>
      <c r="G167" s="1361"/>
    </row>
    <row r="168" spans="1:7">
      <c r="A168" s="1349">
        <v>42254</v>
      </c>
      <c r="B168" s="1350">
        <f t="shared" si="4"/>
        <v>0</v>
      </c>
      <c r="C168" s="1351">
        <v>30000</v>
      </c>
      <c r="D168" s="1352"/>
      <c r="E168" s="1353" t="s">
        <v>537</v>
      </c>
      <c r="F168" s="1350">
        <f t="shared" si="5"/>
        <v>30000</v>
      </c>
      <c r="G168" s="1354"/>
    </row>
    <row r="169" spans="1:7">
      <c r="A169" s="1349">
        <v>42254</v>
      </c>
      <c r="B169" s="1350">
        <f t="shared" si="4"/>
        <v>30000</v>
      </c>
      <c r="C169" s="1351">
        <v>14000</v>
      </c>
      <c r="D169" s="1352"/>
      <c r="E169" s="1353" t="s">
        <v>533</v>
      </c>
      <c r="F169" s="1350">
        <f t="shared" si="5"/>
        <v>44000</v>
      </c>
      <c r="G169" s="1354"/>
    </row>
    <row r="170" spans="1:7">
      <c r="A170" s="1349">
        <v>42254</v>
      </c>
      <c r="B170" s="1350">
        <f t="shared" si="4"/>
        <v>44000</v>
      </c>
      <c r="C170" s="1351"/>
      <c r="D170" s="1352">
        <v>30000</v>
      </c>
      <c r="E170" s="1355" t="s">
        <v>573</v>
      </c>
      <c r="F170" s="1350">
        <f t="shared" si="5"/>
        <v>14000</v>
      </c>
      <c r="G170" s="1354"/>
    </row>
    <row r="171" spans="1:7">
      <c r="A171" s="1349">
        <v>42256</v>
      </c>
      <c r="B171" s="1350">
        <f t="shared" si="4"/>
        <v>14000</v>
      </c>
      <c r="C171" s="1351">
        <v>260000</v>
      </c>
      <c r="D171" s="1352"/>
      <c r="E171" s="1353" t="s">
        <v>531</v>
      </c>
      <c r="F171" s="1350">
        <f t="shared" si="5"/>
        <v>274000</v>
      </c>
      <c r="G171" s="1354"/>
    </row>
    <row r="172" spans="1:7">
      <c r="A172" s="1349">
        <v>42256</v>
      </c>
      <c r="B172" s="1350">
        <f t="shared" si="4"/>
        <v>274000</v>
      </c>
      <c r="C172" s="1351">
        <v>14000</v>
      </c>
      <c r="D172" s="1352"/>
      <c r="E172" s="1353" t="s">
        <v>533</v>
      </c>
      <c r="F172" s="1350">
        <f t="shared" si="5"/>
        <v>288000</v>
      </c>
      <c r="G172" s="1354"/>
    </row>
    <row r="173" spans="1:7">
      <c r="A173" s="1349">
        <v>42257</v>
      </c>
      <c r="B173" s="1350">
        <f t="shared" si="4"/>
        <v>288000</v>
      </c>
      <c r="C173" s="1351">
        <v>300000</v>
      </c>
      <c r="D173" s="1352"/>
      <c r="E173" s="1353" t="s">
        <v>531</v>
      </c>
      <c r="F173" s="1350">
        <f t="shared" si="5"/>
        <v>588000</v>
      </c>
      <c r="G173" s="1354"/>
    </row>
    <row r="174" spans="1:7">
      <c r="A174" s="1349">
        <v>42258</v>
      </c>
      <c r="B174" s="1350">
        <f t="shared" si="4"/>
        <v>588000</v>
      </c>
      <c r="C174" s="1351"/>
      <c r="D174" s="1352">
        <v>28000</v>
      </c>
      <c r="E174" s="1355" t="s">
        <v>84</v>
      </c>
      <c r="F174" s="1350">
        <f t="shared" si="5"/>
        <v>560000</v>
      </c>
      <c r="G174" s="1354"/>
    </row>
    <row r="175" spans="1:7">
      <c r="A175" s="1349">
        <v>42261</v>
      </c>
      <c r="B175" s="1350">
        <f t="shared" si="4"/>
        <v>560000</v>
      </c>
      <c r="C175" s="1351">
        <v>100000</v>
      </c>
      <c r="D175" s="1352"/>
      <c r="E175" s="1353" t="s">
        <v>531</v>
      </c>
      <c r="F175" s="1350">
        <f t="shared" si="5"/>
        <v>660000</v>
      </c>
      <c r="G175" s="1354"/>
    </row>
    <row r="176" spans="1:7">
      <c r="A176" s="1349">
        <v>42263</v>
      </c>
      <c r="B176" s="1350">
        <f t="shared" si="4"/>
        <v>660000</v>
      </c>
      <c r="C176" s="1351">
        <v>128900</v>
      </c>
      <c r="D176" s="1352"/>
      <c r="E176" s="1353" t="s">
        <v>531</v>
      </c>
      <c r="F176" s="1350">
        <f t="shared" si="5"/>
        <v>788900</v>
      </c>
      <c r="G176" s="1354"/>
    </row>
    <row r="177" spans="1:7">
      <c r="A177" s="1349">
        <v>42263</v>
      </c>
      <c r="B177" s="1350">
        <f t="shared" si="4"/>
        <v>788900</v>
      </c>
      <c r="C177" s="1351"/>
      <c r="D177" s="1352">
        <v>21000</v>
      </c>
      <c r="E177" s="1355" t="s">
        <v>84</v>
      </c>
      <c r="F177" s="1350">
        <f t="shared" si="5"/>
        <v>767900</v>
      </c>
      <c r="G177" s="1354"/>
    </row>
    <row r="178" spans="1:7">
      <c r="A178" s="1349">
        <v>42263</v>
      </c>
      <c r="B178" s="1350">
        <f t="shared" si="4"/>
        <v>767900</v>
      </c>
      <c r="C178" s="1351"/>
      <c r="D178" s="1352">
        <v>766400</v>
      </c>
      <c r="E178" s="1355" t="s">
        <v>572</v>
      </c>
      <c r="F178" s="1350">
        <f t="shared" si="5"/>
        <v>1500</v>
      </c>
      <c r="G178" s="1354"/>
    </row>
    <row r="179" spans="1:7">
      <c r="A179" s="1349">
        <v>42263</v>
      </c>
      <c r="B179" s="1350">
        <f t="shared" si="4"/>
        <v>1500</v>
      </c>
      <c r="C179" s="1351"/>
      <c r="D179" s="1352">
        <v>1500</v>
      </c>
      <c r="E179" s="1355" t="s">
        <v>536</v>
      </c>
      <c r="F179" s="1350">
        <f t="shared" si="5"/>
        <v>0</v>
      </c>
      <c r="G179" s="1354"/>
    </row>
    <row r="180" spans="1:7">
      <c r="A180" s="1349">
        <v>42270</v>
      </c>
      <c r="B180" s="1350">
        <f t="shared" si="4"/>
        <v>0</v>
      </c>
      <c r="C180" s="1351">
        <v>200000</v>
      </c>
      <c r="D180" s="1352"/>
      <c r="E180" s="1353" t="s">
        <v>537</v>
      </c>
      <c r="F180" s="1350">
        <f t="shared" si="5"/>
        <v>200000</v>
      </c>
      <c r="G180" s="1354"/>
    </row>
    <row r="181" spans="1:7">
      <c r="A181" s="1349">
        <v>42272</v>
      </c>
      <c r="B181" s="1350">
        <f t="shared" si="4"/>
        <v>200000</v>
      </c>
      <c r="C181" s="1351">
        <v>234000</v>
      </c>
      <c r="D181" s="1352"/>
      <c r="E181" s="1353" t="s">
        <v>537</v>
      </c>
      <c r="F181" s="1350">
        <f t="shared" si="5"/>
        <v>434000</v>
      </c>
      <c r="G181" s="1354"/>
    </row>
    <row r="182" spans="1:7">
      <c r="A182" s="1349">
        <v>42272</v>
      </c>
      <c r="B182" s="1350">
        <f t="shared" si="4"/>
        <v>434000</v>
      </c>
      <c r="C182" s="1351"/>
      <c r="D182" s="1352">
        <v>434000</v>
      </c>
      <c r="E182" s="1355" t="s">
        <v>573</v>
      </c>
      <c r="F182" s="1350">
        <f t="shared" si="5"/>
        <v>0</v>
      </c>
      <c r="G182" s="1354"/>
    </row>
    <row r="183" spans="1:7">
      <c r="A183" s="1349">
        <v>42275</v>
      </c>
      <c r="B183" s="1350">
        <f t="shared" si="4"/>
        <v>0</v>
      </c>
      <c r="C183" s="1351">
        <v>21000</v>
      </c>
      <c r="D183" s="1352"/>
      <c r="E183" s="1353" t="s">
        <v>533</v>
      </c>
      <c r="F183" s="1350">
        <f t="shared" si="5"/>
        <v>21000</v>
      </c>
      <c r="G183" s="1354"/>
    </row>
    <row r="184" spans="1:7">
      <c r="A184" s="1349">
        <v>42275</v>
      </c>
      <c r="B184" s="1350">
        <f t="shared" si="4"/>
        <v>21000</v>
      </c>
      <c r="C184" s="1351"/>
      <c r="D184" s="1352">
        <v>14000</v>
      </c>
      <c r="E184" s="1355" t="s">
        <v>84</v>
      </c>
      <c r="F184" s="1350">
        <f t="shared" si="5"/>
        <v>7000</v>
      </c>
      <c r="G184" s="1354"/>
    </row>
    <row r="185" spans="1:7">
      <c r="A185" s="1368"/>
      <c r="B185" s="1369">
        <f t="shared" si="4"/>
        <v>7000</v>
      </c>
      <c r="C185" s="1358"/>
      <c r="D185" s="1363"/>
      <c r="E185" s="1360"/>
      <c r="F185" s="1369">
        <f t="shared" si="5"/>
        <v>7000</v>
      </c>
      <c r="G185" s="1370"/>
    </row>
    <row r="186" spans="1:7">
      <c r="A186" s="1349">
        <v>42278</v>
      </c>
      <c r="B186" s="1350">
        <f t="shared" si="4"/>
        <v>7000</v>
      </c>
      <c r="C186" s="1351"/>
      <c r="D186" s="1352">
        <v>7000</v>
      </c>
      <c r="E186" s="1355" t="s">
        <v>84</v>
      </c>
      <c r="F186" s="1350">
        <f t="shared" si="5"/>
        <v>0</v>
      </c>
      <c r="G186" s="1354"/>
    </row>
    <row r="187" spans="1:7">
      <c r="A187" s="1349">
        <v>42282</v>
      </c>
      <c r="B187" s="1350">
        <f t="shared" si="4"/>
        <v>0</v>
      </c>
      <c r="C187" s="1351">
        <v>7000</v>
      </c>
      <c r="D187" s="1352"/>
      <c r="E187" s="1353" t="s">
        <v>533</v>
      </c>
      <c r="F187" s="1350">
        <f t="shared" si="5"/>
        <v>7000</v>
      </c>
      <c r="G187" s="1354"/>
    </row>
    <row r="188" spans="1:7">
      <c r="A188" s="1349">
        <v>42283</v>
      </c>
      <c r="B188" s="1350">
        <f t="shared" si="4"/>
        <v>7000</v>
      </c>
      <c r="C188" s="1351">
        <v>7000</v>
      </c>
      <c r="D188" s="1352"/>
      <c r="E188" s="1353" t="s">
        <v>533</v>
      </c>
      <c r="F188" s="1350">
        <f t="shared" si="5"/>
        <v>14000</v>
      </c>
      <c r="G188" s="1354"/>
    </row>
    <row r="189" spans="1:7">
      <c r="A189" s="1349">
        <v>42283</v>
      </c>
      <c r="B189" s="1350">
        <f t="shared" si="4"/>
        <v>14000</v>
      </c>
      <c r="C189" s="1351"/>
      <c r="D189" s="1352">
        <v>14000</v>
      </c>
      <c r="E189" s="1355" t="s">
        <v>84</v>
      </c>
      <c r="F189" s="1350">
        <f t="shared" si="5"/>
        <v>0</v>
      </c>
      <c r="G189" s="1354"/>
    </row>
    <row r="190" spans="1:7">
      <c r="A190" s="1349">
        <v>42290</v>
      </c>
      <c r="B190" s="1350">
        <f t="shared" si="4"/>
        <v>0</v>
      </c>
      <c r="C190" s="1351">
        <v>350000</v>
      </c>
      <c r="D190" s="1352"/>
      <c r="E190" s="1353" t="s">
        <v>531</v>
      </c>
      <c r="F190" s="1350">
        <f t="shared" si="5"/>
        <v>350000</v>
      </c>
      <c r="G190" s="1354"/>
    </row>
    <row r="191" spans="1:7">
      <c r="A191" s="1349">
        <v>42291</v>
      </c>
      <c r="B191" s="1350">
        <f t="shared" si="4"/>
        <v>350000</v>
      </c>
      <c r="C191" s="1351">
        <v>200000</v>
      </c>
      <c r="D191" s="1352"/>
      <c r="E191" s="1353" t="s">
        <v>531</v>
      </c>
      <c r="F191" s="1350">
        <f t="shared" si="5"/>
        <v>550000</v>
      </c>
      <c r="G191" s="1354"/>
    </row>
    <row r="192" spans="1:7">
      <c r="A192" s="1349">
        <v>42292</v>
      </c>
      <c r="B192" s="1350">
        <f t="shared" si="4"/>
        <v>550000</v>
      </c>
      <c r="C192" s="1351">
        <v>67700</v>
      </c>
      <c r="D192" s="1352"/>
      <c r="E192" s="1353" t="s">
        <v>531</v>
      </c>
      <c r="F192" s="1350">
        <f t="shared" si="5"/>
        <v>617700</v>
      </c>
      <c r="G192" s="1354"/>
    </row>
    <row r="193" spans="1:7">
      <c r="A193" s="1349">
        <v>42292</v>
      </c>
      <c r="B193" s="1350">
        <f t="shared" si="4"/>
        <v>617700</v>
      </c>
      <c r="C193" s="1351"/>
      <c r="D193" s="1352">
        <v>605400</v>
      </c>
      <c r="E193" s="1355" t="s">
        <v>572</v>
      </c>
      <c r="F193" s="1350">
        <f t="shared" si="5"/>
        <v>12300</v>
      </c>
      <c r="G193" s="1354"/>
    </row>
    <row r="194" spans="1:7">
      <c r="A194" s="1349">
        <v>42292</v>
      </c>
      <c r="B194" s="1350">
        <f t="shared" si="4"/>
        <v>12300</v>
      </c>
      <c r="C194" s="1351"/>
      <c r="D194" s="1352">
        <v>1500</v>
      </c>
      <c r="E194" s="1355" t="s">
        <v>536</v>
      </c>
      <c r="F194" s="1350">
        <f t="shared" si="5"/>
        <v>10800</v>
      </c>
      <c r="G194" s="1354"/>
    </row>
    <row r="195" spans="1:7">
      <c r="A195" s="1349">
        <v>42292</v>
      </c>
      <c r="B195" s="1350">
        <f t="shared" si="4"/>
        <v>10800</v>
      </c>
      <c r="C195" s="1351"/>
      <c r="D195" s="1352">
        <v>3800</v>
      </c>
      <c r="E195" s="1355" t="s">
        <v>568</v>
      </c>
      <c r="F195" s="1350">
        <f t="shared" si="5"/>
        <v>7000</v>
      </c>
      <c r="G195" s="1354"/>
    </row>
    <row r="196" spans="1:7">
      <c r="A196" s="1349">
        <v>42292</v>
      </c>
      <c r="B196" s="1350">
        <f t="shared" ref="B196:B224" si="6">F195</f>
        <v>7000</v>
      </c>
      <c r="C196" s="1351"/>
      <c r="D196" s="1352">
        <v>7000</v>
      </c>
      <c r="E196" s="1355" t="s">
        <v>84</v>
      </c>
      <c r="F196" s="1350">
        <f t="shared" ref="F196:F224" si="7">B196+C196-D196</f>
        <v>0</v>
      </c>
      <c r="G196" s="1354"/>
    </row>
    <row r="197" spans="1:7">
      <c r="A197" s="1349">
        <v>42296</v>
      </c>
      <c r="B197" s="1350">
        <f t="shared" si="6"/>
        <v>0</v>
      </c>
      <c r="C197" s="1351">
        <v>14000</v>
      </c>
      <c r="D197" s="1352"/>
      <c r="E197" s="1353" t="s">
        <v>533</v>
      </c>
      <c r="F197" s="1350">
        <f t="shared" si="7"/>
        <v>14000</v>
      </c>
      <c r="G197" s="1354"/>
    </row>
    <row r="198" spans="1:7">
      <c r="A198" s="1349">
        <v>42296</v>
      </c>
      <c r="B198" s="1350">
        <f t="shared" si="6"/>
        <v>14000</v>
      </c>
      <c r="C198" s="1351">
        <v>1720</v>
      </c>
      <c r="D198" s="1352"/>
      <c r="E198" s="1353" t="s">
        <v>574</v>
      </c>
      <c r="F198" s="1350">
        <f t="shared" si="7"/>
        <v>15720</v>
      </c>
      <c r="G198" s="1354"/>
    </row>
    <row r="199" spans="1:7">
      <c r="A199" s="1349">
        <v>42296</v>
      </c>
      <c r="B199" s="1350">
        <f t="shared" si="6"/>
        <v>15720</v>
      </c>
      <c r="C199" s="1351"/>
      <c r="D199" s="1352">
        <v>1720</v>
      </c>
      <c r="E199" s="1355" t="s">
        <v>575</v>
      </c>
      <c r="F199" s="1350">
        <f t="shared" si="7"/>
        <v>14000</v>
      </c>
      <c r="G199" s="1354"/>
    </row>
    <row r="200" spans="1:7">
      <c r="A200" s="1349">
        <v>42300</v>
      </c>
      <c r="B200" s="1350">
        <f t="shared" si="6"/>
        <v>14000</v>
      </c>
      <c r="C200" s="1351">
        <v>330000</v>
      </c>
      <c r="D200" s="1352"/>
      <c r="E200" s="1353" t="s">
        <v>537</v>
      </c>
      <c r="F200" s="1350">
        <f t="shared" si="7"/>
        <v>344000</v>
      </c>
      <c r="G200" s="1354"/>
    </row>
    <row r="201" spans="1:7">
      <c r="A201" s="1349">
        <v>42304</v>
      </c>
      <c r="B201" s="1350">
        <f t="shared" si="6"/>
        <v>344000</v>
      </c>
      <c r="C201" s="1351">
        <v>106000</v>
      </c>
      <c r="D201" s="1352"/>
      <c r="E201" s="1353" t="s">
        <v>537</v>
      </c>
      <c r="F201" s="1350">
        <f t="shared" si="7"/>
        <v>450000</v>
      </c>
      <c r="G201" s="1354"/>
    </row>
    <row r="202" spans="1:7">
      <c r="A202" s="1349">
        <v>42304</v>
      </c>
      <c r="B202" s="1350">
        <f t="shared" si="6"/>
        <v>450000</v>
      </c>
      <c r="C202" s="1351"/>
      <c r="D202" s="1352">
        <v>422000</v>
      </c>
      <c r="E202" s="1355" t="s">
        <v>573</v>
      </c>
      <c r="F202" s="1350">
        <f t="shared" si="7"/>
        <v>28000</v>
      </c>
      <c r="G202" s="1354"/>
    </row>
    <row r="203" spans="1:7">
      <c r="A203" s="1349"/>
      <c r="B203" s="1350">
        <f t="shared" si="6"/>
        <v>28000</v>
      </c>
      <c r="C203" s="1351"/>
      <c r="D203" s="1352"/>
      <c r="E203" s="1355"/>
      <c r="F203" s="1350">
        <f t="shared" si="7"/>
        <v>28000</v>
      </c>
      <c r="G203" s="1354"/>
    </row>
    <row r="204" spans="1:7">
      <c r="A204" s="1349"/>
      <c r="B204" s="1350">
        <f t="shared" si="6"/>
        <v>28000</v>
      </c>
      <c r="C204" s="1351"/>
      <c r="D204" s="1352"/>
      <c r="E204" s="1355"/>
      <c r="F204" s="1350">
        <f t="shared" si="7"/>
        <v>28000</v>
      </c>
      <c r="G204" s="1354"/>
    </row>
    <row r="205" spans="1:7">
      <c r="A205" s="1349"/>
      <c r="B205" s="1350">
        <f t="shared" si="6"/>
        <v>28000</v>
      </c>
      <c r="C205" s="1351"/>
      <c r="D205" s="1352"/>
      <c r="E205" s="1355"/>
      <c r="F205" s="1350">
        <f t="shared" si="7"/>
        <v>28000</v>
      </c>
      <c r="G205" s="1354"/>
    </row>
    <row r="206" spans="1:7">
      <c r="A206" s="1349"/>
      <c r="B206" s="1350">
        <f t="shared" si="6"/>
        <v>28000</v>
      </c>
      <c r="C206" s="1351"/>
      <c r="D206" s="1352"/>
      <c r="E206" s="1355"/>
      <c r="F206" s="1350">
        <f t="shared" si="7"/>
        <v>28000</v>
      </c>
      <c r="G206" s="1354"/>
    </row>
    <row r="207" spans="1:7">
      <c r="A207" s="1349"/>
      <c r="B207" s="1350">
        <f t="shared" si="6"/>
        <v>28000</v>
      </c>
      <c r="C207" s="1351"/>
      <c r="D207" s="1352"/>
      <c r="E207" s="1355"/>
      <c r="F207" s="1350">
        <f t="shared" si="7"/>
        <v>28000</v>
      </c>
      <c r="G207" s="1354"/>
    </row>
    <row r="208" spans="1:7">
      <c r="A208" s="1349"/>
      <c r="B208" s="1350">
        <f t="shared" si="6"/>
        <v>28000</v>
      </c>
      <c r="C208" s="1351"/>
      <c r="D208" s="1352"/>
      <c r="E208" s="1355"/>
      <c r="F208" s="1350">
        <f t="shared" si="7"/>
        <v>28000</v>
      </c>
      <c r="G208" s="1354"/>
    </row>
    <row r="209" spans="1:7">
      <c r="A209" s="1349"/>
      <c r="B209" s="1350">
        <f t="shared" si="6"/>
        <v>28000</v>
      </c>
      <c r="C209" s="1351"/>
      <c r="D209" s="1352"/>
      <c r="E209" s="1355"/>
      <c r="F209" s="1350">
        <f t="shared" si="7"/>
        <v>28000</v>
      </c>
      <c r="G209" s="1354"/>
    </row>
    <row r="210" spans="1:7">
      <c r="A210" s="1349"/>
      <c r="B210" s="1350">
        <f t="shared" si="6"/>
        <v>28000</v>
      </c>
      <c r="C210" s="1351"/>
      <c r="D210" s="1352"/>
      <c r="E210" s="1355"/>
      <c r="F210" s="1350">
        <f t="shared" si="7"/>
        <v>28000</v>
      </c>
      <c r="G210" s="1354"/>
    </row>
    <row r="211" spans="1:7">
      <c r="A211" s="1349"/>
      <c r="B211" s="1350">
        <f t="shared" si="6"/>
        <v>28000</v>
      </c>
      <c r="C211" s="1351"/>
      <c r="D211" s="1352"/>
      <c r="E211" s="1355"/>
      <c r="F211" s="1350">
        <f t="shared" si="7"/>
        <v>28000</v>
      </c>
      <c r="G211" s="1354"/>
    </row>
    <row r="212" spans="1:7">
      <c r="A212" s="1349"/>
      <c r="B212" s="1350">
        <f t="shared" si="6"/>
        <v>28000</v>
      </c>
      <c r="C212" s="1351"/>
      <c r="D212" s="1352"/>
      <c r="E212" s="1355"/>
      <c r="F212" s="1350">
        <f t="shared" si="7"/>
        <v>28000</v>
      </c>
      <c r="G212" s="1354"/>
    </row>
    <row r="213" spans="1:7">
      <c r="A213" s="1349"/>
      <c r="B213" s="1350">
        <f t="shared" si="6"/>
        <v>28000</v>
      </c>
      <c r="C213" s="1351"/>
      <c r="D213" s="1352"/>
      <c r="E213" s="1355"/>
      <c r="F213" s="1350">
        <f t="shared" si="7"/>
        <v>28000</v>
      </c>
      <c r="G213" s="1354"/>
    </row>
    <row r="214" spans="1:7">
      <c r="A214" s="1349"/>
      <c r="B214" s="1350">
        <f t="shared" si="6"/>
        <v>28000</v>
      </c>
      <c r="C214" s="1351"/>
      <c r="D214" s="1352"/>
      <c r="E214" s="1355"/>
      <c r="F214" s="1350">
        <f t="shared" si="7"/>
        <v>28000</v>
      </c>
      <c r="G214" s="1354"/>
    </row>
    <row r="215" spans="1:7">
      <c r="A215" s="1349"/>
      <c r="B215" s="1350">
        <f t="shared" si="6"/>
        <v>28000</v>
      </c>
      <c r="C215" s="1351"/>
      <c r="D215" s="1352"/>
      <c r="E215" s="1355"/>
      <c r="F215" s="1350">
        <f t="shared" si="7"/>
        <v>28000</v>
      </c>
      <c r="G215" s="1354"/>
    </row>
    <row r="216" spans="1:7">
      <c r="A216" s="1349"/>
      <c r="B216" s="1350">
        <f t="shared" si="6"/>
        <v>28000</v>
      </c>
      <c r="C216" s="1351"/>
      <c r="D216" s="1352"/>
      <c r="E216" s="1355"/>
      <c r="F216" s="1350">
        <f t="shared" si="7"/>
        <v>28000</v>
      </c>
      <c r="G216" s="1354"/>
    </row>
    <row r="217" spans="1:7">
      <c r="A217" s="1349"/>
      <c r="B217" s="1350">
        <f t="shared" si="6"/>
        <v>28000</v>
      </c>
      <c r="C217" s="1351"/>
      <c r="D217" s="1352"/>
      <c r="E217" s="1355"/>
      <c r="F217" s="1350">
        <f t="shared" si="7"/>
        <v>28000</v>
      </c>
      <c r="G217" s="1354"/>
    </row>
    <row r="218" spans="1:7">
      <c r="A218" s="1349"/>
      <c r="B218" s="1350">
        <f t="shared" si="6"/>
        <v>28000</v>
      </c>
      <c r="C218" s="1351"/>
      <c r="D218" s="1352"/>
      <c r="E218" s="1355"/>
      <c r="F218" s="1350">
        <f t="shared" si="7"/>
        <v>28000</v>
      </c>
      <c r="G218" s="1354"/>
    </row>
    <row r="219" spans="1:7">
      <c r="A219" s="1349"/>
      <c r="B219" s="1350">
        <f t="shared" si="6"/>
        <v>28000</v>
      </c>
      <c r="C219" s="1351"/>
      <c r="D219" s="1352"/>
      <c r="E219" s="1355"/>
      <c r="F219" s="1350">
        <f t="shared" si="7"/>
        <v>28000</v>
      </c>
      <c r="G219" s="1354"/>
    </row>
    <row r="220" spans="1:7">
      <c r="A220" s="1349"/>
      <c r="B220" s="1350">
        <f t="shared" si="6"/>
        <v>28000</v>
      </c>
      <c r="C220" s="1351"/>
      <c r="D220" s="1352"/>
      <c r="E220" s="1355"/>
      <c r="F220" s="1350">
        <f t="shared" si="7"/>
        <v>28000</v>
      </c>
      <c r="G220" s="1354"/>
    </row>
    <row r="221" spans="1:7">
      <c r="A221" s="1349"/>
      <c r="B221" s="1350">
        <f t="shared" si="6"/>
        <v>28000</v>
      </c>
      <c r="C221" s="1351"/>
      <c r="D221" s="1352"/>
      <c r="E221" s="1355"/>
      <c r="F221" s="1350">
        <f t="shared" si="7"/>
        <v>28000</v>
      </c>
      <c r="G221" s="1354"/>
    </row>
    <row r="222" spans="1:7">
      <c r="A222" s="1349"/>
      <c r="B222" s="1350">
        <f t="shared" si="6"/>
        <v>28000</v>
      </c>
      <c r="C222" s="1351"/>
      <c r="D222" s="1352"/>
      <c r="E222" s="1355"/>
      <c r="F222" s="1350">
        <f t="shared" si="7"/>
        <v>28000</v>
      </c>
      <c r="G222" s="1354"/>
    </row>
    <row r="223" spans="1:7">
      <c r="A223" s="1349"/>
      <c r="B223" s="1350">
        <f t="shared" si="6"/>
        <v>28000</v>
      </c>
      <c r="C223" s="1351"/>
      <c r="D223" s="1352"/>
      <c r="E223" s="1355"/>
      <c r="F223" s="1350">
        <f t="shared" si="7"/>
        <v>28000</v>
      </c>
      <c r="G223" s="1354"/>
    </row>
    <row r="224" spans="1:7">
      <c r="A224" s="1349"/>
      <c r="B224" s="1350">
        <f t="shared" si="6"/>
        <v>28000</v>
      </c>
      <c r="C224" s="1351"/>
      <c r="D224" s="1352"/>
      <c r="E224" s="1355"/>
      <c r="F224" s="1350">
        <f t="shared" si="7"/>
        <v>28000</v>
      </c>
      <c r="G224" s="1354"/>
    </row>
  </sheetData>
  <sheetProtection selectLockedCells="1" selectUnlockedCells="1"/>
  <autoFilter ref="A3:G224"/>
  <pageMargins left="0.75" right="0.75" top="1" bottom="1" header="0.51180555555555551" footer="0.51180555555555551"/>
  <pageSetup paperSize="9" firstPageNumber="0"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sheetPr enableFormatConditionsCalculation="0">
    <tabColor indexed="11"/>
  </sheetPr>
  <dimension ref="A1:I1273"/>
  <sheetViews>
    <sheetView zoomScale="90" zoomScaleNormal="90" workbookViewId="0">
      <pane xSplit="1" ySplit="3" topLeftCell="B1007" activePane="bottomRight" state="frozen"/>
      <selection pane="topRight" activeCell="B1" sqref="B1"/>
      <selection pane="bottomLeft" activeCell="A1007" sqref="A1007"/>
      <selection pane="bottomRight" activeCell="E1012" sqref="E1012"/>
    </sheetView>
  </sheetViews>
  <sheetFormatPr defaultColWidth="8.7109375" defaultRowHeight="12.75" outlineLevelRow="1"/>
  <cols>
    <col min="1" max="1" width="8.7109375" style="1"/>
    <col min="2" max="2" width="14.140625" style="1" customWidth="1"/>
    <col min="3" max="3" width="10.42578125" style="1" customWidth="1"/>
    <col min="4" max="4" width="12.7109375" style="1" customWidth="1"/>
    <col min="5" max="5" width="13.42578125" style="1" customWidth="1"/>
    <col min="6" max="6" width="15.28515625" style="1371" customWidth="1"/>
    <col min="7" max="7" width="11" style="1372" customWidth="1"/>
    <col min="8" max="8" width="10.28515625" style="94" customWidth="1"/>
    <col min="9" max="9" width="25" style="94" customWidth="1"/>
    <col min="10" max="16384" width="8.7109375" style="1"/>
  </cols>
  <sheetData>
    <row r="1" spans="1:9">
      <c r="A1" s="1373" t="s">
        <v>524</v>
      </c>
      <c r="B1" s="1374" t="s">
        <v>576</v>
      </c>
      <c r="C1" s="1375" t="s">
        <v>577</v>
      </c>
      <c r="D1" s="1376"/>
      <c r="E1" s="1376"/>
      <c r="F1" s="1377"/>
      <c r="G1" s="1378"/>
      <c r="H1" s="1379" t="s">
        <v>578</v>
      </c>
      <c r="I1" s="1380" t="s">
        <v>579</v>
      </c>
    </row>
    <row r="2" spans="1:9">
      <c r="A2" s="1381"/>
      <c r="B2" s="1382"/>
      <c r="C2" s="1382" t="s">
        <v>580</v>
      </c>
      <c r="D2" s="1382" t="s">
        <v>581</v>
      </c>
      <c r="E2" s="1382" t="s">
        <v>23</v>
      </c>
      <c r="F2" s="1383" t="s">
        <v>451</v>
      </c>
      <c r="G2" s="1384" t="s">
        <v>582</v>
      </c>
      <c r="H2" s="1385"/>
      <c r="I2" s="1386" t="s">
        <v>583</v>
      </c>
    </row>
    <row r="3" spans="1:9">
      <c r="A3" s="1387"/>
      <c r="B3" s="1388"/>
      <c r="C3" s="1389"/>
      <c r="D3" s="1388"/>
      <c r="E3" s="1390"/>
      <c r="F3" s="1391"/>
      <c r="G3" s="1392"/>
      <c r="H3" s="1393"/>
      <c r="I3" s="1393"/>
    </row>
    <row r="4" spans="1:9" s="1343" customFormat="1">
      <c r="A4" s="1394" t="s">
        <v>0</v>
      </c>
      <c r="B4" s="1395"/>
      <c r="C4" s="1396">
        <f>SUM(C5:C21)</f>
        <v>154208.40000000002</v>
      </c>
      <c r="D4" s="1397">
        <f>SUM(D5:D21)</f>
        <v>9073577.2699999996</v>
      </c>
      <c r="E4" s="1398">
        <f>SUM(E5:E21)</f>
        <v>0</v>
      </c>
      <c r="F4" s="1398">
        <f t="shared" ref="F4:F35" si="0">D4-E4</f>
        <v>9073577.2699999996</v>
      </c>
      <c r="G4" s="1399"/>
      <c r="H4" s="1400"/>
      <c r="I4" s="1400"/>
    </row>
    <row r="5" spans="1:9" hidden="1" outlineLevel="1">
      <c r="A5" s="1401">
        <v>41282</v>
      </c>
      <c r="B5" s="1402" t="s">
        <v>342</v>
      </c>
      <c r="C5" s="1403">
        <v>25253</v>
      </c>
      <c r="D5" s="1404">
        <v>1805589.5</v>
      </c>
      <c r="E5" s="1405"/>
      <c r="F5" s="1405">
        <f t="shared" si="0"/>
        <v>1805589.5</v>
      </c>
      <c r="G5" s="1406"/>
      <c r="H5" s="1407" t="s">
        <v>584</v>
      </c>
      <c r="I5" s="1407" t="s">
        <v>585</v>
      </c>
    </row>
    <row r="6" spans="1:9" hidden="1" outlineLevel="1">
      <c r="A6" s="1401">
        <v>41285</v>
      </c>
      <c r="B6" s="1402" t="s">
        <v>586</v>
      </c>
      <c r="C6" s="1403">
        <v>145</v>
      </c>
      <c r="D6" s="1404">
        <v>6688.85</v>
      </c>
      <c r="E6" s="1405"/>
      <c r="F6" s="1405">
        <f t="shared" si="0"/>
        <v>6688.85</v>
      </c>
      <c r="G6" s="1406"/>
      <c r="H6" s="1407" t="s">
        <v>587</v>
      </c>
      <c r="I6" s="1407"/>
    </row>
    <row r="7" spans="1:9" hidden="1" outlineLevel="1">
      <c r="A7" s="1401">
        <v>41285</v>
      </c>
      <c r="B7" s="1402" t="s">
        <v>481</v>
      </c>
      <c r="C7" s="1403">
        <v>72</v>
      </c>
      <c r="D7" s="1404">
        <v>3321.36</v>
      </c>
      <c r="E7" s="1405"/>
      <c r="F7" s="1405">
        <f t="shared" si="0"/>
        <v>3321.36</v>
      </c>
      <c r="G7" s="1406"/>
      <c r="H7" s="1407" t="s">
        <v>587</v>
      </c>
      <c r="I7" s="1407"/>
    </row>
    <row r="8" spans="1:9" hidden="1" outlineLevel="1">
      <c r="A8" s="1401">
        <v>41285</v>
      </c>
      <c r="B8" s="1402" t="s">
        <v>588</v>
      </c>
      <c r="C8" s="1403">
        <v>604</v>
      </c>
      <c r="D8" s="1404">
        <v>27862.52</v>
      </c>
      <c r="E8" s="1405"/>
      <c r="F8" s="1405">
        <f t="shared" si="0"/>
        <v>27862.52</v>
      </c>
      <c r="G8" s="1406"/>
      <c r="H8" s="1407" t="s">
        <v>587</v>
      </c>
      <c r="I8" s="1407"/>
    </row>
    <row r="9" spans="1:9" hidden="1" outlineLevel="1">
      <c r="A9" s="1401">
        <v>41285</v>
      </c>
      <c r="B9" s="1402" t="s">
        <v>589</v>
      </c>
      <c r="C9" s="1403">
        <v>110</v>
      </c>
      <c r="D9" s="1404">
        <v>5074.3</v>
      </c>
      <c r="E9" s="1405"/>
      <c r="F9" s="1405">
        <f t="shared" si="0"/>
        <v>5074.3</v>
      </c>
      <c r="G9" s="1406"/>
      <c r="H9" s="1407" t="s">
        <v>587</v>
      </c>
      <c r="I9" s="1407"/>
    </row>
    <row r="10" spans="1:9" hidden="1" outlineLevel="1">
      <c r="A10" s="1401">
        <v>41293</v>
      </c>
      <c r="B10" s="1402" t="s">
        <v>321</v>
      </c>
      <c r="C10" s="1403">
        <v>3</v>
      </c>
      <c r="D10" s="1404">
        <v>150</v>
      </c>
      <c r="E10" s="1405"/>
      <c r="F10" s="1405">
        <f t="shared" si="0"/>
        <v>150</v>
      </c>
      <c r="G10" s="1406"/>
      <c r="H10" s="1407" t="s">
        <v>590</v>
      </c>
      <c r="I10" s="1407"/>
    </row>
    <row r="11" spans="1:9" hidden="1" outlineLevel="1">
      <c r="A11" s="1401">
        <v>41293</v>
      </c>
      <c r="B11" s="1402" t="s">
        <v>489</v>
      </c>
      <c r="C11" s="1403">
        <v>19248</v>
      </c>
      <c r="D11" s="1404">
        <v>384960</v>
      </c>
      <c r="E11" s="1405"/>
      <c r="F11" s="1405">
        <f t="shared" si="0"/>
        <v>384960</v>
      </c>
      <c r="G11" s="1406"/>
      <c r="H11" s="1407" t="s">
        <v>591</v>
      </c>
      <c r="I11" s="1407"/>
    </row>
    <row r="12" spans="1:9" hidden="1" outlineLevel="1">
      <c r="A12" s="1401">
        <v>41294</v>
      </c>
      <c r="B12" s="1402" t="s">
        <v>321</v>
      </c>
      <c r="C12" s="1403">
        <f>1+0.6+0.6</f>
        <v>2.2000000000000002</v>
      </c>
      <c r="D12" s="1404">
        <f>110</f>
        <v>110</v>
      </c>
      <c r="E12" s="1405"/>
      <c r="F12" s="1405">
        <f t="shared" si="0"/>
        <v>110</v>
      </c>
      <c r="G12" s="1406"/>
      <c r="H12" s="1407" t="s">
        <v>590</v>
      </c>
      <c r="I12" s="1407"/>
    </row>
    <row r="13" spans="1:9" hidden="1" outlineLevel="1">
      <c r="A13" s="1401">
        <v>41294</v>
      </c>
      <c r="B13" s="1402" t="s">
        <v>592</v>
      </c>
      <c r="C13" s="1403">
        <v>20740</v>
      </c>
      <c r="D13" s="1404">
        <v>1254218.52</v>
      </c>
      <c r="E13" s="1405"/>
      <c r="F13" s="1405">
        <f t="shared" si="0"/>
        <v>1254218.52</v>
      </c>
      <c r="G13" s="1406"/>
      <c r="H13" s="1407" t="s">
        <v>516</v>
      </c>
      <c r="I13" s="1407" t="s">
        <v>585</v>
      </c>
    </row>
    <row r="14" spans="1:9" hidden="1" outlineLevel="1">
      <c r="A14" s="1401">
        <v>41295</v>
      </c>
      <c r="B14" s="1402" t="s">
        <v>342</v>
      </c>
      <c r="C14" s="1403">
        <v>24657</v>
      </c>
      <c r="D14" s="1404">
        <v>1762975.5</v>
      </c>
      <c r="E14" s="1405"/>
      <c r="F14" s="1405">
        <f t="shared" si="0"/>
        <v>1762975.5</v>
      </c>
      <c r="G14" s="1406"/>
      <c r="H14" s="1407" t="s">
        <v>584</v>
      </c>
      <c r="I14" s="1407" t="s">
        <v>593</v>
      </c>
    </row>
    <row r="15" spans="1:9" hidden="1" outlineLevel="1">
      <c r="A15" s="1401">
        <v>41298</v>
      </c>
      <c r="B15" s="1402" t="s">
        <v>592</v>
      </c>
      <c r="C15" s="1403">
        <v>20785</v>
      </c>
      <c r="D15" s="1404">
        <v>1257884.51</v>
      </c>
      <c r="E15" s="1405"/>
      <c r="F15" s="1405">
        <f t="shared" si="0"/>
        <v>1257884.51</v>
      </c>
      <c r="G15" s="1406"/>
      <c r="H15" s="1407" t="s">
        <v>516</v>
      </c>
      <c r="I15" s="1407" t="s">
        <v>593</v>
      </c>
    </row>
    <row r="16" spans="1:9" hidden="1" outlineLevel="1">
      <c r="A16" s="1401">
        <v>41301</v>
      </c>
      <c r="B16" s="1402" t="s">
        <v>592</v>
      </c>
      <c r="C16" s="1403">
        <v>20658</v>
      </c>
      <c r="D16" s="1404">
        <v>1242584.69</v>
      </c>
      <c r="E16" s="1405"/>
      <c r="F16" s="1405">
        <f t="shared" si="0"/>
        <v>1242584.69</v>
      </c>
      <c r="G16" s="1406"/>
      <c r="H16" s="1407" t="s">
        <v>516</v>
      </c>
      <c r="I16" s="1407" t="s">
        <v>594</v>
      </c>
    </row>
    <row r="17" spans="1:9" hidden="1" outlineLevel="1">
      <c r="A17" s="1401">
        <v>41302</v>
      </c>
      <c r="B17" s="1402" t="s">
        <v>321</v>
      </c>
      <c r="C17" s="1403">
        <v>6</v>
      </c>
      <c r="D17" s="1404">
        <v>300</v>
      </c>
      <c r="E17" s="1405"/>
      <c r="F17" s="1405">
        <f t="shared" si="0"/>
        <v>300</v>
      </c>
      <c r="G17" s="1406"/>
      <c r="H17" s="1407" t="s">
        <v>590</v>
      </c>
      <c r="I17" s="1407"/>
    </row>
    <row r="18" spans="1:9" hidden="1" outlineLevel="1">
      <c r="A18" s="1401">
        <v>41303</v>
      </c>
      <c r="B18" s="1402" t="s">
        <v>321</v>
      </c>
      <c r="C18" s="1403">
        <f>7.8+14+6+2.4</f>
        <v>30.2</v>
      </c>
      <c r="D18" s="1404">
        <f>429+770+330+132</f>
        <v>1661</v>
      </c>
      <c r="E18" s="1405"/>
      <c r="F18" s="1405">
        <f t="shared" si="0"/>
        <v>1661</v>
      </c>
      <c r="G18" s="1406"/>
      <c r="H18" s="1407" t="s">
        <v>590</v>
      </c>
      <c r="I18" s="1407"/>
    </row>
    <row r="19" spans="1:9" hidden="1" outlineLevel="1">
      <c r="A19" s="1401">
        <v>41303</v>
      </c>
      <c r="B19" s="1402" t="s">
        <v>592</v>
      </c>
      <c r="C19" s="1403">
        <v>20875</v>
      </c>
      <c r="D19" s="1404">
        <v>1257016.52</v>
      </c>
      <c r="E19" s="1405"/>
      <c r="F19" s="1405">
        <f t="shared" si="0"/>
        <v>1257016.52</v>
      </c>
      <c r="G19" s="1406"/>
      <c r="H19" s="1407" t="s">
        <v>516</v>
      </c>
      <c r="I19" s="1407" t="s">
        <v>595</v>
      </c>
    </row>
    <row r="20" spans="1:9" hidden="1" outlineLevel="1">
      <c r="A20" s="1401">
        <v>41303</v>
      </c>
      <c r="B20" s="1408" t="s">
        <v>596</v>
      </c>
      <c r="C20" s="1409">
        <v>1015</v>
      </c>
      <c r="D20" s="1410">
        <v>62930</v>
      </c>
      <c r="E20" s="1411"/>
      <c r="F20" s="1411">
        <f t="shared" si="0"/>
        <v>62930</v>
      </c>
      <c r="G20" s="1412"/>
      <c r="H20" s="1413" t="s">
        <v>587</v>
      </c>
      <c r="I20" s="1413"/>
    </row>
    <row r="21" spans="1:9" hidden="1" outlineLevel="1">
      <c r="A21" s="1401">
        <v>41305</v>
      </c>
      <c r="B21" s="1402" t="s">
        <v>321</v>
      </c>
      <c r="C21" s="1403">
        <v>5</v>
      </c>
      <c r="D21" s="1404">
        <v>250</v>
      </c>
      <c r="E21" s="1405"/>
      <c r="F21" s="1405">
        <f t="shared" si="0"/>
        <v>250</v>
      </c>
      <c r="G21" s="1406"/>
      <c r="H21" s="1407" t="s">
        <v>590</v>
      </c>
      <c r="I21" s="1413"/>
    </row>
    <row r="22" spans="1:9" s="33" customFormat="1">
      <c r="A22" s="1394" t="s">
        <v>1</v>
      </c>
      <c r="B22" s="1395"/>
      <c r="C22" s="1396">
        <f>SUM(C23:C37)</f>
        <v>124018.79999999999</v>
      </c>
      <c r="D22" s="1397">
        <f>SUM(D23:D37)</f>
        <v>6997468.5299999993</v>
      </c>
      <c r="E22" s="1398">
        <f>SUM(E23:E37)</f>
        <v>0</v>
      </c>
      <c r="F22" s="1398">
        <f t="shared" si="0"/>
        <v>6997468.5299999993</v>
      </c>
      <c r="G22" s="1399"/>
      <c r="H22" s="1400"/>
      <c r="I22" s="1400"/>
    </row>
    <row r="23" spans="1:9" hidden="1" outlineLevel="1">
      <c r="A23" s="1414">
        <v>41306</v>
      </c>
      <c r="B23" s="1408" t="s">
        <v>321</v>
      </c>
      <c r="C23" s="1409">
        <v>0.60000000000000009</v>
      </c>
      <c r="D23" s="1410">
        <v>33</v>
      </c>
      <c r="E23" s="1411"/>
      <c r="F23" s="1411">
        <f t="shared" si="0"/>
        <v>33</v>
      </c>
      <c r="G23" s="1412"/>
      <c r="H23" s="1413" t="s">
        <v>590</v>
      </c>
      <c r="I23" s="1413"/>
    </row>
    <row r="24" spans="1:9" hidden="1" outlineLevel="1">
      <c r="A24" s="1414">
        <v>41310</v>
      </c>
      <c r="B24" s="1402" t="s">
        <v>592</v>
      </c>
      <c r="C24" s="1403">
        <v>20827</v>
      </c>
      <c r="D24" s="1404">
        <v>1282352.1299999999</v>
      </c>
      <c r="E24" s="1405"/>
      <c r="F24" s="1405">
        <f t="shared" si="0"/>
        <v>1282352.1299999999</v>
      </c>
      <c r="G24" s="1406"/>
      <c r="H24" s="1407" t="s">
        <v>516</v>
      </c>
      <c r="I24" s="1407" t="s">
        <v>597</v>
      </c>
    </row>
    <row r="25" spans="1:9" hidden="1" outlineLevel="1">
      <c r="A25" s="1414">
        <v>41311</v>
      </c>
      <c r="B25" s="1408" t="s">
        <v>586</v>
      </c>
      <c r="C25" s="1409">
        <v>249</v>
      </c>
      <c r="D25" s="1410">
        <v>11717.94</v>
      </c>
      <c r="E25" s="1411"/>
      <c r="F25" s="1411">
        <f t="shared" si="0"/>
        <v>11717.94</v>
      </c>
      <c r="G25" s="1412"/>
      <c r="H25" s="1413" t="s">
        <v>587</v>
      </c>
      <c r="I25" s="1413"/>
    </row>
    <row r="26" spans="1:9" hidden="1" outlineLevel="1">
      <c r="A26" s="1414">
        <v>41311</v>
      </c>
      <c r="B26" s="1408" t="s">
        <v>481</v>
      </c>
      <c r="C26" s="1409">
        <v>111</v>
      </c>
      <c r="D26" s="1410">
        <v>5223.66</v>
      </c>
      <c r="E26" s="1411"/>
      <c r="F26" s="1411">
        <f t="shared" si="0"/>
        <v>5223.66</v>
      </c>
      <c r="G26" s="1412"/>
      <c r="H26" s="1413" t="s">
        <v>587</v>
      </c>
      <c r="I26" s="1413"/>
    </row>
    <row r="27" spans="1:9" hidden="1" outlineLevel="1">
      <c r="A27" s="1414">
        <v>41311</v>
      </c>
      <c r="B27" s="1408" t="s">
        <v>588</v>
      </c>
      <c r="C27" s="1409">
        <v>253</v>
      </c>
      <c r="D27" s="1410">
        <v>11906.18</v>
      </c>
      <c r="E27" s="1411"/>
      <c r="F27" s="1411">
        <f t="shared" si="0"/>
        <v>11906.18</v>
      </c>
      <c r="G27" s="1412"/>
      <c r="H27" s="1413" t="s">
        <v>587</v>
      </c>
      <c r="I27" s="1413"/>
    </row>
    <row r="28" spans="1:9" hidden="1" outlineLevel="1">
      <c r="A28" s="1414">
        <v>41314</v>
      </c>
      <c r="B28" s="1408" t="s">
        <v>321</v>
      </c>
      <c r="C28" s="1409">
        <v>1</v>
      </c>
      <c r="D28" s="1410">
        <v>55</v>
      </c>
      <c r="E28" s="1411"/>
      <c r="F28" s="1411">
        <f t="shared" si="0"/>
        <v>55</v>
      </c>
      <c r="G28" s="1412"/>
      <c r="H28" s="1413" t="s">
        <v>590</v>
      </c>
      <c r="I28" s="1413"/>
    </row>
    <row r="29" spans="1:9" hidden="1" outlineLevel="1">
      <c r="A29" s="1414">
        <v>41316</v>
      </c>
      <c r="B29" s="1402" t="s">
        <v>592</v>
      </c>
      <c r="C29" s="1403">
        <v>20405</v>
      </c>
      <c r="D29" s="1404">
        <v>1257803.58</v>
      </c>
      <c r="E29" s="1405"/>
      <c r="F29" s="1405">
        <f t="shared" si="0"/>
        <v>1257803.58</v>
      </c>
      <c r="G29" s="1406"/>
      <c r="H29" s="1407" t="s">
        <v>516</v>
      </c>
      <c r="I29" s="1407" t="s">
        <v>598</v>
      </c>
    </row>
    <row r="30" spans="1:9" hidden="1" outlineLevel="1">
      <c r="A30" s="1414">
        <v>41318</v>
      </c>
      <c r="B30" s="1408" t="s">
        <v>321</v>
      </c>
      <c r="C30" s="1409">
        <v>6.6</v>
      </c>
      <c r="D30" s="1410">
        <v>363</v>
      </c>
      <c r="E30" s="1411"/>
      <c r="F30" s="1411">
        <f t="shared" si="0"/>
        <v>363</v>
      </c>
      <c r="G30" s="1412"/>
      <c r="H30" s="1413" t="s">
        <v>590</v>
      </c>
      <c r="I30" s="1413"/>
    </row>
    <row r="31" spans="1:9" hidden="1" outlineLevel="1">
      <c r="A31" s="1414">
        <v>41325</v>
      </c>
      <c r="B31" s="1402" t="s">
        <v>592</v>
      </c>
      <c r="C31" s="1403">
        <v>20510</v>
      </c>
      <c r="D31" s="1404">
        <v>1307851.33</v>
      </c>
      <c r="E31" s="1405"/>
      <c r="F31" s="1405">
        <f t="shared" si="0"/>
        <v>1307851.33</v>
      </c>
      <c r="G31" s="1406"/>
      <c r="H31" s="1407" t="s">
        <v>599</v>
      </c>
      <c r="I31" s="1407" t="s">
        <v>600</v>
      </c>
    </row>
    <row r="32" spans="1:9" hidden="1" outlineLevel="1">
      <c r="A32" s="1414">
        <v>41329</v>
      </c>
      <c r="B32" s="1402" t="s">
        <v>592</v>
      </c>
      <c r="C32" s="1403">
        <v>20909</v>
      </c>
      <c r="D32" s="1404">
        <v>1347021.94</v>
      </c>
      <c r="E32" s="1405"/>
      <c r="F32" s="1405">
        <f t="shared" si="0"/>
        <v>1347021.94</v>
      </c>
      <c r="G32" s="1406"/>
      <c r="H32" s="1407" t="s">
        <v>599</v>
      </c>
      <c r="I32" s="1407" t="s">
        <v>601</v>
      </c>
    </row>
    <row r="33" spans="1:9" hidden="1" outlineLevel="1">
      <c r="A33" s="1414">
        <v>41330</v>
      </c>
      <c r="B33" s="1408" t="s">
        <v>321</v>
      </c>
      <c r="C33" s="1409">
        <f>4.2</f>
        <v>4.2</v>
      </c>
      <c r="D33" s="1410">
        <f>110+55+66</f>
        <v>231</v>
      </c>
      <c r="E33" s="1411"/>
      <c r="F33" s="1411">
        <f t="shared" si="0"/>
        <v>231</v>
      </c>
      <c r="G33" s="1412"/>
      <c r="H33" s="1413" t="s">
        <v>590</v>
      </c>
      <c r="I33" s="1413"/>
    </row>
    <row r="34" spans="1:9" hidden="1" outlineLevel="1">
      <c r="A34" s="1414">
        <v>41330</v>
      </c>
      <c r="B34" s="1408" t="s">
        <v>489</v>
      </c>
      <c r="C34" s="1409">
        <v>20097</v>
      </c>
      <c r="D34" s="1410">
        <v>432085.5</v>
      </c>
      <c r="E34" s="1411"/>
      <c r="F34" s="1411">
        <f t="shared" si="0"/>
        <v>432085.5</v>
      </c>
      <c r="G34" s="1412"/>
      <c r="H34" s="1413" t="s">
        <v>591</v>
      </c>
      <c r="I34" s="1413"/>
    </row>
    <row r="35" spans="1:9" hidden="1" outlineLevel="1">
      <c r="A35" s="1414">
        <v>41332</v>
      </c>
      <c r="B35" s="1408" t="s">
        <v>321</v>
      </c>
      <c r="C35" s="1409">
        <f>1.6+4.6+19+3+8.6+8+3.8+1.6</f>
        <v>50.199999999999996</v>
      </c>
      <c r="D35" s="1410">
        <f>88+253+1045+165+473+440+209+88</f>
        <v>2761</v>
      </c>
      <c r="E35" s="1411"/>
      <c r="F35" s="1411">
        <f t="shared" si="0"/>
        <v>2761</v>
      </c>
      <c r="G35" s="1412"/>
      <c r="H35" s="1413" t="s">
        <v>590</v>
      </c>
      <c r="I35" s="1413"/>
    </row>
    <row r="36" spans="1:9" hidden="1" outlineLevel="1">
      <c r="A36" s="1414">
        <v>41332</v>
      </c>
      <c r="B36" s="1402" t="s">
        <v>592</v>
      </c>
      <c r="C36" s="1409">
        <v>20582</v>
      </c>
      <c r="D36" s="1410">
        <v>1337337.27</v>
      </c>
      <c r="E36" s="1411"/>
      <c r="F36" s="1411">
        <f t="shared" ref="F36:F67" si="1">D36-E36</f>
        <v>1337337.27</v>
      </c>
      <c r="G36" s="1412"/>
      <c r="H36" s="1413" t="s">
        <v>599</v>
      </c>
      <c r="I36" s="1407" t="s">
        <v>602</v>
      </c>
    </row>
    <row r="37" spans="1:9" hidden="1" outlineLevel="1">
      <c r="A37" s="1414">
        <v>41333</v>
      </c>
      <c r="B37" s="1408" t="s">
        <v>321</v>
      </c>
      <c r="C37" s="1409">
        <v>13.2</v>
      </c>
      <c r="D37" s="1410">
        <v>726</v>
      </c>
      <c r="E37" s="1411"/>
      <c r="F37" s="1411">
        <f t="shared" si="1"/>
        <v>726</v>
      </c>
      <c r="G37" s="1412"/>
      <c r="H37" s="1413" t="s">
        <v>590</v>
      </c>
      <c r="I37" s="1413"/>
    </row>
    <row r="38" spans="1:9" s="33" customFormat="1">
      <c r="A38" s="1394" t="s">
        <v>2</v>
      </c>
      <c r="B38" s="1395"/>
      <c r="C38" s="1396">
        <f>SUM(C39:C67)</f>
        <v>349541.00000000006</v>
      </c>
      <c r="D38" s="1397">
        <f>SUM(D39:D67)</f>
        <v>17072182.670000002</v>
      </c>
      <c r="E38" s="1398">
        <f>SUM(E39:E67)</f>
        <v>0</v>
      </c>
      <c r="F38" s="1398">
        <f t="shared" si="1"/>
        <v>17072182.670000002</v>
      </c>
      <c r="G38" s="1399"/>
      <c r="H38" s="1400"/>
      <c r="I38" s="1400"/>
    </row>
    <row r="39" spans="1:9" hidden="1" outlineLevel="1">
      <c r="A39" s="1414">
        <v>41336</v>
      </c>
      <c r="B39" s="1408" t="s">
        <v>321</v>
      </c>
      <c r="C39" s="1409">
        <v>7.6</v>
      </c>
      <c r="D39" s="1410">
        <v>418</v>
      </c>
      <c r="E39" s="1411"/>
      <c r="F39" s="1411">
        <f t="shared" si="1"/>
        <v>418</v>
      </c>
      <c r="G39" s="1412"/>
      <c r="H39" s="1413" t="s">
        <v>590</v>
      </c>
      <c r="I39" s="1413"/>
    </row>
    <row r="40" spans="1:9" hidden="1" outlineLevel="1">
      <c r="A40" s="1414">
        <v>41336</v>
      </c>
      <c r="B40" s="1408" t="s">
        <v>592</v>
      </c>
      <c r="C40" s="1409">
        <v>20946</v>
      </c>
      <c r="D40" s="1410">
        <v>1361784.34</v>
      </c>
      <c r="E40" s="1411"/>
      <c r="F40" s="1411">
        <f t="shared" si="1"/>
        <v>1361784.34</v>
      </c>
      <c r="G40" s="1412"/>
      <c r="H40" s="1413" t="s">
        <v>599</v>
      </c>
      <c r="I40" s="1413" t="s">
        <v>603</v>
      </c>
    </row>
    <row r="41" spans="1:9" hidden="1" outlineLevel="1">
      <c r="A41" s="1414">
        <v>41337</v>
      </c>
      <c r="B41" s="1408" t="s">
        <v>321</v>
      </c>
      <c r="C41" s="1409">
        <v>24</v>
      </c>
      <c r="D41" s="1410">
        <v>1142.8800000000001</v>
      </c>
      <c r="E41" s="1411"/>
      <c r="F41" s="1411">
        <f t="shared" si="1"/>
        <v>1142.8800000000001</v>
      </c>
      <c r="G41" s="1412"/>
      <c r="H41" s="1413" t="s">
        <v>587</v>
      </c>
      <c r="I41" s="1413"/>
    </row>
    <row r="42" spans="1:9" hidden="1" outlineLevel="1">
      <c r="A42" s="1414">
        <v>41337</v>
      </c>
      <c r="B42" s="1408" t="s">
        <v>592</v>
      </c>
      <c r="C42" s="1409">
        <v>20952</v>
      </c>
      <c r="D42" s="1410">
        <v>1368794.37</v>
      </c>
      <c r="E42" s="1411"/>
      <c r="F42" s="1411">
        <f t="shared" si="1"/>
        <v>1368794.37</v>
      </c>
      <c r="G42" s="1412"/>
      <c r="H42" s="1413" t="s">
        <v>599</v>
      </c>
      <c r="I42" s="1413" t="s">
        <v>604</v>
      </c>
    </row>
    <row r="43" spans="1:9" hidden="1" outlineLevel="1">
      <c r="A43" s="1414">
        <v>41338</v>
      </c>
      <c r="B43" s="1408" t="s">
        <v>321</v>
      </c>
      <c r="C43" s="1409">
        <v>1</v>
      </c>
      <c r="D43" s="1410">
        <v>55</v>
      </c>
      <c r="E43" s="1411"/>
      <c r="F43" s="1411">
        <f t="shared" si="1"/>
        <v>55</v>
      </c>
      <c r="G43" s="1412"/>
      <c r="H43" s="1413" t="s">
        <v>590</v>
      </c>
      <c r="I43" s="1413"/>
    </row>
    <row r="44" spans="1:9" hidden="1" outlineLevel="1">
      <c r="A44" s="1414">
        <v>41338</v>
      </c>
      <c r="B44" s="1408" t="s">
        <v>320</v>
      </c>
      <c r="C44" s="1409">
        <v>14988</v>
      </c>
      <c r="D44" s="1410">
        <v>65000</v>
      </c>
      <c r="E44" s="1411"/>
      <c r="F44" s="1411">
        <f t="shared" si="1"/>
        <v>65000</v>
      </c>
      <c r="G44" s="1412"/>
      <c r="H44" s="1413" t="s">
        <v>605</v>
      </c>
      <c r="I44" s="1413"/>
    </row>
    <row r="45" spans="1:9" hidden="1" outlineLevel="1">
      <c r="A45" s="1414">
        <v>41338</v>
      </c>
      <c r="B45" s="1408" t="s">
        <v>586</v>
      </c>
      <c r="C45" s="1409">
        <v>258</v>
      </c>
      <c r="D45" s="1410">
        <v>12285.96</v>
      </c>
      <c r="E45" s="1411"/>
      <c r="F45" s="1411">
        <f t="shared" si="1"/>
        <v>12285.96</v>
      </c>
      <c r="G45" s="1412"/>
      <c r="H45" s="1413" t="s">
        <v>587</v>
      </c>
      <c r="I45" s="1413"/>
    </row>
    <row r="46" spans="1:9" hidden="1" outlineLevel="1">
      <c r="A46" s="1414">
        <v>41338</v>
      </c>
      <c r="B46" s="1408" t="s">
        <v>481</v>
      </c>
      <c r="C46" s="1409">
        <v>125</v>
      </c>
      <c r="D46" s="1410">
        <v>5952.5</v>
      </c>
      <c r="E46" s="1411"/>
      <c r="F46" s="1411">
        <f t="shared" si="1"/>
        <v>5952.5</v>
      </c>
      <c r="G46" s="1412"/>
      <c r="H46" s="1413" t="s">
        <v>587</v>
      </c>
      <c r="I46" s="1413"/>
    </row>
    <row r="47" spans="1:9" hidden="1" outlineLevel="1">
      <c r="A47" s="1414">
        <v>41338</v>
      </c>
      <c r="B47" s="1408" t="s">
        <v>592</v>
      </c>
      <c r="C47" s="1409">
        <v>20675</v>
      </c>
      <c r="D47" s="1410">
        <v>1346718.85</v>
      </c>
      <c r="E47" s="1411"/>
      <c r="F47" s="1411">
        <f t="shared" si="1"/>
        <v>1346718.85</v>
      </c>
      <c r="G47" s="1412"/>
      <c r="H47" s="1413" t="s">
        <v>599</v>
      </c>
      <c r="I47" s="1413" t="s">
        <v>606</v>
      </c>
    </row>
    <row r="48" spans="1:9" hidden="1" outlineLevel="1">
      <c r="A48" s="1414">
        <v>41342</v>
      </c>
      <c r="B48" s="1408" t="s">
        <v>321</v>
      </c>
      <c r="C48" s="1409">
        <v>16</v>
      </c>
      <c r="D48" s="1410">
        <v>880</v>
      </c>
      <c r="E48" s="1411"/>
      <c r="F48" s="1411">
        <f t="shared" si="1"/>
        <v>880</v>
      </c>
      <c r="G48" s="1412"/>
      <c r="H48" s="1413" t="s">
        <v>590</v>
      </c>
      <c r="I48" s="1413"/>
    </row>
    <row r="49" spans="1:9" hidden="1" outlineLevel="1">
      <c r="A49" s="1414">
        <v>41343</v>
      </c>
      <c r="B49" s="1408" t="s">
        <v>592</v>
      </c>
      <c r="C49" s="1409">
        <v>20465</v>
      </c>
      <c r="D49" s="1410">
        <v>1334927.78</v>
      </c>
      <c r="E49" s="1411"/>
      <c r="F49" s="1411">
        <f t="shared" si="1"/>
        <v>1334927.78</v>
      </c>
      <c r="G49" s="1412"/>
      <c r="H49" s="1413" t="s">
        <v>599</v>
      </c>
      <c r="I49" s="1413" t="s">
        <v>607</v>
      </c>
    </row>
    <row r="50" spans="1:9" hidden="1" outlineLevel="1">
      <c r="A50" s="1414">
        <v>41344</v>
      </c>
      <c r="B50" s="1408" t="s">
        <v>592</v>
      </c>
      <c r="C50" s="1409">
        <v>20571</v>
      </c>
      <c r="D50" s="1410">
        <v>1342620.42</v>
      </c>
      <c r="E50" s="1411"/>
      <c r="F50" s="1411">
        <f t="shared" si="1"/>
        <v>1342620.42</v>
      </c>
      <c r="G50" s="1412"/>
      <c r="H50" s="1413" t="s">
        <v>599</v>
      </c>
      <c r="I50" s="1413" t="s">
        <v>608</v>
      </c>
    </row>
    <row r="51" spans="1:9" hidden="1" outlineLevel="1">
      <c r="A51" s="1414">
        <v>41345</v>
      </c>
      <c r="B51" s="1408" t="s">
        <v>592</v>
      </c>
      <c r="C51" s="1409">
        <v>20549</v>
      </c>
      <c r="D51" s="1410">
        <v>1342026.01</v>
      </c>
      <c r="E51" s="1411"/>
      <c r="F51" s="1411">
        <f t="shared" si="1"/>
        <v>1342026.01</v>
      </c>
      <c r="G51" s="1412"/>
      <c r="H51" s="1413" t="s">
        <v>599</v>
      </c>
      <c r="I51" s="1413" t="s">
        <v>609</v>
      </c>
    </row>
    <row r="52" spans="1:9" hidden="1" outlineLevel="1">
      <c r="A52" s="1414">
        <v>41345</v>
      </c>
      <c r="B52" s="1408" t="s">
        <v>596</v>
      </c>
      <c r="C52" s="1409">
        <v>1511</v>
      </c>
      <c r="D52" s="1410">
        <v>93682</v>
      </c>
      <c r="E52" s="1411"/>
      <c r="F52" s="1411">
        <f t="shared" si="1"/>
        <v>93682</v>
      </c>
      <c r="G52" s="1412"/>
      <c r="H52" s="1413" t="s">
        <v>587</v>
      </c>
      <c r="I52" s="1413"/>
    </row>
    <row r="53" spans="1:9" hidden="1" outlineLevel="1">
      <c r="A53" s="1414">
        <v>41346</v>
      </c>
      <c r="B53" s="1408" t="s">
        <v>321</v>
      </c>
      <c r="C53" s="1409">
        <v>0.2</v>
      </c>
      <c r="D53" s="1410">
        <v>11</v>
      </c>
      <c r="E53" s="1411"/>
      <c r="F53" s="1411">
        <f t="shared" si="1"/>
        <v>11</v>
      </c>
      <c r="G53" s="1412"/>
      <c r="H53" s="1413" t="s">
        <v>590</v>
      </c>
      <c r="I53" s="1413"/>
    </row>
    <row r="54" spans="1:9" hidden="1" outlineLevel="1">
      <c r="A54" s="1414">
        <v>41350</v>
      </c>
      <c r="B54" s="1408" t="s">
        <v>592</v>
      </c>
      <c r="C54" s="1409">
        <v>20975</v>
      </c>
      <c r="D54" s="1410">
        <v>1367297.12</v>
      </c>
      <c r="E54" s="1411"/>
      <c r="F54" s="1411">
        <f t="shared" si="1"/>
        <v>1367297.12</v>
      </c>
      <c r="G54" s="1412"/>
      <c r="H54" s="1413" t="s">
        <v>599</v>
      </c>
      <c r="I54" s="1413" t="s">
        <v>610</v>
      </c>
    </row>
    <row r="55" spans="1:9" hidden="1" outlineLevel="1">
      <c r="A55" s="1414">
        <v>41350</v>
      </c>
      <c r="B55" s="1408" t="s">
        <v>596</v>
      </c>
      <c r="C55" s="1409">
        <f>20298+5371</f>
        <v>25669</v>
      </c>
      <c r="D55" s="1410">
        <f>1141736.02+335848.63</f>
        <v>1477584.65</v>
      </c>
      <c r="E55" s="1411"/>
      <c r="F55" s="1411">
        <f t="shared" si="1"/>
        <v>1477584.65</v>
      </c>
      <c r="G55" s="1412"/>
      <c r="H55" s="1413" t="s">
        <v>611</v>
      </c>
      <c r="I55" s="1413" t="s">
        <v>603</v>
      </c>
    </row>
    <row r="56" spans="1:9" hidden="1" outlineLevel="1">
      <c r="A56" s="1414">
        <v>41351</v>
      </c>
      <c r="B56" s="1408" t="s">
        <v>320</v>
      </c>
      <c r="C56" s="1409">
        <v>28892</v>
      </c>
      <c r="D56" s="1410">
        <v>128000</v>
      </c>
      <c r="E56" s="1411"/>
      <c r="F56" s="1411">
        <f t="shared" si="1"/>
        <v>128000</v>
      </c>
      <c r="G56" s="1412"/>
      <c r="H56" s="1413" t="s">
        <v>605</v>
      </c>
      <c r="I56" s="1413"/>
    </row>
    <row r="57" spans="1:9" hidden="1" outlineLevel="1">
      <c r="A57" s="1414">
        <v>41352</v>
      </c>
      <c r="B57" s="1408" t="s">
        <v>596</v>
      </c>
      <c r="C57" s="1409">
        <f>17814+7687</f>
        <v>25501</v>
      </c>
      <c r="D57" s="1410">
        <f>987245.95+480668.11</f>
        <v>1467914.06</v>
      </c>
      <c r="E57" s="1411"/>
      <c r="F57" s="1411">
        <f t="shared" si="1"/>
        <v>1467914.06</v>
      </c>
      <c r="G57" s="1412"/>
      <c r="H57" s="1413" t="s">
        <v>611</v>
      </c>
      <c r="I57" s="1413" t="s">
        <v>604</v>
      </c>
    </row>
    <row r="58" spans="1:9" hidden="1" outlineLevel="1">
      <c r="A58" s="1414">
        <v>41353</v>
      </c>
      <c r="B58" s="1408" t="s">
        <v>320</v>
      </c>
      <c r="C58" s="1409">
        <v>15160</v>
      </c>
      <c r="D58" s="1410">
        <v>63065.599999999999</v>
      </c>
      <c r="E58" s="1411"/>
      <c r="F58" s="1411">
        <f t="shared" si="1"/>
        <v>63065.599999999999</v>
      </c>
      <c r="G58" s="1412"/>
      <c r="H58" s="1413" t="s">
        <v>605</v>
      </c>
      <c r="I58" s="1413"/>
    </row>
    <row r="59" spans="1:9" hidden="1" outlineLevel="1">
      <c r="A59" s="1414">
        <v>41353</v>
      </c>
      <c r="B59" s="1408" t="s">
        <v>596</v>
      </c>
      <c r="C59" s="1409">
        <v>25088</v>
      </c>
      <c r="D59" s="1410">
        <v>1444140.54</v>
      </c>
      <c r="E59" s="1411"/>
      <c r="F59" s="1411">
        <f t="shared" si="1"/>
        <v>1444140.54</v>
      </c>
      <c r="G59" s="1412"/>
      <c r="H59" s="1413" t="s">
        <v>611</v>
      </c>
      <c r="I59" s="1413" t="s">
        <v>606</v>
      </c>
    </row>
    <row r="60" spans="1:9" hidden="1" outlineLevel="1">
      <c r="A60" s="1414">
        <v>41355</v>
      </c>
      <c r="B60" s="1408" t="s">
        <v>588</v>
      </c>
      <c r="C60" s="1409">
        <v>582</v>
      </c>
      <c r="D60" s="1410">
        <v>28110.6</v>
      </c>
      <c r="E60" s="1411"/>
      <c r="F60" s="1411">
        <f t="shared" si="1"/>
        <v>28110.6</v>
      </c>
      <c r="G60" s="1412"/>
      <c r="H60" s="1413" t="s">
        <v>587</v>
      </c>
      <c r="I60" s="1413"/>
    </row>
    <row r="61" spans="1:9" hidden="1" outlineLevel="1">
      <c r="A61" s="1414">
        <v>41356</v>
      </c>
      <c r="B61" s="1408" t="s">
        <v>489</v>
      </c>
      <c r="C61" s="1409">
        <v>20007</v>
      </c>
      <c r="D61" s="1410">
        <v>430000</v>
      </c>
      <c r="E61" s="1411"/>
      <c r="F61" s="1411">
        <f t="shared" si="1"/>
        <v>430000</v>
      </c>
      <c r="G61" s="1412"/>
      <c r="H61" s="1413" t="s">
        <v>591</v>
      </c>
      <c r="I61" s="1413"/>
    </row>
    <row r="62" spans="1:9" hidden="1" outlineLevel="1">
      <c r="A62" s="1414">
        <v>41358</v>
      </c>
      <c r="B62" s="1408" t="s">
        <v>475</v>
      </c>
      <c r="C62" s="1409">
        <v>243</v>
      </c>
      <c r="D62" s="1410">
        <v>11736.9</v>
      </c>
      <c r="E62" s="1411"/>
      <c r="F62" s="1411">
        <f t="shared" si="1"/>
        <v>11736.9</v>
      </c>
      <c r="G62" s="1412"/>
      <c r="H62" s="1413" t="s">
        <v>587</v>
      </c>
      <c r="I62" s="1413"/>
    </row>
    <row r="63" spans="1:9" hidden="1" outlineLevel="1">
      <c r="A63" s="1414">
        <v>41358</v>
      </c>
      <c r="B63" s="1408" t="s">
        <v>321</v>
      </c>
      <c r="C63" s="1409">
        <v>142</v>
      </c>
      <c r="D63" s="1410">
        <v>6858.6</v>
      </c>
      <c r="E63" s="1411"/>
      <c r="F63" s="1411">
        <f t="shared" si="1"/>
        <v>6858.6</v>
      </c>
      <c r="G63" s="1412"/>
      <c r="H63" s="1413" t="s">
        <v>587</v>
      </c>
      <c r="I63" s="1413"/>
    </row>
    <row r="64" spans="1:9" hidden="1" outlineLevel="1">
      <c r="A64" s="1414">
        <v>41358</v>
      </c>
      <c r="B64" s="1408" t="s">
        <v>320</v>
      </c>
      <c r="C64" s="1409">
        <v>5390</v>
      </c>
      <c r="D64" s="1410">
        <v>22422.400000000001</v>
      </c>
      <c r="E64" s="1411"/>
      <c r="F64" s="1411">
        <f t="shared" si="1"/>
        <v>22422.400000000001</v>
      </c>
      <c r="G64" s="1412"/>
      <c r="H64" s="1413" t="s">
        <v>605</v>
      </c>
      <c r="I64" s="1413"/>
    </row>
    <row r="65" spans="1:9" hidden="1" outlineLevel="1">
      <c r="A65" s="1414">
        <v>41358</v>
      </c>
      <c r="B65" s="1408" t="s">
        <v>596</v>
      </c>
      <c r="C65" s="1409">
        <v>25624</v>
      </c>
      <c r="D65" s="1410">
        <v>1474994.31</v>
      </c>
      <c r="E65" s="1411"/>
      <c r="F65" s="1411">
        <f t="shared" si="1"/>
        <v>1474994.31</v>
      </c>
      <c r="G65" s="1412"/>
      <c r="H65" s="1413" t="s">
        <v>611</v>
      </c>
      <c r="I65" s="1413" t="s">
        <v>607</v>
      </c>
    </row>
    <row r="66" spans="1:9" hidden="1" outlineLevel="1">
      <c r="A66" s="1414">
        <v>41358</v>
      </c>
      <c r="B66" s="1408" t="s">
        <v>596</v>
      </c>
      <c r="C66" s="1409">
        <f>658+14521</f>
        <v>15179</v>
      </c>
      <c r="D66" s="1410">
        <f>37920.02+835828.76</f>
        <v>873748.78</v>
      </c>
      <c r="E66" s="1411"/>
      <c r="F66" s="1411">
        <f t="shared" si="1"/>
        <v>873748.78</v>
      </c>
      <c r="G66" s="1412"/>
      <c r="H66" s="1413" t="s">
        <v>611</v>
      </c>
      <c r="I66" s="1413" t="s">
        <v>608</v>
      </c>
    </row>
    <row r="67" spans="1:9" hidden="1" outlineLevel="1">
      <c r="A67" s="1414">
        <v>41362</v>
      </c>
      <c r="B67" s="1408" t="s">
        <v>321</v>
      </c>
      <c r="C67" s="1409">
        <v>0.2</v>
      </c>
      <c r="D67" s="1410">
        <v>10</v>
      </c>
      <c r="E67" s="1411"/>
      <c r="F67" s="1411">
        <f t="shared" si="1"/>
        <v>10</v>
      </c>
      <c r="G67" s="1412"/>
      <c r="H67" s="1413" t="s">
        <v>590</v>
      </c>
      <c r="I67" s="1413"/>
    </row>
    <row r="68" spans="1:9" s="33" customFormat="1">
      <c r="A68" s="1394" t="s">
        <v>3</v>
      </c>
      <c r="B68" s="1395"/>
      <c r="C68" s="1396">
        <f>SUM(C69:C95)</f>
        <v>343563.59999999992</v>
      </c>
      <c r="D68" s="1397">
        <f>SUM(D69:D95)</f>
        <v>20230929.539999999</v>
      </c>
      <c r="E68" s="1398">
        <f>SUM(E69:E95)</f>
        <v>0</v>
      </c>
      <c r="F68" s="1398">
        <f t="shared" ref="F68:F99" si="2">D68-E68</f>
        <v>20230929.539999999</v>
      </c>
      <c r="G68" s="1399"/>
      <c r="H68" s="1400"/>
      <c r="I68" s="1400"/>
    </row>
    <row r="69" spans="1:9" hidden="1" outlineLevel="1">
      <c r="A69" s="1414">
        <v>41365</v>
      </c>
      <c r="B69" s="1408" t="s">
        <v>586</v>
      </c>
      <c r="C69" s="1409">
        <v>290</v>
      </c>
      <c r="D69" s="1410">
        <v>14007</v>
      </c>
      <c r="E69" s="1411"/>
      <c r="F69" s="1411">
        <f t="shared" si="2"/>
        <v>14007</v>
      </c>
      <c r="G69" s="1412"/>
      <c r="H69" s="1413" t="s">
        <v>587</v>
      </c>
      <c r="I69" s="1413"/>
    </row>
    <row r="70" spans="1:9" hidden="1" outlineLevel="1">
      <c r="A70" s="1414">
        <v>41365</v>
      </c>
      <c r="B70" s="1408" t="s">
        <v>481</v>
      </c>
      <c r="C70" s="1409">
        <v>137</v>
      </c>
      <c r="D70" s="1410">
        <v>6617.1</v>
      </c>
      <c r="E70" s="1411"/>
      <c r="F70" s="1411">
        <f t="shared" si="2"/>
        <v>6617.1</v>
      </c>
      <c r="G70" s="1412"/>
      <c r="H70" s="1413" t="s">
        <v>587</v>
      </c>
      <c r="I70" s="1413"/>
    </row>
    <row r="71" spans="1:9" hidden="1" outlineLevel="1">
      <c r="A71" s="1414">
        <v>41366</v>
      </c>
      <c r="B71" s="1408" t="s">
        <v>321</v>
      </c>
      <c r="C71" s="1409">
        <v>2.2000000000000002</v>
      </c>
      <c r="D71" s="1410">
        <v>110</v>
      </c>
      <c r="E71" s="1411"/>
      <c r="F71" s="1411">
        <f t="shared" si="2"/>
        <v>110</v>
      </c>
      <c r="G71" s="1412"/>
      <c r="H71" s="1413" t="s">
        <v>590</v>
      </c>
      <c r="I71" s="1413"/>
    </row>
    <row r="72" spans="1:9" hidden="1" outlineLevel="1">
      <c r="A72" s="1414">
        <v>41368</v>
      </c>
      <c r="B72" s="1408" t="s">
        <v>592</v>
      </c>
      <c r="C72" s="1409">
        <v>19828</v>
      </c>
      <c r="D72" s="1410">
        <v>1210639.21</v>
      </c>
      <c r="E72" s="1411"/>
      <c r="F72" s="1411">
        <f t="shared" si="2"/>
        <v>1210639.21</v>
      </c>
      <c r="G72" s="1412"/>
      <c r="H72" s="1413" t="s">
        <v>599</v>
      </c>
      <c r="I72" s="1413" t="s">
        <v>612</v>
      </c>
    </row>
    <row r="73" spans="1:9" hidden="1" outlineLevel="1">
      <c r="A73" s="1414">
        <v>41368</v>
      </c>
      <c r="B73" s="1408" t="s">
        <v>592</v>
      </c>
      <c r="C73" s="1409">
        <v>19959</v>
      </c>
      <c r="D73" s="1410">
        <v>1218637.68</v>
      </c>
      <c r="E73" s="1411"/>
      <c r="F73" s="1411">
        <f t="shared" si="2"/>
        <v>1218637.68</v>
      </c>
      <c r="G73" s="1412"/>
      <c r="H73" s="1413" t="s">
        <v>599</v>
      </c>
      <c r="I73" s="1413" t="s">
        <v>613</v>
      </c>
    </row>
    <row r="74" spans="1:9" hidden="1" outlineLevel="1">
      <c r="A74" s="1414">
        <v>41368</v>
      </c>
      <c r="B74" s="1408" t="s">
        <v>596</v>
      </c>
      <c r="C74" s="1409">
        <v>1440</v>
      </c>
      <c r="D74" s="1410">
        <v>87840</v>
      </c>
      <c r="E74" s="1411"/>
      <c r="F74" s="1411">
        <f t="shared" si="2"/>
        <v>87840</v>
      </c>
      <c r="G74" s="1412"/>
      <c r="H74" s="1413" t="s">
        <v>587</v>
      </c>
      <c r="I74" s="1413"/>
    </row>
    <row r="75" spans="1:9" hidden="1" outlineLevel="1">
      <c r="A75" s="1414">
        <v>41370</v>
      </c>
      <c r="B75" s="1408" t="s">
        <v>321</v>
      </c>
      <c r="C75" s="1409">
        <v>4.2</v>
      </c>
      <c r="D75" s="1410">
        <v>200</v>
      </c>
      <c r="E75" s="1411"/>
      <c r="F75" s="1411">
        <f t="shared" si="2"/>
        <v>200</v>
      </c>
      <c r="G75" s="1412"/>
      <c r="H75" s="1413" t="s">
        <v>590</v>
      </c>
      <c r="I75" s="1413"/>
    </row>
    <row r="76" spans="1:9" hidden="1" outlineLevel="1">
      <c r="A76" s="1414">
        <v>41372</v>
      </c>
      <c r="B76" s="1408" t="s">
        <v>592</v>
      </c>
      <c r="C76" s="1409">
        <f>18382+1507</f>
        <v>19889</v>
      </c>
      <c r="D76" s="1410">
        <f>1130493+92725.48</f>
        <v>1223218.48</v>
      </c>
      <c r="E76" s="1411"/>
      <c r="F76" s="1411">
        <f t="shared" si="2"/>
        <v>1223218.48</v>
      </c>
      <c r="G76" s="1412"/>
      <c r="H76" s="1413" t="s">
        <v>599</v>
      </c>
      <c r="I76" s="1413" t="s">
        <v>614</v>
      </c>
    </row>
    <row r="77" spans="1:9" hidden="1" outlineLevel="1">
      <c r="A77" s="1414">
        <v>41372</v>
      </c>
      <c r="B77" s="1408" t="s">
        <v>592</v>
      </c>
      <c r="C77" s="1409">
        <v>19885</v>
      </c>
      <c r="D77" s="1410">
        <v>1222972.47</v>
      </c>
      <c r="E77" s="1411"/>
      <c r="F77" s="1411">
        <f t="shared" si="2"/>
        <v>1222972.47</v>
      </c>
      <c r="G77" s="1412"/>
      <c r="H77" s="1413" t="s">
        <v>599</v>
      </c>
      <c r="I77" s="1413" t="s">
        <v>615</v>
      </c>
    </row>
    <row r="78" spans="1:9" hidden="1" outlineLevel="1">
      <c r="A78" s="1414">
        <v>41374</v>
      </c>
      <c r="B78" s="1408" t="s">
        <v>321</v>
      </c>
      <c r="C78" s="1409">
        <v>3.4</v>
      </c>
      <c r="D78" s="1410">
        <v>170</v>
      </c>
      <c r="E78" s="1411"/>
      <c r="F78" s="1411">
        <f t="shared" si="2"/>
        <v>170</v>
      </c>
      <c r="G78" s="1412"/>
      <c r="H78" s="1413" t="s">
        <v>590</v>
      </c>
      <c r="I78" s="1413"/>
    </row>
    <row r="79" spans="1:9" hidden="1" outlineLevel="1">
      <c r="A79" s="1414">
        <v>41378</v>
      </c>
      <c r="B79" s="1408" t="s">
        <v>321</v>
      </c>
      <c r="C79" s="1409">
        <v>4</v>
      </c>
      <c r="D79" s="1410">
        <v>200</v>
      </c>
      <c r="E79" s="1411"/>
      <c r="F79" s="1411">
        <f t="shared" si="2"/>
        <v>200</v>
      </c>
      <c r="G79" s="1412"/>
      <c r="H79" s="1413" t="s">
        <v>590</v>
      </c>
      <c r="I79" s="1413"/>
    </row>
    <row r="80" spans="1:9" hidden="1" outlineLevel="1">
      <c r="A80" s="1414">
        <v>41380</v>
      </c>
      <c r="B80" s="1408" t="s">
        <v>592</v>
      </c>
      <c r="C80" s="1409">
        <v>19993</v>
      </c>
      <c r="D80" s="1410">
        <v>1217342.18</v>
      </c>
      <c r="E80" s="1411"/>
      <c r="F80" s="1411">
        <f t="shared" si="2"/>
        <v>1217342.18</v>
      </c>
      <c r="G80" s="1412"/>
      <c r="H80" s="1413" t="s">
        <v>599</v>
      </c>
      <c r="I80" s="1413" t="s">
        <v>616</v>
      </c>
    </row>
    <row r="81" spans="1:9" hidden="1" outlineLevel="1">
      <c r="A81" s="1414">
        <v>41381</v>
      </c>
      <c r="B81" s="1408" t="s">
        <v>592</v>
      </c>
      <c r="C81" s="1409">
        <v>19992</v>
      </c>
      <c r="D81" s="1410">
        <v>1222962.22</v>
      </c>
      <c r="E81" s="1411"/>
      <c r="F81" s="1411">
        <f t="shared" si="2"/>
        <v>1222962.22</v>
      </c>
      <c r="G81" s="1412"/>
      <c r="H81" s="1413" t="s">
        <v>599</v>
      </c>
      <c r="I81" s="1413" t="s">
        <v>617</v>
      </c>
    </row>
    <row r="82" spans="1:9" hidden="1" outlineLevel="1">
      <c r="A82" s="1414">
        <v>41382</v>
      </c>
      <c r="B82" s="1408" t="s">
        <v>592</v>
      </c>
      <c r="C82" s="1409">
        <v>19842</v>
      </c>
      <c r="D82" s="1410">
        <v>1198510.17</v>
      </c>
      <c r="E82" s="1411"/>
      <c r="F82" s="1411">
        <f t="shared" si="2"/>
        <v>1198510.17</v>
      </c>
      <c r="G82" s="1412"/>
      <c r="H82" s="1413" t="s">
        <v>599</v>
      </c>
      <c r="I82" s="1413" t="s">
        <v>618</v>
      </c>
    </row>
    <row r="83" spans="1:9" hidden="1" outlineLevel="1">
      <c r="A83" s="1414">
        <v>41382</v>
      </c>
      <c r="B83" s="1408" t="s">
        <v>321</v>
      </c>
      <c r="C83" s="1409">
        <v>15</v>
      </c>
      <c r="D83" s="1410">
        <v>750</v>
      </c>
      <c r="E83" s="1411"/>
      <c r="F83" s="1411">
        <f t="shared" si="2"/>
        <v>750</v>
      </c>
      <c r="G83" s="1412"/>
      <c r="H83" s="1413" t="s">
        <v>590</v>
      </c>
      <c r="I83" s="1413"/>
    </row>
    <row r="84" spans="1:9" hidden="1" outlineLevel="1">
      <c r="A84" s="1414">
        <v>41382</v>
      </c>
      <c r="B84" s="1408" t="s">
        <v>489</v>
      </c>
      <c r="C84" s="1409">
        <v>19679</v>
      </c>
      <c r="D84" s="1410">
        <v>423100</v>
      </c>
      <c r="E84" s="1411"/>
      <c r="F84" s="1411">
        <f t="shared" si="2"/>
        <v>423100</v>
      </c>
      <c r="G84" s="1412"/>
      <c r="H84" s="1413" t="s">
        <v>591</v>
      </c>
      <c r="I84" s="1413"/>
    </row>
    <row r="85" spans="1:9" hidden="1" outlineLevel="1">
      <c r="A85" s="1414">
        <v>41383</v>
      </c>
      <c r="B85" s="1408" t="s">
        <v>592</v>
      </c>
      <c r="C85" s="1409">
        <v>19610</v>
      </c>
      <c r="D85" s="1410">
        <v>1202818.57</v>
      </c>
      <c r="E85" s="1411"/>
      <c r="F85" s="1411">
        <f t="shared" si="2"/>
        <v>1202818.57</v>
      </c>
      <c r="G85" s="1412"/>
      <c r="H85" s="1413" t="s">
        <v>599</v>
      </c>
      <c r="I85" s="1413" t="s">
        <v>619</v>
      </c>
    </row>
    <row r="86" spans="1:9" hidden="1" outlineLevel="1">
      <c r="A86" s="1414">
        <v>41385</v>
      </c>
      <c r="B86" s="1408" t="s">
        <v>321</v>
      </c>
      <c r="C86" s="1409">
        <v>1.4</v>
      </c>
      <c r="D86" s="1410">
        <v>70</v>
      </c>
      <c r="E86" s="1411"/>
      <c r="F86" s="1411">
        <f t="shared" si="2"/>
        <v>70</v>
      </c>
      <c r="G86" s="1412"/>
      <c r="H86" s="1413" t="s">
        <v>590</v>
      </c>
      <c r="I86" s="1413"/>
    </row>
    <row r="87" spans="1:9" hidden="1" outlineLevel="1">
      <c r="A87" s="1414">
        <v>41385</v>
      </c>
      <c r="B87" s="1408" t="s">
        <v>596</v>
      </c>
      <c r="C87" s="1409">
        <v>25209</v>
      </c>
      <c r="D87" s="1410">
        <v>1549055.24</v>
      </c>
      <c r="E87" s="1411"/>
      <c r="F87" s="1411">
        <f t="shared" si="2"/>
        <v>1549055.24</v>
      </c>
      <c r="G87" s="1412"/>
      <c r="H87" s="1413" t="s">
        <v>611</v>
      </c>
      <c r="I87" s="1413" t="s">
        <v>620</v>
      </c>
    </row>
    <row r="88" spans="1:9" hidden="1" outlineLevel="1">
      <c r="A88" s="1414">
        <v>41386</v>
      </c>
      <c r="B88" s="1408" t="s">
        <v>592</v>
      </c>
      <c r="C88" s="1409">
        <v>19671</v>
      </c>
      <c r="D88" s="1410">
        <v>1196874.32</v>
      </c>
      <c r="E88" s="1411"/>
      <c r="F88" s="1411">
        <f t="shared" si="2"/>
        <v>1196874.32</v>
      </c>
      <c r="G88" s="1412"/>
      <c r="H88" s="1413" t="s">
        <v>599</v>
      </c>
      <c r="I88" s="1413" t="s">
        <v>621</v>
      </c>
    </row>
    <row r="89" spans="1:9" hidden="1" outlineLevel="1">
      <c r="A89" s="1414">
        <v>41387</v>
      </c>
      <c r="B89" s="1408" t="s">
        <v>596</v>
      </c>
      <c r="C89" s="1409">
        <v>25630</v>
      </c>
      <c r="D89" s="1410">
        <v>1574925.06</v>
      </c>
      <c r="E89" s="1411"/>
      <c r="F89" s="1411">
        <f t="shared" si="2"/>
        <v>1574925.06</v>
      </c>
      <c r="G89" s="1412"/>
      <c r="H89" s="1413" t="s">
        <v>611</v>
      </c>
      <c r="I89" s="1413" t="s">
        <v>622</v>
      </c>
    </row>
    <row r="90" spans="1:9" hidden="1" outlineLevel="1">
      <c r="A90" s="1414">
        <v>41388</v>
      </c>
      <c r="B90" s="1408" t="s">
        <v>592</v>
      </c>
      <c r="C90" s="1409">
        <v>19601</v>
      </c>
      <c r="D90" s="1410">
        <v>1199472.81</v>
      </c>
      <c r="E90" s="1411"/>
      <c r="F90" s="1411">
        <f t="shared" si="2"/>
        <v>1199472.81</v>
      </c>
      <c r="G90" s="1412"/>
      <c r="H90" s="1413" t="s">
        <v>599</v>
      </c>
      <c r="I90" s="1413" t="s">
        <v>623</v>
      </c>
    </row>
    <row r="91" spans="1:9" hidden="1" outlineLevel="1">
      <c r="A91" s="1414">
        <v>41389</v>
      </c>
      <c r="B91" s="1408" t="s">
        <v>592</v>
      </c>
      <c r="C91" s="1409">
        <v>19992</v>
      </c>
      <c r="D91" s="1410">
        <v>1210853.06</v>
      </c>
      <c r="E91" s="1411"/>
      <c r="F91" s="1411">
        <f t="shared" si="2"/>
        <v>1210853.06</v>
      </c>
      <c r="G91" s="1412"/>
      <c r="H91" s="1413" t="s">
        <v>599</v>
      </c>
      <c r="I91" s="1413" t="s">
        <v>624</v>
      </c>
    </row>
    <row r="92" spans="1:9" hidden="1" outlineLevel="1">
      <c r="A92" s="1414">
        <v>41389</v>
      </c>
      <c r="B92" s="1408" t="s">
        <v>596</v>
      </c>
      <c r="C92" s="1409">
        <v>26492</v>
      </c>
      <c r="D92" s="1410">
        <v>1627893.66</v>
      </c>
      <c r="E92" s="1411"/>
      <c r="F92" s="1411">
        <f t="shared" si="2"/>
        <v>1627893.66</v>
      </c>
      <c r="G92" s="1412"/>
      <c r="H92" s="1413" t="s">
        <v>611</v>
      </c>
      <c r="I92" s="1413" t="s">
        <v>625</v>
      </c>
    </row>
    <row r="93" spans="1:9" hidden="1" outlineLevel="1">
      <c r="A93" s="1414">
        <v>41390</v>
      </c>
      <c r="B93" s="1408" t="s">
        <v>321</v>
      </c>
      <c r="C93" s="1409">
        <v>0.60000000000000009</v>
      </c>
      <c r="D93" s="1410">
        <v>30</v>
      </c>
      <c r="E93" s="1411"/>
      <c r="F93" s="1411">
        <f t="shared" si="2"/>
        <v>30</v>
      </c>
      <c r="G93" s="1412"/>
      <c r="H93" s="1413" t="s">
        <v>590</v>
      </c>
      <c r="I93" s="1413"/>
    </row>
    <row r="94" spans="1:9" hidden="1" outlineLevel="1">
      <c r="A94" s="1414">
        <v>41392</v>
      </c>
      <c r="B94" s="1408" t="s">
        <v>321</v>
      </c>
      <c r="C94" s="1409">
        <f>2.6+0.4+3.1+7+0.2+15.9+0.6+0.8+0.2</f>
        <v>30.8</v>
      </c>
      <c r="D94" s="1410">
        <f>143+22+170+385+11+874.5+33+44+11</f>
        <v>1693.5</v>
      </c>
      <c r="E94" s="1411"/>
      <c r="F94" s="1411">
        <f t="shared" si="2"/>
        <v>1693.5</v>
      </c>
      <c r="G94" s="1412"/>
      <c r="H94" s="1413" t="s">
        <v>590</v>
      </c>
      <c r="I94" s="1413"/>
    </row>
    <row r="95" spans="1:9" hidden="1" outlineLevel="1">
      <c r="A95" s="1414">
        <v>41392</v>
      </c>
      <c r="B95" s="1408" t="s">
        <v>596</v>
      </c>
      <c r="C95" s="1409">
        <v>26363</v>
      </c>
      <c r="D95" s="1410">
        <v>1619966.81</v>
      </c>
      <c r="E95" s="1411"/>
      <c r="F95" s="1411">
        <f t="shared" si="2"/>
        <v>1619966.81</v>
      </c>
      <c r="G95" s="1412"/>
      <c r="H95" s="1413" t="s">
        <v>611</v>
      </c>
      <c r="I95" s="1413" t="s">
        <v>626</v>
      </c>
    </row>
    <row r="96" spans="1:9" s="33" customFormat="1">
      <c r="A96" s="1415" t="s">
        <v>4</v>
      </c>
      <c r="B96" s="1416"/>
      <c r="C96" s="1417">
        <f>SUM(C97:C131)</f>
        <v>418175.3</v>
      </c>
      <c r="D96" s="1418">
        <f>SUM(D97:D131)</f>
        <v>23685480.030000001</v>
      </c>
      <c r="E96" s="1419">
        <f>SUM(E97:E131)</f>
        <v>20284971.440000005</v>
      </c>
      <c r="F96" s="1419">
        <f t="shared" si="2"/>
        <v>3400508.5899999961</v>
      </c>
      <c r="G96" s="1420">
        <f t="shared" ref="G96:G159" si="3">F96/E96</f>
        <v>0.16763684386040206</v>
      </c>
      <c r="H96" s="1400"/>
      <c r="I96" s="1400"/>
    </row>
    <row r="97" spans="1:9" hidden="1" outlineLevel="1">
      <c r="A97" s="1414">
        <v>41397</v>
      </c>
      <c r="B97" s="1408" t="s">
        <v>586</v>
      </c>
      <c r="C97" s="1409">
        <v>374</v>
      </c>
      <c r="D97" s="1410">
        <v>17107.349999999999</v>
      </c>
      <c r="E97" s="1411">
        <v>17076.5</v>
      </c>
      <c r="F97" s="1421">
        <f t="shared" si="2"/>
        <v>30.849999999998545</v>
      </c>
      <c r="G97" s="1422">
        <f t="shared" si="3"/>
        <v>1.8065762890521211E-3</v>
      </c>
      <c r="H97" s="1413" t="s">
        <v>587</v>
      </c>
      <c r="I97" s="1413"/>
    </row>
    <row r="98" spans="1:9" hidden="1" outlineLevel="1">
      <c r="A98" s="1414">
        <v>41397</v>
      </c>
      <c r="B98" s="1408" t="s">
        <v>481</v>
      </c>
      <c r="C98" s="1409">
        <v>181</v>
      </c>
      <c r="D98" s="1410">
        <v>8279.23</v>
      </c>
      <c r="E98" s="1411">
        <v>8264.2999999999993</v>
      </c>
      <c r="F98" s="1421">
        <f t="shared" si="2"/>
        <v>14.930000000000291</v>
      </c>
      <c r="G98" s="1422">
        <f t="shared" si="3"/>
        <v>1.8065655893421454E-3</v>
      </c>
      <c r="H98" s="1413" t="s">
        <v>587</v>
      </c>
      <c r="I98" s="1413"/>
    </row>
    <row r="99" spans="1:9" hidden="1" outlineLevel="1">
      <c r="A99" s="1414">
        <v>41397</v>
      </c>
      <c r="B99" s="1408" t="s">
        <v>588</v>
      </c>
      <c r="C99" s="1409">
        <v>323</v>
      </c>
      <c r="D99" s="1410">
        <v>6823.2</v>
      </c>
      <c r="E99" s="1411">
        <v>6764.22</v>
      </c>
      <c r="F99" s="1421">
        <f t="shared" si="2"/>
        <v>58.979999999999563</v>
      </c>
      <c r="G99" s="1422">
        <f t="shared" si="3"/>
        <v>8.7194088897167097E-3</v>
      </c>
      <c r="H99" s="1413" t="s">
        <v>587</v>
      </c>
      <c r="I99" s="1413"/>
    </row>
    <row r="100" spans="1:9" hidden="1" outlineLevel="1">
      <c r="A100" s="1414">
        <v>41398</v>
      </c>
      <c r="B100" s="1408" t="s">
        <v>321</v>
      </c>
      <c r="C100" s="1409">
        <v>5.2</v>
      </c>
      <c r="D100" s="1410">
        <v>260</v>
      </c>
      <c r="E100" s="1411">
        <v>237.03</v>
      </c>
      <c r="F100" s="1421">
        <f t="shared" ref="F100:F131" si="4">D100-E100</f>
        <v>22.97</v>
      </c>
      <c r="G100" s="1422">
        <f t="shared" si="3"/>
        <v>9.6907564443319411E-2</v>
      </c>
      <c r="H100" s="1413" t="s">
        <v>590</v>
      </c>
      <c r="I100" s="1413"/>
    </row>
    <row r="101" spans="1:9" hidden="1" outlineLevel="1">
      <c r="A101" s="1414">
        <v>41399</v>
      </c>
      <c r="B101" s="1408" t="s">
        <v>592</v>
      </c>
      <c r="C101" s="1409">
        <v>20968</v>
      </c>
      <c r="D101" s="1410">
        <v>1260072.0900000001</v>
      </c>
      <c r="E101" s="1411">
        <v>1163197.4399999999</v>
      </c>
      <c r="F101" s="1421">
        <f t="shared" si="4"/>
        <v>96874.65000000014</v>
      </c>
      <c r="G101" s="1422">
        <f t="shared" si="3"/>
        <v>8.32830667165156E-2</v>
      </c>
      <c r="H101" s="1413" t="s">
        <v>599</v>
      </c>
      <c r="I101" s="1413" t="s">
        <v>627</v>
      </c>
    </row>
    <row r="102" spans="1:9" hidden="1" outlineLevel="1">
      <c r="A102" s="1414">
        <v>41401</v>
      </c>
      <c r="B102" s="1408" t="s">
        <v>321</v>
      </c>
      <c r="C102" s="1409">
        <v>0.60000000000000009</v>
      </c>
      <c r="D102" s="1410">
        <v>30</v>
      </c>
      <c r="E102" s="1411">
        <v>27.32</v>
      </c>
      <c r="F102" s="1421">
        <f t="shared" si="4"/>
        <v>2.6799999999999997</v>
      </c>
      <c r="G102" s="1422">
        <f t="shared" si="3"/>
        <v>9.8096632503660311E-2</v>
      </c>
      <c r="H102" s="1413" t="s">
        <v>590</v>
      </c>
      <c r="I102" s="1413"/>
    </row>
    <row r="103" spans="1:9" hidden="1" outlineLevel="1">
      <c r="A103" s="1414">
        <v>41401</v>
      </c>
      <c r="B103" s="1408" t="s">
        <v>592</v>
      </c>
      <c r="C103" s="1409">
        <v>20705</v>
      </c>
      <c r="D103" s="1410">
        <v>1244707.1599999999</v>
      </c>
      <c r="E103" s="1411">
        <v>1135518.79</v>
      </c>
      <c r="F103" s="1421">
        <f t="shared" si="4"/>
        <v>109188.36999999988</v>
      </c>
      <c r="G103" s="1422">
        <f t="shared" si="3"/>
        <v>9.6157255134456984E-2</v>
      </c>
      <c r="H103" s="1413" t="s">
        <v>599</v>
      </c>
      <c r="I103" s="1413" t="s">
        <v>628</v>
      </c>
    </row>
    <row r="104" spans="1:9" hidden="1" outlineLevel="1">
      <c r="A104" s="1414">
        <v>41404</v>
      </c>
      <c r="B104" s="1408" t="s">
        <v>321</v>
      </c>
      <c r="C104" s="1409">
        <v>12</v>
      </c>
      <c r="D104" s="1410">
        <v>660</v>
      </c>
      <c r="E104" s="1411">
        <v>546.16</v>
      </c>
      <c r="F104" s="1421">
        <f t="shared" si="4"/>
        <v>113.84000000000003</v>
      </c>
      <c r="G104" s="1422">
        <f t="shared" si="3"/>
        <v>0.20843708803281097</v>
      </c>
      <c r="H104" s="1413" t="s">
        <v>590</v>
      </c>
      <c r="I104" s="1413"/>
    </row>
    <row r="105" spans="1:9" hidden="1" outlineLevel="1">
      <c r="A105" s="1414">
        <v>41405</v>
      </c>
      <c r="B105" s="1408" t="s">
        <v>321</v>
      </c>
      <c r="C105" s="1409">
        <v>4</v>
      </c>
      <c r="D105" s="1410">
        <v>200</v>
      </c>
      <c r="E105" s="1411">
        <v>182.03</v>
      </c>
      <c r="F105" s="1421">
        <f t="shared" si="4"/>
        <v>17.97</v>
      </c>
      <c r="G105" s="1422">
        <f t="shared" si="3"/>
        <v>9.8719991210240068E-2</v>
      </c>
      <c r="H105" s="1413" t="s">
        <v>590</v>
      </c>
      <c r="I105" s="1413"/>
    </row>
    <row r="106" spans="1:9" hidden="1" outlineLevel="1">
      <c r="A106" s="1414">
        <v>41407</v>
      </c>
      <c r="B106" s="1408" t="s">
        <v>592</v>
      </c>
      <c r="C106" s="1409">
        <v>20553</v>
      </c>
      <c r="D106" s="1410">
        <v>1235529.82</v>
      </c>
      <c r="E106" s="1411">
        <v>1140096.06</v>
      </c>
      <c r="F106" s="1421">
        <f t="shared" si="4"/>
        <v>95433.760000000009</v>
      </c>
      <c r="G106" s="1422">
        <f t="shared" si="3"/>
        <v>8.3706771164528015E-2</v>
      </c>
      <c r="H106" s="1413" t="s">
        <v>599</v>
      </c>
      <c r="I106" s="1413" t="s">
        <v>629</v>
      </c>
    </row>
    <row r="107" spans="1:9" hidden="1" outlineLevel="1">
      <c r="A107" s="1414">
        <v>41408</v>
      </c>
      <c r="B107" s="1408" t="s">
        <v>592</v>
      </c>
      <c r="C107" s="1409">
        <v>20623</v>
      </c>
      <c r="D107" s="1410">
        <v>1239737.83</v>
      </c>
      <c r="E107" s="1411">
        <v>1125464.55</v>
      </c>
      <c r="F107" s="1421">
        <f t="shared" si="4"/>
        <v>114273.28000000003</v>
      </c>
      <c r="G107" s="1422">
        <f t="shared" si="3"/>
        <v>0.10153432198286479</v>
      </c>
      <c r="H107" s="1413" t="s">
        <v>599</v>
      </c>
      <c r="I107" s="1413" t="s">
        <v>630</v>
      </c>
    </row>
    <row r="108" spans="1:9" hidden="1" outlineLevel="1">
      <c r="A108" s="1414">
        <v>41408</v>
      </c>
      <c r="B108" s="1408" t="s">
        <v>489</v>
      </c>
      <c r="C108" s="1409">
        <v>20767</v>
      </c>
      <c r="D108" s="1410">
        <v>446490</v>
      </c>
      <c r="E108" s="1411">
        <v>19334.78</v>
      </c>
      <c r="F108" s="1421">
        <f t="shared" si="4"/>
        <v>427155.22</v>
      </c>
      <c r="G108" s="1422">
        <f t="shared" si="3"/>
        <v>22.09258238262861</v>
      </c>
      <c r="H108" s="1413" t="s">
        <v>591</v>
      </c>
      <c r="I108" s="1413"/>
    </row>
    <row r="109" spans="1:9" hidden="1" outlineLevel="1">
      <c r="A109" s="1414">
        <v>41409</v>
      </c>
      <c r="B109" s="1408" t="s">
        <v>592</v>
      </c>
      <c r="C109" s="1409">
        <v>20321</v>
      </c>
      <c r="D109" s="1410">
        <v>1229243.1000000001</v>
      </c>
      <c r="E109" s="1411">
        <v>1110272.3400000001</v>
      </c>
      <c r="F109" s="1421">
        <f t="shared" si="4"/>
        <v>118970.76000000001</v>
      </c>
      <c r="G109" s="1422">
        <f t="shared" si="3"/>
        <v>0.10715457434524578</v>
      </c>
      <c r="H109" s="1413" t="s">
        <v>599</v>
      </c>
      <c r="I109" s="1413" t="s">
        <v>631</v>
      </c>
    </row>
    <row r="110" spans="1:9" hidden="1" outlineLevel="1">
      <c r="A110" s="1414">
        <v>41410</v>
      </c>
      <c r="B110" s="1408" t="s">
        <v>321</v>
      </c>
      <c r="C110" s="1409">
        <v>0.2</v>
      </c>
      <c r="D110" s="1410">
        <v>10</v>
      </c>
      <c r="E110" s="1411">
        <v>9.11</v>
      </c>
      <c r="F110" s="1421">
        <f t="shared" si="4"/>
        <v>0.89000000000000057</v>
      </c>
      <c r="G110" s="1422">
        <f t="shared" si="3"/>
        <v>9.7694840834248148E-2</v>
      </c>
      <c r="H110" s="1413" t="s">
        <v>590</v>
      </c>
      <c r="I110" s="1413"/>
    </row>
    <row r="111" spans="1:9" hidden="1" outlineLevel="1">
      <c r="A111" s="1414">
        <v>41410</v>
      </c>
      <c r="B111" s="1408" t="s">
        <v>592</v>
      </c>
      <c r="C111" s="1409">
        <v>20887</v>
      </c>
      <c r="D111" s="1410">
        <v>1269552.5900000001</v>
      </c>
      <c r="E111" s="1411">
        <v>1143093.98</v>
      </c>
      <c r="F111" s="1421">
        <f t="shared" si="4"/>
        <v>126458.6100000001</v>
      </c>
      <c r="G111" s="1422">
        <f t="shared" si="3"/>
        <v>0.11062835795880939</v>
      </c>
      <c r="H111" s="1413" t="s">
        <v>599</v>
      </c>
      <c r="I111" s="1413" t="s">
        <v>632</v>
      </c>
    </row>
    <row r="112" spans="1:9" hidden="1" outlineLevel="1">
      <c r="A112" s="1414">
        <v>41410</v>
      </c>
      <c r="B112" s="1408" t="s">
        <v>596</v>
      </c>
      <c r="C112" s="1409">
        <v>2097</v>
      </c>
      <c r="D112" s="1410">
        <f>76812.5+51667</f>
        <v>128479.5</v>
      </c>
      <c r="E112" s="1411">
        <f>70057.06+19857.3</f>
        <v>89914.36</v>
      </c>
      <c r="F112" s="1421">
        <f t="shared" si="4"/>
        <v>38565.14</v>
      </c>
      <c r="G112" s="1422">
        <f t="shared" si="3"/>
        <v>0.42890968695100534</v>
      </c>
      <c r="H112" s="1413" t="s">
        <v>587</v>
      </c>
      <c r="I112" s="1413"/>
    </row>
    <row r="113" spans="1:9" hidden="1" outlineLevel="1">
      <c r="A113" s="1414">
        <v>41411</v>
      </c>
      <c r="B113" s="1408" t="s">
        <v>592</v>
      </c>
      <c r="C113" s="1409">
        <v>20946</v>
      </c>
      <c r="D113" s="1410">
        <v>1272672.68</v>
      </c>
      <c r="E113" s="1411">
        <v>1103570.68</v>
      </c>
      <c r="F113" s="1421">
        <f t="shared" si="4"/>
        <v>169102</v>
      </c>
      <c r="G113" s="1422">
        <f t="shared" si="3"/>
        <v>0.15323168970020118</v>
      </c>
      <c r="H113" s="1413" t="s">
        <v>599</v>
      </c>
      <c r="I113" s="1413" t="s">
        <v>633</v>
      </c>
    </row>
    <row r="114" spans="1:9" hidden="1" outlineLevel="1">
      <c r="A114" s="1414">
        <v>41413</v>
      </c>
      <c r="B114" s="1408" t="s">
        <v>321</v>
      </c>
      <c r="C114" s="1409">
        <v>1.6</v>
      </c>
      <c r="D114" s="1410">
        <v>80</v>
      </c>
      <c r="E114" s="1411">
        <v>72.930000000000007</v>
      </c>
      <c r="F114" s="1421">
        <f t="shared" si="4"/>
        <v>7.0699999999999932</v>
      </c>
      <c r="G114" s="1422">
        <f t="shared" si="3"/>
        <v>9.6942273412861546E-2</v>
      </c>
      <c r="H114" s="1413" t="s">
        <v>590</v>
      </c>
      <c r="I114" s="1413"/>
    </row>
    <row r="115" spans="1:9" hidden="1" outlineLevel="1">
      <c r="A115" s="1414">
        <v>41414</v>
      </c>
      <c r="B115" s="1408" t="s">
        <v>321</v>
      </c>
      <c r="C115" s="1409">
        <v>3</v>
      </c>
      <c r="D115" s="1410">
        <v>150</v>
      </c>
      <c r="E115" s="1411">
        <v>136.87</v>
      </c>
      <c r="F115" s="1421">
        <f t="shared" si="4"/>
        <v>13.129999999999995</v>
      </c>
      <c r="G115" s="1422">
        <f t="shared" si="3"/>
        <v>9.593044494776061E-2</v>
      </c>
      <c r="H115" s="1413" t="s">
        <v>590</v>
      </c>
      <c r="I115" s="1413"/>
    </row>
    <row r="116" spans="1:9" hidden="1" outlineLevel="1">
      <c r="A116" s="1414">
        <v>41414</v>
      </c>
      <c r="B116" s="1408" t="s">
        <v>592</v>
      </c>
      <c r="C116" s="1409">
        <v>20816</v>
      </c>
      <c r="D116" s="1410">
        <v>1263767.83</v>
      </c>
      <c r="E116" s="1411">
        <v>1110149.1000000001</v>
      </c>
      <c r="F116" s="1421">
        <f t="shared" si="4"/>
        <v>153618.72999999998</v>
      </c>
      <c r="G116" s="1422">
        <f t="shared" si="3"/>
        <v>0.13837666490023726</v>
      </c>
      <c r="H116" s="1413" t="s">
        <v>599</v>
      </c>
      <c r="I116" s="1413" t="s">
        <v>634</v>
      </c>
    </row>
    <row r="117" spans="1:9" hidden="1" outlineLevel="1">
      <c r="A117" s="1414">
        <v>41415</v>
      </c>
      <c r="B117" s="1408" t="s">
        <v>592</v>
      </c>
      <c r="C117" s="1409">
        <v>20839</v>
      </c>
      <c r="D117" s="1410">
        <v>1263108.47</v>
      </c>
      <c r="E117" s="1411">
        <v>1159092.31</v>
      </c>
      <c r="F117" s="1421">
        <f t="shared" si="4"/>
        <v>104016.15999999992</v>
      </c>
      <c r="G117" s="1422">
        <f t="shared" si="3"/>
        <v>8.9739323695452622E-2</v>
      </c>
      <c r="H117" s="1413" t="s">
        <v>599</v>
      </c>
      <c r="I117" s="1413" t="s">
        <v>635</v>
      </c>
    </row>
    <row r="118" spans="1:9" hidden="1" outlineLevel="1">
      <c r="A118" s="1414">
        <v>41416</v>
      </c>
      <c r="B118" s="1408" t="s">
        <v>592</v>
      </c>
      <c r="C118" s="1409">
        <v>20980</v>
      </c>
      <c r="D118" s="1410">
        <v>1265016.79</v>
      </c>
      <c r="E118" s="1411">
        <v>1113573.8500000001</v>
      </c>
      <c r="F118" s="1421">
        <f t="shared" si="4"/>
        <v>151442.93999999994</v>
      </c>
      <c r="G118" s="1422">
        <f t="shared" si="3"/>
        <v>0.13599721293742659</v>
      </c>
      <c r="H118" s="1413" t="s">
        <v>599</v>
      </c>
      <c r="I118" s="1413" t="s">
        <v>636</v>
      </c>
    </row>
    <row r="119" spans="1:9" hidden="1" outlineLevel="1">
      <c r="A119" s="1414">
        <v>41417</v>
      </c>
      <c r="B119" s="1408" t="s">
        <v>592</v>
      </c>
      <c r="C119" s="1409">
        <v>20738</v>
      </c>
      <c r="D119" s="1410">
        <v>1252470.47</v>
      </c>
      <c r="E119" s="1411">
        <v>1108126.81</v>
      </c>
      <c r="F119" s="1421">
        <f t="shared" si="4"/>
        <v>144343.65999999992</v>
      </c>
      <c r="G119" s="1422">
        <f t="shared" si="3"/>
        <v>0.13025915328228535</v>
      </c>
      <c r="H119" s="1413" t="s">
        <v>599</v>
      </c>
      <c r="I119" s="1413" t="s">
        <v>637</v>
      </c>
    </row>
    <row r="120" spans="1:9" hidden="1" outlineLevel="1">
      <c r="A120" s="1414">
        <v>41418</v>
      </c>
      <c r="B120" s="1408" t="s">
        <v>592</v>
      </c>
      <c r="C120" s="1409">
        <v>20945</v>
      </c>
      <c r="D120" s="1410">
        <v>1274819.73</v>
      </c>
      <c r="E120" s="1411">
        <v>1116518.76</v>
      </c>
      <c r="F120" s="1421">
        <f t="shared" si="4"/>
        <v>158300.96999999997</v>
      </c>
      <c r="G120" s="1422">
        <f t="shared" si="3"/>
        <v>0.14178084208813471</v>
      </c>
      <c r="H120" s="1413" t="s">
        <v>599</v>
      </c>
      <c r="I120" s="1413" t="s">
        <v>638</v>
      </c>
    </row>
    <row r="121" spans="1:9" hidden="1" outlineLevel="1">
      <c r="A121" s="1414">
        <v>41419</v>
      </c>
      <c r="B121" s="1408" t="s">
        <v>592</v>
      </c>
      <c r="C121" s="1409">
        <v>20843</v>
      </c>
      <c r="D121" s="1410">
        <v>1262375.47</v>
      </c>
      <c r="E121" s="1411">
        <v>1109163.92</v>
      </c>
      <c r="F121" s="1421">
        <f t="shared" si="4"/>
        <v>153211.55000000005</v>
      </c>
      <c r="G121" s="1422">
        <f t="shared" si="3"/>
        <v>0.13813246828295683</v>
      </c>
      <c r="H121" s="1413" t="s">
        <v>599</v>
      </c>
      <c r="I121" s="1413" t="s">
        <v>639</v>
      </c>
    </row>
    <row r="122" spans="1:9" hidden="1" outlineLevel="1">
      <c r="A122" s="1414">
        <v>41421</v>
      </c>
      <c r="B122" s="1408" t="s">
        <v>592</v>
      </c>
      <c r="C122" s="1409">
        <v>20678</v>
      </c>
      <c r="D122" s="1410">
        <v>1252382.0900000001</v>
      </c>
      <c r="E122" s="1411">
        <v>1091892.3600000001</v>
      </c>
      <c r="F122" s="1421">
        <f t="shared" si="4"/>
        <v>160489.72999999998</v>
      </c>
      <c r="G122" s="1422">
        <f t="shared" si="3"/>
        <v>0.14698310555080718</v>
      </c>
      <c r="H122" s="1413" t="s">
        <v>599</v>
      </c>
      <c r="I122" s="1413" t="s">
        <v>640</v>
      </c>
    </row>
    <row r="123" spans="1:9" hidden="1" outlineLevel="1">
      <c r="A123" s="1414">
        <v>41421</v>
      </c>
      <c r="B123" s="1408" t="s">
        <v>321</v>
      </c>
      <c r="C123" s="1409">
        <v>47</v>
      </c>
      <c r="D123" s="1410">
        <v>2146.75</v>
      </c>
      <c r="E123" s="1411">
        <v>2144.35</v>
      </c>
      <c r="F123" s="1421">
        <f t="shared" si="4"/>
        <v>2.4000000000000909</v>
      </c>
      <c r="G123" s="1422">
        <f t="shared" si="3"/>
        <v>1.1192202765407191E-3</v>
      </c>
      <c r="H123" s="1413" t="s">
        <v>587</v>
      </c>
      <c r="I123" s="1413"/>
    </row>
    <row r="124" spans="1:9" hidden="1" outlineLevel="1">
      <c r="A124" s="1414">
        <v>41421</v>
      </c>
      <c r="B124" s="1408" t="s">
        <v>589</v>
      </c>
      <c r="C124" s="1409">
        <v>51</v>
      </c>
      <c r="D124" s="1410">
        <v>966.21</v>
      </c>
      <c r="E124" s="1411">
        <v>992.14</v>
      </c>
      <c r="F124" s="1421">
        <f t="shared" si="4"/>
        <v>-25.92999999999995</v>
      </c>
      <c r="G124" s="1422">
        <f t="shared" si="3"/>
        <v>-2.613542443606744E-2</v>
      </c>
      <c r="H124" s="1413" t="s">
        <v>587</v>
      </c>
      <c r="I124" s="1413"/>
    </row>
    <row r="125" spans="1:9" hidden="1" outlineLevel="1">
      <c r="A125" s="1414">
        <v>41422</v>
      </c>
      <c r="B125" s="1408" t="s">
        <v>592</v>
      </c>
      <c r="C125" s="1409">
        <v>20957</v>
      </c>
      <c r="D125" s="1410">
        <v>1268716.45</v>
      </c>
      <c r="E125" s="1411">
        <v>1096454.48</v>
      </c>
      <c r="F125" s="1421">
        <f t="shared" si="4"/>
        <v>172261.96999999997</v>
      </c>
      <c r="G125" s="1422">
        <f t="shared" si="3"/>
        <v>0.15710818200131754</v>
      </c>
      <c r="H125" s="1413" t="s">
        <v>599</v>
      </c>
      <c r="I125" s="1413" t="s">
        <v>641</v>
      </c>
    </row>
    <row r="126" spans="1:9" hidden="1" outlineLevel="1">
      <c r="A126" s="1414">
        <v>41423</v>
      </c>
      <c r="B126" s="1408" t="s">
        <v>592</v>
      </c>
      <c r="C126" s="1409">
        <v>20643</v>
      </c>
      <c r="D126" s="1410">
        <v>1252737.5900000001</v>
      </c>
      <c r="E126" s="1411">
        <v>1096454.48</v>
      </c>
      <c r="F126" s="1421">
        <f t="shared" si="4"/>
        <v>156283.1100000001</v>
      </c>
      <c r="G126" s="1422">
        <f t="shared" si="3"/>
        <v>0.14253497327130271</v>
      </c>
      <c r="H126" s="1413" t="s">
        <v>599</v>
      </c>
      <c r="I126" s="1413" t="s">
        <v>642</v>
      </c>
    </row>
    <row r="127" spans="1:9" hidden="1" outlineLevel="1">
      <c r="A127" s="1414">
        <v>41424</v>
      </c>
      <c r="B127" s="1408" t="s">
        <v>321</v>
      </c>
      <c r="C127" s="1409">
        <f>2.2+1+15.6+0.6+22+0.5+0.2+1.6</f>
        <v>43.70000000000001</v>
      </c>
      <c r="D127" s="1410">
        <f>121+50+858+33+1210+27.5+11+88</f>
        <v>2398.5</v>
      </c>
      <c r="E127" s="1411">
        <f>100.28+45.58+711.09+27.35+1002.82+22.79+9.12+72.93</f>
        <v>1991.96</v>
      </c>
      <c r="F127" s="1421">
        <f t="shared" si="4"/>
        <v>406.53999999999996</v>
      </c>
      <c r="G127" s="1422">
        <f t="shared" si="3"/>
        <v>0.20409044358320447</v>
      </c>
      <c r="H127" s="1413" t="s">
        <v>590</v>
      </c>
      <c r="I127" s="1413"/>
    </row>
    <row r="128" spans="1:9" hidden="1" outlineLevel="1">
      <c r="A128" s="1414">
        <v>41424</v>
      </c>
      <c r="B128" s="1408" t="s">
        <v>592</v>
      </c>
      <c r="C128" s="1409">
        <v>20505</v>
      </c>
      <c r="D128" s="1410">
        <v>1252726.52</v>
      </c>
      <c r="E128" s="1411">
        <v>1078643.21</v>
      </c>
      <c r="F128" s="1421">
        <f t="shared" si="4"/>
        <v>174083.31000000006</v>
      </c>
      <c r="G128" s="1422">
        <f t="shared" si="3"/>
        <v>0.16139100342549792</v>
      </c>
      <c r="H128" s="1413" t="s">
        <v>599</v>
      </c>
      <c r="I128" s="1413" t="s">
        <v>643</v>
      </c>
    </row>
    <row r="129" spans="1:9" hidden="1" outlineLevel="1">
      <c r="A129" s="1414">
        <v>41425</v>
      </c>
      <c r="B129" s="1408" t="s">
        <v>321</v>
      </c>
      <c r="C129" s="1409">
        <v>4</v>
      </c>
      <c r="D129" s="1410">
        <v>200</v>
      </c>
      <c r="E129" s="1411">
        <v>182.27</v>
      </c>
      <c r="F129" s="1421">
        <f t="shared" si="4"/>
        <v>17.72999999999999</v>
      </c>
      <c r="G129" s="1422">
        <f t="shared" si="3"/>
        <v>9.7273275909365159E-2</v>
      </c>
      <c r="H129" s="1413" t="s">
        <v>590</v>
      </c>
      <c r="I129" s="1413"/>
    </row>
    <row r="130" spans="1:9" hidden="1" outlineLevel="1">
      <c r="A130" s="1414">
        <v>41425</v>
      </c>
      <c r="B130" s="1408" t="s">
        <v>592</v>
      </c>
      <c r="C130" s="1409">
        <v>20794</v>
      </c>
      <c r="D130" s="1410">
        <v>1270382.6100000001</v>
      </c>
      <c r="E130" s="1411">
        <v>1117770.28</v>
      </c>
      <c r="F130" s="1421">
        <f t="shared" si="4"/>
        <v>152612.33000000007</v>
      </c>
      <c r="G130" s="1422">
        <f t="shared" si="3"/>
        <v>0.13653282139510819</v>
      </c>
      <c r="H130" s="1413" t="s">
        <v>599</v>
      </c>
      <c r="I130" s="1413" t="s">
        <v>644</v>
      </c>
    </row>
    <row r="131" spans="1:9" hidden="1" outlineLevel="1">
      <c r="A131" s="1414">
        <v>41425</v>
      </c>
      <c r="B131" s="1408" t="s">
        <v>489</v>
      </c>
      <c r="C131" s="1409">
        <v>20520</v>
      </c>
      <c r="D131" s="1410">
        <v>441180</v>
      </c>
      <c r="E131" s="1411">
        <v>18041.71</v>
      </c>
      <c r="F131" s="1421">
        <f t="shared" si="4"/>
        <v>423138.29</v>
      </c>
      <c r="G131" s="1422">
        <f t="shared" si="3"/>
        <v>23.453336185982369</v>
      </c>
      <c r="H131" s="1413" t="s">
        <v>591</v>
      </c>
      <c r="I131" s="1413"/>
    </row>
    <row r="132" spans="1:9">
      <c r="A132" s="1415" t="s">
        <v>5</v>
      </c>
      <c r="B132" s="1416"/>
      <c r="C132" s="1417">
        <f>SUM(C133:C161)</f>
        <v>313619.10000000003</v>
      </c>
      <c r="D132" s="1418">
        <f>SUM(D133:D161)</f>
        <v>18857836.919999998</v>
      </c>
      <c r="E132" s="1419">
        <f>SUM(E133:E161)</f>
        <v>15476930.929999998</v>
      </c>
      <c r="F132" s="1419">
        <f>SUM(F133:F161)</f>
        <v>3380905.9900000007</v>
      </c>
      <c r="G132" s="1420">
        <f t="shared" si="3"/>
        <v>0.21844808930732892</v>
      </c>
      <c r="H132" s="1423"/>
      <c r="I132" s="1423"/>
    </row>
    <row r="133" spans="1:9" hidden="1" outlineLevel="1">
      <c r="A133" s="1414">
        <v>41427</v>
      </c>
      <c r="B133" s="1408" t="s">
        <v>586</v>
      </c>
      <c r="C133" s="1409">
        <v>310</v>
      </c>
      <c r="D133" s="1410">
        <v>14140.54</v>
      </c>
      <c r="E133" s="1411">
        <v>14130.97</v>
      </c>
      <c r="F133" s="1421">
        <f t="shared" ref="F133:F161" si="5">D133-E133</f>
        <v>9.570000000001528</v>
      </c>
      <c r="G133" s="1422">
        <f t="shared" si="3"/>
        <v>6.7723588685005551E-4</v>
      </c>
      <c r="H133" s="1413" t="s">
        <v>587</v>
      </c>
      <c r="I133" s="1413"/>
    </row>
    <row r="134" spans="1:9" hidden="1" outlineLevel="1">
      <c r="A134" s="1414">
        <v>41427</v>
      </c>
      <c r="B134" s="1408" t="s">
        <v>481</v>
      </c>
      <c r="C134" s="1409">
        <v>144</v>
      </c>
      <c r="D134" s="1410">
        <v>6568.99</v>
      </c>
      <c r="E134" s="1411">
        <v>6564.95</v>
      </c>
      <c r="F134" s="1421">
        <f t="shared" si="5"/>
        <v>4.0399999999999636</v>
      </c>
      <c r="G134" s="1422">
        <f t="shared" si="3"/>
        <v>6.1538930227952437E-4</v>
      </c>
      <c r="H134" s="1413" t="s">
        <v>587</v>
      </c>
      <c r="I134" s="1413"/>
    </row>
    <row r="135" spans="1:9" hidden="1" outlineLevel="1">
      <c r="A135" s="1414">
        <v>41427</v>
      </c>
      <c r="B135" s="1408" t="s">
        <v>588</v>
      </c>
      <c r="C135" s="1409">
        <v>371</v>
      </c>
      <c r="D135" s="1410">
        <v>12533.91</v>
      </c>
      <c r="E135" s="1411">
        <v>12533.81</v>
      </c>
      <c r="F135" s="1421">
        <f t="shared" si="5"/>
        <v>0.1000000000003638</v>
      </c>
      <c r="G135" s="1422">
        <f t="shared" si="3"/>
        <v>7.9784199696950732E-6</v>
      </c>
      <c r="H135" s="1413" t="s">
        <v>587</v>
      </c>
      <c r="I135" s="1413"/>
    </row>
    <row r="136" spans="1:9" hidden="1" outlineLevel="1">
      <c r="A136" s="1414">
        <v>41428</v>
      </c>
      <c r="B136" s="1408" t="s">
        <v>592</v>
      </c>
      <c r="C136" s="1409">
        <v>20425</v>
      </c>
      <c r="D136" s="1410">
        <v>1256079.08</v>
      </c>
      <c r="E136" s="1411">
        <v>1098782.3</v>
      </c>
      <c r="F136" s="1421">
        <f t="shared" si="5"/>
        <v>157296.78000000003</v>
      </c>
      <c r="G136" s="1422">
        <f t="shared" si="3"/>
        <v>0.14315554591660243</v>
      </c>
      <c r="H136" s="1413" t="s">
        <v>599</v>
      </c>
      <c r="I136" s="1413" t="s">
        <v>645</v>
      </c>
    </row>
    <row r="137" spans="1:9" hidden="1" outlineLevel="1">
      <c r="A137" s="1414">
        <v>41429</v>
      </c>
      <c r="B137" s="1408" t="s">
        <v>480</v>
      </c>
      <c r="C137" s="1409">
        <v>62</v>
      </c>
      <c r="D137" s="1410">
        <v>4960</v>
      </c>
      <c r="E137" s="1411">
        <v>5292.02</v>
      </c>
      <c r="F137" s="1421">
        <f t="shared" si="5"/>
        <v>-332.02000000000044</v>
      </c>
      <c r="G137" s="1422">
        <f t="shared" si="3"/>
        <v>-6.2739747771172527E-2</v>
      </c>
      <c r="H137" s="1413" t="s">
        <v>646</v>
      </c>
      <c r="I137" s="1413"/>
    </row>
    <row r="138" spans="1:9" hidden="1" outlineLevel="1">
      <c r="A138" s="1414">
        <v>41431</v>
      </c>
      <c r="B138" s="1408" t="s">
        <v>321</v>
      </c>
      <c r="C138" s="1409">
        <v>3</v>
      </c>
      <c r="D138" s="1410">
        <v>150</v>
      </c>
      <c r="E138" s="1411">
        <v>136.03</v>
      </c>
      <c r="F138" s="1421">
        <f t="shared" si="5"/>
        <v>13.969999999999999</v>
      </c>
      <c r="G138" s="1422">
        <f t="shared" si="3"/>
        <v>0.10269793427920311</v>
      </c>
      <c r="H138" s="1413" t="s">
        <v>590</v>
      </c>
      <c r="I138" s="1413"/>
    </row>
    <row r="139" spans="1:9" hidden="1" outlineLevel="1">
      <c r="A139" s="1414">
        <v>41431</v>
      </c>
      <c r="B139" s="1408" t="s">
        <v>592</v>
      </c>
      <c r="C139" s="1409">
        <v>20526</v>
      </c>
      <c r="D139" s="1410">
        <v>1269582.57</v>
      </c>
      <c r="E139" s="1411">
        <v>1096494.21</v>
      </c>
      <c r="F139" s="1421">
        <f t="shared" si="5"/>
        <v>173088.3600000001</v>
      </c>
      <c r="G139" s="1422">
        <f t="shared" si="3"/>
        <v>0.15785615502702938</v>
      </c>
      <c r="H139" s="1413" t="s">
        <v>599</v>
      </c>
      <c r="I139" s="1413" t="s">
        <v>647</v>
      </c>
    </row>
    <row r="140" spans="1:9" hidden="1" outlineLevel="1">
      <c r="A140" s="1414">
        <v>41434</v>
      </c>
      <c r="B140" s="1408" t="s">
        <v>321</v>
      </c>
      <c r="C140" s="1409">
        <v>4.4000000000000004</v>
      </c>
      <c r="D140" s="1410">
        <v>220</v>
      </c>
      <c r="E140" s="1411">
        <v>199.64</v>
      </c>
      <c r="F140" s="1421">
        <f t="shared" si="5"/>
        <v>20.360000000000014</v>
      </c>
      <c r="G140" s="1422">
        <f t="shared" si="3"/>
        <v>0.10198357042676826</v>
      </c>
      <c r="H140" s="1413" t="s">
        <v>590</v>
      </c>
      <c r="I140" s="1413"/>
    </row>
    <row r="141" spans="1:9" hidden="1" outlineLevel="1">
      <c r="A141" s="1414">
        <v>41435</v>
      </c>
      <c r="B141" s="1408" t="s">
        <v>592</v>
      </c>
      <c r="C141" s="1409">
        <v>20807</v>
      </c>
      <c r="D141" s="1410">
        <v>1297349.33</v>
      </c>
      <c r="E141" s="1411">
        <v>1089069.4099999999</v>
      </c>
      <c r="F141" s="1421">
        <f t="shared" si="5"/>
        <v>208279.92000000016</v>
      </c>
      <c r="G141" s="1422">
        <f t="shared" si="3"/>
        <v>0.1912457719292659</v>
      </c>
      <c r="H141" s="1413" t="s">
        <v>599</v>
      </c>
      <c r="I141" s="1413" t="s">
        <v>648</v>
      </c>
    </row>
    <row r="142" spans="1:9" hidden="1" outlineLevel="1">
      <c r="A142" s="1414">
        <v>41438</v>
      </c>
      <c r="B142" s="1408" t="s">
        <v>321</v>
      </c>
      <c r="C142" s="1409">
        <v>3</v>
      </c>
      <c r="D142" s="1410">
        <v>165</v>
      </c>
      <c r="E142" s="1411">
        <v>136.55000000000001</v>
      </c>
      <c r="F142" s="1421">
        <f t="shared" si="5"/>
        <v>28.449999999999989</v>
      </c>
      <c r="G142" s="1422">
        <f t="shared" si="3"/>
        <v>0.20834859025997793</v>
      </c>
      <c r="H142" s="1413" t="s">
        <v>590</v>
      </c>
      <c r="I142" s="1413"/>
    </row>
    <row r="143" spans="1:9" hidden="1" outlineLevel="1">
      <c r="A143" s="1414">
        <v>41438</v>
      </c>
      <c r="B143" s="1408" t="s">
        <v>592</v>
      </c>
      <c r="C143" s="1409">
        <v>20720</v>
      </c>
      <c r="D143" s="1410">
        <v>1294795.7</v>
      </c>
      <c r="E143" s="1411">
        <v>1069869.6200000001</v>
      </c>
      <c r="F143" s="1421">
        <f t="shared" si="5"/>
        <v>224926.07999999984</v>
      </c>
      <c r="G143" s="1422">
        <f t="shared" si="3"/>
        <v>0.21023690718500804</v>
      </c>
      <c r="H143" s="1413" t="s">
        <v>599</v>
      </c>
      <c r="I143" s="1413" t="s">
        <v>649</v>
      </c>
    </row>
    <row r="144" spans="1:9" hidden="1" outlineLevel="1">
      <c r="A144" s="1414">
        <v>41442</v>
      </c>
      <c r="B144" s="1408" t="s">
        <v>321</v>
      </c>
      <c r="C144" s="1409">
        <v>7</v>
      </c>
      <c r="D144" s="1410">
        <v>385</v>
      </c>
      <c r="E144" s="1411">
        <v>323.35000000000002</v>
      </c>
      <c r="F144" s="1421">
        <f t="shared" si="5"/>
        <v>61.649999999999977</v>
      </c>
      <c r="G144" s="1422">
        <f t="shared" si="3"/>
        <v>0.19066027524354406</v>
      </c>
      <c r="H144" s="1413" t="s">
        <v>590</v>
      </c>
      <c r="I144" s="1413"/>
    </row>
    <row r="145" spans="1:9" hidden="1" outlineLevel="1">
      <c r="A145" s="1414">
        <v>41442</v>
      </c>
      <c r="B145" s="1408" t="s">
        <v>592</v>
      </c>
      <c r="C145" s="1409">
        <v>20486</v>
      </c>
      <c r="D145" s="1410">
        <v>1256770.83</v>
      </c>
      <c r="E145" s="1411">
        <v>1022349.18</v>
      </c>
      <c r="F145" s="1421">
        <f t="shared" si="5"/>
        <v>234421.65000000002</v>
      </c>
      <c r="G145" s="1422">
        <f t="shared" si="3"/>
        <v>0.22929704897890171</v>
      </c>
      <c r="H145" s="1413" t="s">
        <v>599</v>
      </c>
      <c r="I145" s="1413" t="s">
        <v>650</v>
      </c>
    </row>
    <row r="146" spans="1:9" hidden="1" outlineLevel="1">
      <c r="A146" s="1414">
        <v>41444</v>
      </c>
      <c r="B146" s="1408" t="s">
        <v>592</v>
      </c>
      <c r="C146" s="1409">
        <v>20267</v>
      </c>
      <c r="D146" s="1410">
        <v>1260017.02</v>
      </c>
      <c r="E146" s="1411">
        <v>1064398.42</v>
      </c>
      <c r="F146" s="1421">
        <f t="shared" si="5"/>
        <v>195618.60000000009</v>
      </c>
      <c r="G146" s="1422">
        <f t="shared" si="3"/>
        <v>0.18378324913334623</v>
      </c>
      <c r="H146" s="1413" t="s">
        <v>599</v>
      </c>
      <c r="I146" s="1413" t="s">
        <v>651</v>
      </c>
    </row>
    <row r="147" spans="1:9" hidden="1" outlineLevel="1">
      <c r="A147" s="1414">
        <v>41444</v>
      </c>
      <c r="B147" s="1408" t="s">
        <v>596</v>
      </c>
      <c r="C147" s="1409">
        <v>2079</v>
      </c>
      <c r="D147" s="1410">
        <v>126819</v>
      </c>
      <c r="E147" s="1411">
        <v>106609.13</v>
      </c>
      <c r="F147" s="1421">
        <f t="shared" si="5"/>
        <v>20209.869999999995</v>
      </c>
      <c r="G147" s="1422">
        <f t="shared" si="3"/>
        <v>0.18956978637758318</v>
      </c>
      <c r="H147" s="1413" t="s">
        <v>587</v>
      </c>
      <c r="I147" s="1413"/>
    </row>
    <row r="148" spans="1:9" hidden="1" outlineLevel="1">
      <c r="A148" s="1414">
        <v>41446</v>
      </c>
      <c r="B148" s="1408" t="s">
        <v>592</v>
      </c>
      <c r="C148" s="1409">
        <v>20751</v>
      </c>
      <c r="D148" s="1410">
        <v>1323353.32</v>
      </c>
      <c r="E148" s="1411">
        <v>1037471.88</v>
      </c>
      <c r="F148" s="1421">
        <f t="shared" si="5"/>
        <v>285881.44000000006</v>
      </c>
      <c r="G148" s="1422">
        <f t="shared" si="3"/>
        <v>0.27555584446298442</v>
      </c>
      <c r="H148" s="1413" t="s">
        <v>599</v>
      </c>
      <c r="I148" s="1413" t="s">
        <v>652</v>
      </c>
    </row>
    <row r="149" spans="1:9" hidden="1" outlineLevel="1">
      <c r="A149" s="1414">
        <v>41447</v>
      </c>
      <c r="B149" s="1408" t="s">
        <v>489</v>
      </c>
      <c r="C149" s="1409">
        <v>21033</v>
      </c>
      <c r="D149" s="1410">
        <v>458519.5</v>
      </c>
      <c r="E149" s="1411">
        <v>29132.03</v>
      </c>
      <c r="F149" s="1421">
        <f t="shared" si="5"/>
        <v>429387.47</v>
      </c>
      <c r="G149" s="1422">
        <f t="shared" si="3"/>
        <v>14.739359735658654</v>
      </c>
      <c r="H149" s="1413" t="s">
        <v>591</v>
      </c>
      <c r="I149" s="1413"/>
    </row>
    <row r="150" spans="1:9" hidden="1" outlineLevel="1">
      <c r="A150" s="1414">
        <v>41449</v>
      </c>
      <c r="B150" s="1408" t="s">
        <v>592</v>
      </c>
      <c r="C150" s="1409">
        <v>20326</v>
      </c>
      <c r="D150" s="1410">
        <v>1297803.72</v>
      </c>
      <c r="E150" s="1411">
        <v>1076134.79</v>
      </c>
      <c r="F150" s="1421">
        <f t="shared" si="5"/>
        <v>221668.92999999993</v>
      </c>
      <c r="G150" s="1422">
        <f t="shared" si="3"/>
        <v>0.2059862129352773</v>
      </c>
      <c r="H150" s="1413" t="s">
        <v>599</v>
      </c>
      <c r="I150" s="1413" t="s">
        <v>653</v>
      </c>
    </row>
    <row r="151" spans="1:9" hidden="1" outlineLevel="1">
      <c r="A151" s="1414">
        <v>41449</v>
      </c>
      <c r="B151" s="1408" t="s">
        <v>592</v>
      </c>
      <c r="C151" s="1409">
        <v>20763</v>
      </c>
      <c r="D151" s="1410">
        <v>1325705.92</v>
      </c>
      <c r="E151" s="1411">
        <v>1107219.81</v>
      </c>
      <c r="F151" s="1421">
        <f t="shared" si="5"/>
        <v>218486.10999999987</v>
      </c>
      <c r="G151" s="1422">
        <f t="shared" si="3"/>
        <v>0.19732857742131607</v>
      </c>
      <c r="H151" s="1413" t="s">
        <v>599</v>
      </c>
      <c r="I151" s="1413" t="s">
        <v>654</v>
      </c>
    </row>
    <row r="152" spans="1:9" hidden="1" outlineLevel="1">
      <c r="A152" s="1414">
        <v>41450</v>
      </c>
      <c r="B152" s="1408" t="s">
        <v>592</v>
      </c>
      <c r="C152" s="1409">
        <v>20591</v>
      </c>
      <c r="D152" s="1410">
        <v>1313547.25</v>
      </c>
      <c r="E152" s="1411">
        <v>1093635.69</v>
      </c>
      <c r="F152" s="1421">
        <f t="shared" si="5"/>
        <v>219911.56000000006</v>
      </c>
      <c r="G152" s="1422">
        <f t="shared" si="3"/>
        <v>0.20108301330217201</v>
      </c>
      <c r="H152" s="1413" t="s">
        <v>599</v>
      </c>
      <c r="I152" s="1413" t="s">
        <v>655</v>
      </c>
    </row>
    <row r="153" spans="1:9" hidden="1" outlineLevel="1">
      <c r="A153" s="1414">
        <v>41450</v>
      </c>
      <c r="B153" s="1408" t="s">
        <v>592</v>
      </c>
      <c r="C153" s="1409">
        <v>20301</v>
      </c>
      <c r="D153" s="1410">
        <v>1295047.48</v>
      </c>
      <c r="E153" s="1411">
        <v>1067751.8799999999</v>
      </c>
      <c r="F153" s="1421">
        <f t="shared" si="5"/>
        <v>227295.60000000009</v>
      </c>
      <c r="G153" s="1422">
        <f t="shared" si="3"/>
        <v>0.21287305061921324</v>
      </c>
      <c r="H153" s="1413" t="s">
        <v>599</v>
      </c>
      <c r="I153" s="1413" t="s">
        <v>656</v>
      </c>
    </row>
    <row r="154" spans="1:9" hidden="1" outlineLevel="1">
      <c r="A154" s="1414">
        <v>41453</v>
      </c>
      <c r="B154" s="1408" t="s">
        <v>592</v>
      </c>
      <c r="C154" s="1409">
        <v>20878</v>
      </c>
      <c r="D154" s="1410">
        <v>1338475.43</v>
      </c>
      <c r="E154" s="1411">
        <v>1114549.31</v>
      </c>
      <c r="F154" s="1421">
        <f t="shared" si="5"/>
        <v>223926.11999999988</v>
      </c>
      <c r="G154" s="1422">
        <f t="shared" si="3"/>
        <v>0.20091181071208045</v>
      </c>
      <c r="H154" s="1413" t="s">
        <v>599</v>
      </c>
      <c r="I154" s="1413" t="s">
        <v>657</v>
      </c>
    </row>
    <row r="155" spans="1:9" hidden="1" outlineLevel="1">
      <c r="A155" s="1414">
        <v>41454</v>
      </c>
      <c r="B155" s="1408" t="s">
        <v>321</v>
      </c>
      <c r="C155" s="1409">
        <v>5.4</v>
      </c>
      <c r="D155" s="1410">
        <f>286+11</f>
        <v>297</v>
      </c>
      <c r="E155" s="1411">
        <f>251.76+9.68</f>
        <v>261.44</v>
      </c>
      <c r="F155" s="1421">
        <f t="shared" si="5"/>
        <v>35.56</v>
      </c>
      <c r="G155" s="1422">
        <f t="shared" si="3"/>
        <v>0.13601591187270504</v>
      </c>
      <c r="H155" s="1413" t="s">
        <v>590</v>
      </c>
      <c r="I155" s="1413"/>
    </row>
    <row r="156" spans="1:9" hidden="1" outlineLevel="1">
      <c r="A156" s="1414">
        <v>41454</v>
      </c>
      <c r="B156" s="1408" t="s">
        <v>321</v>
      </c>
      <c r="C156" s="1409">
        <v>799</v>
      </c>
      <c r="D156" s="1410">
        <v>38204.69</v>
      </c>
      <c r="E156" s="1411">
        <v>38204.69</v>
      </c>
      <c r="F156" s="1421">
        <f t="shared" si="5"/>
        <v>0</v>
      </c>
      <c r="G156" s="1422">
        <f t="shared" si="3"/>
        <v>0</v>
      </c>
      <c r="H156" s="1413" t="s">
        <v>587</v>
      </c>
      <c r="I156" s="1413"/>
    </row>
    <row r="157" spans="1:9" hidden="1" outlineLevel="1">
      <c r="A157" s="1414">
        <v>41454</v>
      </c>
      <c r="B157" s="1408" t="s">
        <v>588</v>
      </c>
      <c r="C157" s="1409">
        <v>429</v>
      </c>
      <c r="D157" s="1410">
        <v>18936.419999999998</v>
      </c>
      <c r="E157" s="1411">
        <v>18936.419999999998</v>
      </c>
      <c r="F157" s="1421">
        <f t="shared" si="5"/>
        <v>0</v>
      </c>
      <c r="G157" s="1422">
        <f t="shared" si="3"/>
        <v>0</v>
      </c>
      <c r="H157" s="1413" t="s">
        <v>587</v>
      </c>
      <c r="I157" s="1413"/>
    </row>
    <row r="158" spans="1:9" hidden="1" outlineLevel="1">
      <c r="A158" s="1414">
        <v>41454</v>
      </c>
      <c r="B158" s="1408" t="s">
        <v>589</v>
      </c>
      <c r="C158" s="1409">
        <v>55</v>
      </c>
      <c r="D158" s="1410">
        <v>2384.9299999999998</v>
      </c>
      <c r="E158" s="1411">
        <v>2384.9299999999998</v>
      </c>
      <c r="F158" s="1421">
        <f t="shared" si="5"/>
        <v>0</v>
      </c>
      <c r="G158" s="1422">
        <f t="shared" si="3"/>
        <v>0</v>
      </c>
      <c r="H158" s="1413" t="s">
        <v>587</v>
      </c>
      <c r="I158" s="1413"/>
    </row>
    <row r="159" spans="1:9" hidden="1" outlineLevel="1">
      <c r="A159" s="1414">
        <v>41455</v>
      </c>
      <c r="B159" s="1408" t="s">
        <v>321</v>
      </c>
      <c r="C159" s="1409">
        <f>10.1+2.4+1+11.2+1.4+2.2</f>
        <v>28.299999999999997</v>
      </c>
      <c r="D159" s="1410">
        <f>555.5+132+55+616+77+121</f>
        <v>1556.5</v>
      </c>
      <c r="E159" s="1411">
        <f>489.03+116.21+48.42+542.29+67.79+106.52</f>
        <v>1370.2599999999998</v>
      </c>
      <c r="F159" s="1421">
        <f t="shared" si="5"/>
        <v>186.24000000000024</v>
      </c>
      <c r="G159" s="1422">
        <f t="shared" si="3"/>
        <v>0.13591581159779914</v>
      </c>
      <c r="H159" s="1413" t="s">
        <v>590</v>
      </c>
      <c r="I159" s="1413"/>
    </row>
    <row r="160" spans="1:9" hidden="1" outlineLevel="1">
      <c r="A160" s="1414">
        <v>41455</v>
      </c>
      <c r="B160" s="1408" t="s">
        <v>592</v>
      </c>
      <c r="C160" s="1409">
        <v>20944</v>
      </c>
      <c r="D160" s="1410">
        <v>1335861.73</v>
      </c>
      <c r="E160" s="1411">
        <v>1160612.3999999999</v>
      </c>
      <c r="F160" s="1421">
        <f t="shared" si="5"/>
        <v>175249.33000000007</v>
      </c>
      <c r="G160" s="1422">
        <f t="shared" ref="G160:G223" si="6">F160/E160</f>
        <v>0.15099729246387519</v>
      </c>
      <c r="H160" s="1413" t="s">
        <v>599</v>
      </c>
      <c r="I160" s="1413" t="s">
        <v>658</v>
      </c>
    </row>
    <row r="161" spans="1:9" hidden="1" outlineLevel="1">
      <c r="A161" s="1414">
        <v>41455</v>
      </c>
      <c r="B161" s="1408" t="s">
        <v>592</v>
      </c>
      <c r="C161" s="1409">
        <v>20501</v>
      </c>
      <c r="D161" s="1410">
        <v>1307606.06</v>
      </c>
      <c r="E161" s="1411">
        <v>1142375.81</v>
      </c>
      <c r="F161" s="1421">
        <f t="shared" si="5"/>
        <v>165230.25</v>
      </c>
      <c r="G161" s="1422">
        <f t="shared" si="6"/>
        <v>0.14463738513510715</v>
      </c>
      <c r="H161" s="1413" t="s">
        <v>599</v>
      </c>
      <c r="I161" s="1413" t="s">
        <v>659</v>
      </c>
    </row>
    <row r="162" spans="1:9">
      <c r="A162" s="1415" t="s">
        <v>6</v>
      </c>
      <c r="B162" s="1416"/>
      <c r="C162" s="1417">
        <f>SUM(C163:C204)</f>
        <v>377956.2</v>
      </c>
      <c r="D162" s="1418">
        <f>SUM(D163:D204)</f>
        <v>23758381.710000001</v>
      </c>
      <c r="E162" s="1419">
        <f>SUM(E163:E204)</f>
        <v>19669487.900000006</v>
      </c>
      <c r="F162" s="1419">
        <f>SUM(F163:F204)</f>
        <v>4088893.8099999996</v>
      </c>
      <c r="G162" s="1420">
        <f t="shared" si="6"/>
        <v>0.20788003382640166</v>
      </c>
      <c r="H162" s="1423"/>
      <c r="I162" s="1423"/>
    </row>
    <row r="163" spans="1:9" hidden="1" outlineLevel="1">
      <c r="A163" s="1414">
        <v>41456</v>
      </c>
      <c r="B163" s="1408" t="s">
        <v>321</v>
      </c>
      <c r="C163" s="1424">
        <v>2.2000000000000002</v>
      </c>
      <c r="D163" s="1410">
        <v>121</v>
      </c>
      <c r="E163" s="1411">
        <v>106.74</v>
      </c>
      <c r="F163" s="1421">
        <f t="shared" ref="F163:F204" si="7">D163-E163</f>
        <v>14.260000000000005</v>
      </c>
      <c r="G163" s="1422">
        <f t="shared" si="6"/>
        <v>0.1335956529885704</v>
      </c>
      <c r="H163" s="1413" t="s">
        <v>590</v>
      </c>
      <c r="I163" s="1413"/>
    </row>
    <row r="164" spans="1:9" hidden="1" outlineLevel="1">
      <c r="A164" s="1414">
        <v>41458</v>
      </c>
      <c r="B164" s="1408" t="s">
        <v>321</v>
      </c>
      <c r="C164" s="1424">
        <v>7.2</v>
      </c>
      <c r="D164" s="1410">
        <v>396</v>
      </c>
      <c r="E164" s="1411">
        <v>348.56</v>
      </c>
      <c r="F164" s="1421">
        <f t="shared" si="7"/>
        <v>47.44</v>
      </c>
      <c r="G164" s="1422">
        <f t="shared" si="6"/>
        <v>0.13610282304337845</v>
      </c>
      <c r="H164" s="1413" t="s">
        <v>590</v>
      </c>
      <c r="I164" s="1413"/>
    </row>
    <row r="165" spans="1:9" hidden="1" outlineLevel="1">
      <c r="A165" s="1414">
        <v>41459</v>
      </c>
      <c r="B165" s="1408" t="s">
        <v>592</v>
      </c>
      <c r="C165" s="1409">
        <v>20536</v>
      </c>
      <c r="D165" s="1410">
        <v>1372614.95</v>
      </c>
      <c r="E165" s="1411">
        <v>1117378.07</v>
      </c>
      <c r="F165" s="1421">
        <f t="shared" si="7"/>
        <v>255236.87999999989</v>
      </c>
      <c r="G165" s="1422">
        <f t="shared" si="6"/>
        <v>0.22842481596224623</v>
      </c>
      <c r="H165" s="1413" t="s">
        <v>599</v>
      </c>
      <c r="I165" s="1413" t="s">
        <v>660</v>
      </c>
    </row>
    <row r="166" spans="1:9" hidden="1" outlineLevel="1">
      <c r="A166" s="1414">
        <v>41459</v>
      </c>
      <c r="B166" s="1408" t="s">
        <v>592</v>
      </c>
      <c r="C166" s="1409">
        <v>20634</v>
      </c>
      <c r="D166" s="1410">
        <v>1379165.21</v>
      </c>
      <c r="E166" s="1411">
        <v>1102762.3999999999</v>
      </c>
      <c r="F166" s="1421">
        <f t="shared" si="7"/>
        <v>276402.81000000006</v>
      </c>
      <c r="G166" s="1422">
        <f t="shared" si="6"/>
        <v>0.25064584175158683</v>
      </c>
      <c r="H166" s="1413" t="s">
        <v>599</v>
      </c>
      <c r="I166" s="1413" t="s">
        <v>661</v>
      </c>
    </row>
    <row r="167" spans="1:9" hidden="1" outlineLevel="1">
      <c r="A167" s="1414">
        <v>41460</v>
      </c>
      <c r="B167" s="1408" t="s">
        <v>321</v>
      </c>
      <c r="C167" s="1424">
        <v>0.60000000000000009</v>
      </c>
      <c r="D167" s="1410">
        <v>33</v>
      </c>
      <c r="E167" s="1411">
        <f>19.32+9.66</f>
        <v>28.98</v>
      </c>
      <c r="F167" s="1421">
        <f t="shared" si="7"/>
        <v>4.0199999999999996</v>
      </c>
      <c r="G167" s="1422">
        <f t="shared" si="6"/>
        <v>0.13871635610766045</v>
      </c>
      <c r="H167" s="1413" t="s">
        <v>590</v>
      </c>
      <c r="I167" s="1413"/>
    </row>
    <row r="168" spans="1:9" hidden="1" outlineLevel="1">
      <c r="A168" s="1414">
        <v>41460</v>
      </c>
      <c r="B168" s="1408" t="s">
        <v>586</v>
      </c>
      <c r="C168" s="1424">
        <v>418</v>
      </c>
      <c r="D168" s="1410">
        <v>20252.650000000001</v>
      </c>
      <c r="E168" s="1411">
        <v>20232.13</v>
      </c>
      <c r="F168" s="1421">
        <f t="shared" si="7"/>
        <v>20.520000000000437</v>
      </c>
      <c r="G168" s="1422">
        <f t="shared" si="6"/>
        <v>1.0142283585564365E-3</v>
      </c>
      <c r="H168" s="1413" t="s">
        <v>587</v>
      </c>
      <c r="I168" s="1413"/>
    </row>
    <row r="169" spans="1:9" hidden="1" outlineLevel="1">
      <c r="A169" s="1414">
        <v>41460</v>
      </c>
      <c r="B169" s="1408" t="s">
        <v>481</v>
      </c>
      <c r="C169" s="1424">
        <v>177</v>
      </c>
      <c r="D169" s="1410">
        <v>8576.26</v>
      </c>
      <c r="E169" s="1411">
        <v>8567.19</v>
      </c>
      <c r="F169" s="1421">
        <f t="shared" si="7"/>
        <v>9.069999999999709</v>
      </c>
      <c r="G169" s="1422">
        <f t="shared" si="6"/>
        <v>1.0586901889650759E-3</v>
      </c>
      <c r="H169" s="1413" t="s">
        <v>587</v>
      </c>
      <c r="I169" s="1413"/>
    </row>
    <row r="170" spans="1:9" hidden="1" outlineLevel="1">
      <c r="A170" s="1414">
        <v>41461</v>
      </c>
      <c r="B170" s="1408" t="s">
        <v>321</v>
      </c>
      <c r="C170" s="1424">
        <v>3</v>
      </c>
      <c r="D170" s="1410">
        <v>165</v>
      </c>
      <c r="E170" s="1411">
        <v>144.86000000000001</v>
      </c>
      <c r="F170" s="1421">
        <f t="shared" si="7"/>
        <v>20.139999999999986</v>
      </c>
      <c r="G170" s="1422">
        <f t="shared" si="6"/>
        <v>0.13903078834736976</v>
      </c>
      <c r="H170" s="1413" t="s">
        <v>590</v>
      </c>
      <c r="I170" s="1413"/>
    </row>
    <row r="171" spans="1:9" hidden="1" outlineLevel="1">
      <c r="A171" s="1414">
        <v>41462</v>
      </c>
      <c r="B171" s="1408" t="s">
        <v>321</v>
      </c>
      <c r="C171" s="1424">
        <v>8.8000000000000007</v>
      </c>
      <c r="D171" s="1410">
        <v>484</v>
      </c>
      <c r="E171" s="1411">
        <v>424.43</v>
      </c>
      <c r="F171" s="1421">
        <f t="shared" si="7"/>
        <v>59.569999999999993</v>
      </c>
      <c r="G171" s="1422">
        <f t="shared" si="6"/>
        <v>0.14035294394835424</v>
      </c>
      <c r="H171" s="1413" t="s">
        <v>590</v>
      </c>
      <c r="I171" s="1413"/>
    </row>
    <row r="172" spans="1:9" hidden="1" outlineLevel="1">
      <c r="A172" s="1414">
        <v>41462</v>
      </c>
      <c r="B172" s="1408" t="s">
        <v>592</v>
      </c>
      <c r="C172" s="1409">
        <v>20924</v>
      </c>
      <c r="D172" s="1410">
        <v>1398725.46</v>
      </c>
      <c r="E172" s="1411">
        <v>1102762.3999999999</v>
      </c>
      <c r="F172" s="1421">
        <f t="shared" si="7"/>
        <v>295963.06000000006</v>
      </c>
      <c r="G172" s="1422">
        <f t="shared" si="6"/>
        <v>0.26838334350173715</v>
      </c>
      <c r="H172" s="1413" t="s">
        <v>599</v>
      </c>
      <c r="I172" s="1413" t="s">
        <v>662</v>
      </c>
    </row>
    <row r="173" spans="1:9" hidden="1" outlineLevel="1">
      <c r="A173" s="1414">
        <v>41463</v>
      </c>
      <c r="B173" s="1408" t="s">
        <v>321</v>
      </c>
      <c r="C173" s="1424">
        <v>15</v>
      </c>
      <c r="D173" s="1410">
        <v>825</v>
      </c>
      <c r="E173" s="1411">
        <v>723.24</v>
      </c>
      <c r="F173" s="1421">
        <f t="shared" si="7"/>
        <v>101.75999999999999</v>
      </c>
      <c r="G173" s="1422">
        <f t="shared" si="6"/>
        <v>0.14070018251202918</v>
      </c>
      <c r="H173" s="1413" t="s">
        <v>590</v>
      </c>
      <c r="I173" s="1413"/>
    </row>
    <row r="174" spans="1:9" hidden="1" outlineLevel="1">
      <c r="A174" s="1414">
        <v>41463</v>
      </c>
      <c r="B174" s="1408" t="s">
        <v>592</v>
      </c>
      <c r="C174" s="1409">
        <v>20466</v>
      </c>
      <c r="D174" s="1410">
        <v>1368109.12</v>
      </c>
      <c r="E174" s="1411">
        <v>1099103.42</v>
      </c>
      <c r="F174" s="1421">
        <f t="shared" si="7"/>
        <v>269005.70000000019</v>
      </c>
      <c r="G174" s="1422">
        <f t="shared" si="6"/>
        <v>0.24475012551594116</v>
      </c>
      <c r="H174" s="1413" t="s">
        <v>599</v>
      </c>
      <c r="I174" s="1413" t="s">
        <v>663</v>
      </c>
    </row>
    <row r="175" spans="1:9" hidden="1" outlineLevel="1">
      <c r="A175" s="1414">
        <v>41464</v>
      </c>
      <c r="B175" s="1408" t="s">
        <v>592</v>
      </c>
      <c r="C175" s="1409">
        <v>20379</v>
      </c>
      <c r="D175" s="1410">
        <v>1366245.86</v>
      </c>
      <c r="E175" s="1411">
        <v>1098851.28</v>
      </c>
      <c r="F175" s="1421">
        <f t="shared" si="7"/>
        <v>267394.58000000007</v>
      </c>
      <c r="G175" s="1422">
        <f t="shared" si="6"/>
        <v>0.24334009967208672</v>
      </c>
      <c r="H175" s="1413" t="s">
        <v>599</v>
      </c>
      <c r="I175" s="1413" t="s">
        <v>664</v>
      </c>
    </row>
    <row r="176" spans="1:9" hidden="1" outlineLevel="1">
      <c r="A176" s="1414">
        <v>41465</v>
      </c>
      <c r="B176" s="1408" t="s">
        <v>321</v>
      </c>
      <c r="C176" s="1424">
        <f>1225+1269</f>
        <v>2494</v>
      </c>
      <c r="D176" s="1410">
        <f>55125+57105</f>
        <v>112230</v>
      </c>
      <c r="E176" s="1411">
        <f>58967.19+61085.27</f>
        <v>120052.45999999999</v>
      </c>
      <c r="F176" s="1421">
        <f t="shared" si="7"/>
        <v>-7822.4599999999919</v>
      </c>
      <c r="G176" s="1422">
        <f t="shared" si="6"/>
        <v>-6.5158681463086995E-2</v>
      </c>
      <c r="H176" s="1413" t="s">
        <v>646</v>
      </c>
      <c r="I176" s="1413" t="s">
        <v>665</v>
      </c>
    </row>
    <row r="177" spans="1:9" hidden="1" outlineLevel="1">
      <c r="A177" s="1414">
        <v>41465</v>
      </c>
      <c r="B177" s="1408" t="s">
        <v>321</v>
      </c>
      <c r="C177" s="1424">
        <v>44</v>
      </c>
      <c r="D177" s="1410">
        <v>2119.41</v>
      </c>
      <c r="E177" s="1411">
        <v>2118.0100000000002</v>
      </c>
      <c r="F177" s="1421">
        <f t="shared" si="7"/>
        <v>1.3999999999996362</v>
      </c>
      <c r="G177" s="1422">
        <f t="shared" si="6"/>
        <v>6.6099782342842384E-4</v>
      </c>
      <c r="H177" s="1413" t="s">
        <v>587</v>
      </c>
      <c r="I177" s="1413" t="s">
        <v>666</v>
      </c>
    </row>
    <row r="178" spans="1:9" hidden="1" outlineLevel="1">
      <c r="A178" s="1414">
        <v>41465</v>
      </c>
      <c r="B178" s="1408" t="s">
        <v>589</v>
      </c>
      <c r="C178" s="1424">
        <v>107</v>
      </c>
      <c r="D178" s="1410">
        <v>4598.05</v>
      </c>
      <c r="E178" s="1411">
        <v>4597.9399999999996</v>
      </c>
      <c r="F178" s="1421">
        <f t="shared" si="7"/>
        <v>0.11000000000058208</v>
      </c>
      <c r="G178" s="1422">
        <f t="shared" si="6"/>
        <v>2.3923757160942093E-5</v>
      </c>
      <c r="H178" s="1413" t="s">
        <v>587</v>
      </c>
      <c r="I178" s="1413" t="s">
        <v>666</v>
      </c>
    </row>
    <row r="179" spans="1:9" hidden="1" outlineLevel="1">
      <c r="A179" s="1414">
        <v>41465</v>
      </c>
      <c r="B179" s="1408" t="s">
        <v>592</v>
      </c>
      <c r="C179" s="1409">
        <v>20979</v>
      </c>
      <c r="D179" s="1410">
        <v>1396475.74</v>
      </c>
      <c r="E179" s="1411">
        <v>1164618.51</v>
      </c>
      <c r="F179" s="1421">
        <f t="shared" si="7"/>
        <v>231857.22999999998</v>
      </c>
      <c r="G179" s="1422">
        <f t="shared" si="6"/>
        <v>0.19908427352747465</v>
      </c>
      <c r="H179" s="1413" t="s">
        <v>599</v>
      </c>
      <c r="I179" s="1413" t="s">
        <v>667</v>
      </c>
    </row>
    <row r="180" spans="1:9" hidden="1" outlineLevel="1">
      <c r="A180" s="1414">
        <v>41466</v>
      </c>
      <c r="B180" s="1408" t="s">
        <v>321</v>
      </c>
      <c r="C180" s="1424">
        <v>0.4</v>
      </c>
      <c r="D180" s="1410">
        <v>22</v>
      </c>
      <c r="E180" s="1411">
        <v>19.2</v>
      </c>
      <c r="F180" s="1421">
        <f t="shared" si="7"/>
        <v>2.8000000000000007</v>
      </c>
      <c r="G180" s="1422">
        <f t="shared" si="6"/>
        <v>0.14583333333333337</v>
      </c>
      <c r="H180" s="1413" t="s">
        <v>590</v>
      </c>
      <c r="I180" s="1413"/>
    </row>
    <row r="181" spans="1:9" hidden="1" outlineLevel="1">
      <c r="A181" s="1414">
        <v>41466</v>
      </c>
      <c r="B181" s="1408" t="s">
        <v>321</v>
      </c>
      <c r="C181" s="1424">
        <v>855</v>
      </c>
      <c r="D181" s="1410">
        <v>38470</v>
      </c>
      <c r="E181" s="1411">
        <v>41097.879999999997</v>
      </c>
      <c r="F181" s="1421">
        <f t="shared" si="7"/>
        <v>-2627.8799999999974</v>
      </c>
      <c r="G181" s="1422">
        <f t="shared" si="6"/>
        <v>-6.3941984355397344E-2</v>
      </c>
      <c r="H181" s="1413" t="s">
        <v>646</v>
      </c>
      <c r="I181" s="1413" t="s">
        <v>665</v>
      </c>
    </row>
    <row r="182" spans="1:9" hidden="1" outlineLevel="1">
      <c r="A182" s="1414">
        <v>41466</v>
      </c>
      <c r="B182" s="1408" t="s">
        <v>592</v>
      </c>
      <c r="C182" s="1409">
        <v>20339</v>
      </c>
      <c r="D182" s="1410">
        <v>1346798.55</v>
      </c>
      <c r="E182" s="1411">
        <v>1142671.75</v>
      </c>
      <c r="F182" s="1421">
        <f t="shared" si="7"/>
        <v>204126.80000000005</v>
      </c>
      <c r="G182" s="1422">
        <f t="shared" si="6"/>
        <v>0.17863992874594128</v>
      </c>
      <c r="H182" s="1413" t="s">
        <v>599</v>
      </c>
      <c r="I182" s="1413" t="s">
        <v>668</v>
      </c>
    </row>
    <row r="183" spans="1:9" hidden="1" outlineLevel="1">
      <c r="A183" s="1414">
        <v>41468</v>
      </c>
      <c r="B183" s="1408" t="s">
        <v>321</v>
      </c>
      <c r="C183" s="1424">
        <v>3.8</v>
      </c>
      <c r="D183" s="1410">
        <v>209</v>
      </c>
      <c r="E183" s="1411">
        <v>182.11</v>
      </c>
      <c r="F183" s="1421">
        <f t="shared" si="7"/>
        <v>26.889999999999986</v>
      </c>
      <c r="G183" s="1422">
        <f t="shared" si="6"/>
        <v>0.14765800889572228</v>
      </c>
      <c r="H183" s="1413" t="s">
        <v>590</v>
      </c>
      <c r="I183" s="1413"/>
    </row>
    <row r="184" spans="1:9" hidden="1" outlineLevel="1">
      <c r="A184" s="1414">
        <v>41469</v>
      </c>
      <c r="B184" s="1408" t="s">
        <v>321</v>
      </c>
      <c r="C184" s="1424">
        <v>3</v>
      </c>
      <c r="D184" s="1410">
        <v>165</v>
      </c>
      <c r="E184" s="1411">
        <v>143.77000000000001</v>
      </c>
      <c r="F184" s="1421">
        <f t="shared" si="7"/>
        <v>21.22999999999999</v>
      </c>
      <c r="G184" s="1422">
        <f t="shared" si="6"/>
        <v>0.14766641162968622</v>
      </c>
      <c r="H184" s="1413" t="s">
        <v>590</v>
      </c>
      <c r="I184" s="1413"/>
    </row>
    <row r="185" spans="1:9" hidden="1" outlineLevel="1">
      <c r="A185" s="1414">
        <v>41470</v>
      </c>
      <c r="B185" s="1408" t="s">
        <v>592</v>
      </c>
      <c r="C185" s="1409">
        <v>20818</v>
      </c>
      <c r="D185" s="1410">
        <v>1367274.61</v>
      </c>
      <c r="E185" s="1411">
        <v>1167132.6399999999</v>
      </c>
      <c r="F185" s="1421">
        <f t="shared" si="7"/>
        <v>200141.9700000002</v>
      </c>
      <c r="G185" s="1422">
        <f t="shared" si="6"/>
        <v>0.17148176920148531</v>
      </c>
      <c r="H185" s="1413" t="s">
        <v>599</v>
      </c>
      <c r="I185" s="1413" t="s">
        <v>669</v>
      </c>
    </row>
    <row r="186" spans="1:9" hidden="1" outlineLevel="1">
      <c r="A186" s="1414">
        <v>41471</v>
      </c>
      <c r="B186" s="1408" t="s">
        <v>592</v>
      </c>
      <c r="C186" s="1409">
        <v>20347</v>
      </c>
      <c r="D186" s="1410">
        <v>1322209.51</v>
      </c>
      <c r="E186" s="1411">
        <v>1149015.83</v>
      </c>
      <c r="F186" s="1421">
        <f t="shared" si="7"/>
        <v>173193.67999999993</v>
      </c>
      <c r="G186" s="1422">
        <f t="shared" si="6"/>
        <v>0.15073219661386209</v>
      </c>
      <c r="H186" s="1413" t="s">
        <v>599</v>
      </c>
      <c r="I186" s="1413" t="s">
        <v>670</v>
      </c>
    </row>
    <row r="187" spans="1:9" hidden="1" outlineLevel="1">
      <c r="A187" s="1414">
        <v>41472</v>
      </c>
      <c r="B187" s="1408" t="s">
        <v>592</v>
      </c>
      <c r="C187" s="1409">
        <v>20696</v>
      </c>
      <c r="D187" s="1410">
        <v>1341578.26</v>
      </c>
      <c r="E187" s="1411">
        <v>1160111.6399999999</v>
      </c>
      <c r="F187" s="1421">
        <f t="shared" si="7"/>
        <v>181466.62000000011</v>
      </c>
      <c r="G187" s="1422">
        <f t="shared" si="6"/>
        <v>0.15642168714038601</v>
      </c>
      <c r="H187" s="1413" t="s">
        <v>599</v>
      </c>
      <c r="I187" s="1413" t="s">
        <v>671</v>
      </c>
    </row>
    <row r="188" spans="1:9" hidden="1" outlineLevel="1">
      <c r="A188" s="1414">
        <v>41473</v>
      </c>
      <c r="B188" s="1408" t="s">
        <v>321</v>
      </c>
      <c r="C188" s="1424">
        <v>1.8</v>
      </c>
      <c r="D188" s="1410">
        <v>99</v>
      </c>
      <c r="E188" s="1411">
        <v>86.81</v>
      </c>
      <c r="F188" s="1421">
        <f t="shared" si="7"/>
        <v>12.189999999999998</v>
      </c>
      <c r="G188" s="1422">
        <f t="shared" si="6"/>
        <v>0.14042161041354681</v>
      </c>
      <c r="H188" s="1413" t="s">
        <v>590</v>
      </c>
      <c r="I188" s="1413"/>
    </row>
    <row r="189" spans="1:9" hidden="1" outlineLevel="1">
      <c r="A189" s="1414">
        <v>41474</v>
      </c>
      <c r="B189" s="1408" t="s">
        <v>321</v>
      </c>
      <c r="C189" s="1424">
        <f>5.4+0.8</f>
        <v>6.2</v>
      </c>
      <c r="D189" s="1410">
        <f>297+44</f>
        <v>341</v>
      </c>
      <c r="E189" s="1411">
        <f>260.44+38.58</f>
        <v>299.02</v>
      </c>
      <c r="F189" s="1421">
        <f t="shared" si="7"/>
        <v>41.980000000000018</v>
      </c>
      <c r="G189" s="1422">
        <f t="shared" si="6"/>
        <v>0.14039194702695479</v>
      </c>
      <c r="H189" s="1413" t="s">
        <v>590</v>
      </c>
      <c r="I189" s="1413"/>
    </row>
    <row r="190" spans="1:9" hidden="1" outlineLevel="1">
      <c r="A190" s="1414">
        <v>41474</v>
      </c>
      <c r="B190" s="1408" t="s">
        <v>321</v>
      </c>
      <c r="C190" s="1424">
        <v>173</v>
      </c>
      <c r="D190" s="1410">
        <v>8340</v>
      </c>
      <c r="E190" s="1411">
        <v>8343.8799999999992</v>
      </c>
      <c r="F190" s="1421">
        <f t="shared" si="7"/>
        <v>-3.8799999999991996</v>
      </c>
      <c r="G190" s="1422">
        <f t="shared" si="6"/>
        <v>-4.6501148146895686E-4</v>
      </c>
      <c r="H190" s="1413" t="s">
        <v>587</v>
      </c>
      <c r="I190" s="1413" t="s">
        <v>666</v>
      </c>
    </row>
    <row r="191" spans="1:9" hidden="1" outlineLevel="1">
      <c r="A191" s="1414">
        <v>41474</v>
      </c>
      <c r="B191" s="1408" t="s">
        <v>588</v>
      </c>
      <c r="C191" s="1424">
        <v>595</v>
      </c>
      <c r="D191" s="1410">
        <v>27469.78</v>
      </c>
      <c r="E191" s="1411">
        <v>27473.5</v>
      </c>
      <c r="F191" s="1421">
        <f t="shared" si="7"/>
        <v>-3.7200000000011642</v>
      </c>
      <c r="G191" s="1422">
        <f t="shared" si="6"/>
        <v>-1.3540320672652425E-4</v>
      </c>
      <c r="H191" s="1413" t="s">
        <v>587</v>
      </c>
      <c r="I191" s="1413" t="s">
        <v>666</v>
      </c>
    </row>
    <row r="192" spans="1:9" hidden="1" outlineLevel="1">
      <c r="A192" s="1414">
        <v>41474</v>
      </c>
      <c r="B192" s="1408" t="s">
        <v>592</v>
      </c>
      <c r="C192" s="1409">
        <v>20485</v>
      </c>
      <c r="D192" s="1410">
        <v>1322110.0900000001</v>
      </c>
      <c r="E192" s="1411">
        <v>1126553.5</v>
      </c>
      <c r="F192" s="1421">
        <f t="shared" si="7"/>
        <v>195556.59000000008</v>
      </c>
      <c r="G192" s="1422">
        <f t="shared" si="6"/>
        <v>0.17358837374345745</v>
      </c>
      <c r="H192" s="1413" t="s">
        <v>599</v>
      </c>
      <c r="I192" s="1413" t="s">
        <v>672</v>
      </c>
    </row>
    <row r="193" spans="1:9" hidden="1" outlineLevel="1">
      <c r="A193" s="1414">
        <v>41474</v>
      </c>
      <c r="B193" s="1408" t="s">
        <v>489</v>
      </c>
      <c r="C193" s="1409">
        <v>21012</v>
      </c>
      <c r="D193" s="1410">
        <v>462264</v>
      </c>
      <c r="E193" s="1411">
        <v>68825.5</v>
      </c>
      <c r="F193" s="1421">
        <f t="shared" si="7"/>
        <v>393438.5</v>
      </c>
      <c r="G193" s="1422">
        <f t="shared" si="6"/>
        <v>5.716464101241546</v>
      </c>
      <c r="H193" s="1413" t="s">
        <v>591</v>
      </c>
      <c r="I193" s="1413"/>
    </row>
    <row r="194" spans="1:9" hidden="1" outlineLevel="1">
      <c r="A194" s="1414">
        <v>41475</v>
      </c>
      <c r="B194" s="1408" t="s">
        <v>321</v>
      </c>
      <c r="C194" s="1424">
        <v>2.4</v>
      </c>
      <c r="D194" s="1410">
        <v>132</v>
      </c>
      <c r="E194" s="1411">
        <v>115.67</v>
      </c>
      <c r="F194" s="1421">
        <f t="shared" si="7"/>
        <v>16.329999999999998</v>
      </c>
      <c r="G194" s="1422">
        <f t="shared" si="6"/>
        <v>0.14117748768047028</v>
      </c>
      <c r="H194" s="1413" t="s">
        <v>590</v>
      </c>
      <c r="I194" s="1413"/>
    </row>
    <row r="195" spans="1:9" hidden="1" outlineLevel="1">
      <c r="A195" s="1414">
        <v>41476</v>
      </c>
      <c r="B195" s="1408" t="s">
        <v>321</v>
      </c>
      <c r="C195" s="1424">
        <v>0.60000000000000009</v>
      </c>
      <c r="D195" s="1410">
        <v>33</v>
      </c>
      <c r="E195" s="1411">
        <v>28.92</v>
      </c>
      <c r="F195" s="1421">
        <f t="shared" si="7"/>
        <v>4.0799999999999983</v>
      </c>
      <c r="G195" s="1422">
        <f t="shared" si="6"/>
        <v>0.1410788381742738</v>
      </c>
      <c r="H195" s="1413" t="s">
        <v>590</v>
      </c>
      <c r="I195" s="1413"/>
    </row>
    <row r="196" spans="1:9" hidden="1" outlineLevel="1">
      <c r="A196" s="1414">
        <v>41477</v>
      </c>
      <c r="B196" s="1408" t="s">
        <v>592</v>
      </c>
      <c r="C196" s="1409">
        <v>20658</v>
      </c>
      <c r="D196" s="1410">
        <v>1334468.99</v>
      </c>
      <c r="E196" s="1411">
        <v>1141833.8999999999</v>
      </c>
      <c r="F196" s="1421">
        <f t="shared" si="7"/>
        <v>192635.09000000008</v>
      </c>
      <c r="G196" s="1422">
        <f t="shared" si="6"/>
        <v>0.16870675323267253</v>
      </c>
      <c r="H196" s="1413" t="s">
        <v>599</v>
      </c>
      <c r="I196" s="1413" t="s">
        <v>673</v>
      </c>
    </row>
    <row r="197" spans="1:9" hidden="1" outlineLevel="1">
      <c r="A197" s="1414">
        <v>41478</v>
      </c>
      <c r="B197" s="1408" t="s">
        <v>479</v>
      </c>
      <c r="C197" s="1424">
        <v>1468</v>
      </c>
      <c r="D197" s="1410">
        <v>70464</v>
      </c>
      <c r="E197" s="1411">
        <v>70275.490000000005</v>
      </c>
      <c r="F197" s="1421">
        <f t="shared" si="7"/>
        <v>188.50999999999476</v>
      </c>
      <c r="G197" s="1422">
        <f t="shared" si="6"/>
        <v>2.6824430537587822E-3</v>
      </c>
      <c r="H197" s="1413" t="s">
        <v>646</v>
      </c>
      <c r="I197" s="1413"/>
    </row>
    <row r="198" spans="1:9" hidden="1" outlineLevel="1">
      <c r="A198" s="1414">
        <v>41478</v>
      </c>
      <c r="B198" s="1408" t="s">
        <v>592</v>
      </c>
      <c r="C198" s="1409">
        <v>20573</v>
      </c>
      <c r="D198" s="1410">
        <v>1324666.8700000001</v>
      </c>
      <c r="E198" s="1411">
        <v>1129994.73</v>
      </c>
      <c r="F198" s="1421">
        <f t="shared" si="7"/>
        <v>194672.14000000013</v>
      </c>
      <c r="G198" s="1422">
        <f t="shared" si="6"/>
        <v>0.17227703353979371</v>
      </c>
      <c r="H198" s="1413" t="s">
        <v>599</v>
      </c>
      <c r="I198" s="1413" t="s">
        <v>674</v>
      </c>
    </row>
    <row r="199" spans="1:9" hidden="1" outlineLevel="1">
      <c r="A199" s="1414">
        <v>41479</v>
      </c>
      <c r="B199" s="1408" t="s">
        <v>592</v>
      </c>
      <c r="C199" s="1409">
        <v>20710</v>
      </c>
      <c r="D199" s="1410">
        <v>1332951.93</v>
      </c>
      <c r="E199" s="1411">
        <v>1156383.27</v>
      </c>
      <c r="F199" s="1421">
        <f t="shared" si="7"/>
        <v>176568.65999999992</v>
      </c>
      <c r="G199" s="1422">
        <f t="shared" si="6"/>
        <v>0.15269043108864755</v>
      </c>
      <c r="H199" s="1413" t="s">
        <v>599</v>
      </c>
      <c r="I199" s="1413" t="s">
        <v>675</v>
      </c>
    </row>
    <row r="200" spans="1:9" hidden="1" outlineLevel="1">
      <c r="A200" s="1414">
        <v>41480</v>
      </c>
      <c r="B200" s="1408" t="s">
        <v>321</v>
      </c>
      <c r="C200" s="1424">
        <v>2</v>
      </c>
      <c r="D200" s="1410">
        <v>110</v>
      </c>
      <c r="E200" s="1411">
        <v>96.39</v>
      </c>
      <c r="F200" s="1421">
        <f t="shared" si="7"/>
        <v>13.61</v>
      </c>
      <c r="G200" s="1422">
        <f t="shared" si="6"/>
        <v>0.14119721962859216</v>
      </c>
      <c r="H200" s="1413" t="s">
        <v>590</v>
      </c>
      <c r="I200" s="1413"/>
    </row>
    <row r="201" spans="1:9" hidden="1" outlineLevel="1">
      <c r="A201" s="1414">
        <v>41481</v>
      </c>
      <c r="B201" s="1408" t="s">
        <v>592</v>
      </c>
      <c r="C201" s="1409">
        <v>20327</v>
      </c>
      <c r="D201" s="1410">
        <v>1317492.47</v>
      </c>
      <c r="E201" s="1411">
        <v>1140332.3500000001</v>
      </c>
      <c r="F201" s="1421">
        <f t="shared" si="7"/>
        <v>177160.11999999988</v>
      </c>
      <c r="G201" s="1422">
        <f t="shared" si="6"/>
        <v>0.15535832163316235</v>
      </c>
      <c r="H201" s="1413" t="s">
        <v>599</v>
      </c>
      <c r="I201" s="1413" t="s">
        <v>676</v>
      </c>
    </row>
    <row r="202" spans="1:9" hidden="1" outlineLevel="1">
      <c r="A202" s="1414">
        <v>41484</v>
      </c>
      <c r="B202" s="1408" t="s">
        <v>321</v>
      </c>
      <c r="C202" s="1424">
        <f>2.8+1.4</f>
        <v>4.1999999999999993</v>
      </c>
      <c r="D202" s="1410">
        <f>154+77</f>
        <v>231</v>
      </c>
      <c r="E202" s="1411">
        <f>134.96+67.48</f>
        <v>202.44</v>
      </c>
      <c r="F202" s="1421">
        <f t="shared" si="7"/>
        <v>28.560000000000002</v>
      </c>
      <c r="G202" s="1422">
        <f t="shared" si="6"/>
        <v>0.14107883817427389</v>
      </c>
      <c r="H202" s="1413" t="s">
        <v>590</v>
      </c>
      <c r="I202" s="1413"/>
    </row>
    <row r="203" spans="1:9" hidden="1" outlineLevel="1">
      <c r="A203" s="1414">
        <v>41484</v>
      </c>
      <c r="B203" s="1408" t="s">
        <v>592</v>
      </c>
      <c r="C203" s="1409">
        <v>20698</v>
      </c>
      <c r="D203" s="1410">
        <v>1345641.14</v>
      </c>
      <c r="E203" s="1411">
        <v>1124457.9099999999</v>
      </c>
      <c r="F203" s="1421">
        <f t="shared" si="7"/>
        <v>221183.22999999998</v>
      </c>
      <c r="G203" s="1422">
        <f t="shared" si="6"/>
        <v>0.19670209799137792</v>
      </c>
      <c r="H203" s="1413" t="s">
        <v>599</v>
      </c>
      <c r="I203" s="1413" t="s">
        <v>677</v>
      </c>
    </row>
    <row r="204" spans="1:9" hidden="1" outlineLevel="1">
      <c r="A204" s="1414">
        <v>41485</v>
      </c>
      <c r="B204" s="1408" t="s">
        <v>592</v>
      </c>
      <c r="C204" s="1409">
        <v>20983</v>
      </c>
      <c r="D204" s="1410">
        <v>1363702.8</v>
      </c>
      <c r="E204" s="1411">
        <v>1170989.18</v>
      </c>
      <c r="F204" s="1421">
        <f t="shared" si="7"/>
        <v>192713.62000000011</v>
      </c>
      <c r="G204" s="1422">
        <f t="shared" si="6"/>
        <v>0.164573356689769</v>
      </c>
      <c r="H204" s="1413" t="s">
        <v>599</v>
      </c>
      <c r="I204" s="1413" t="s">
        <v>678</v>
      </c>
    </row>
    <row r="205" spans="1:9">
      <c r="A205" s="1415" t="s">
        <v>7</v>
      </c>
      <c r="B205" s="1416"/>
      <c r="C205" s="1417">
        <f>SUM(C206:C240)</f>
        <v>349555.4</v>
      </c>
      <c r="D205" s="1418">
        <f>SUM(D206:D240)</f>
        <v>21158902.93</v>
      </c>
      <c r="E205" s="1419">
        <f>SUM(E206:E240)</f>
        <v>17087565.169999998</v>
      </c>
      <c r="F205" s="1419">
        <f>SUM(F206:F240)</f>
        <v>4071337.76</v>
      </c>
      <c r="G205" s="1420">
        <f t="shared" si="6"/>
        <v>0.23826318843528954</v>
      </c>
      <c r="H205" s="1423"/>
      <c r="I205" s="1423"/>
    </row>
    <row r="206" spans="1:9" hidden="1" outlineLevel="1">
      <c r="A206" s="1414">
        <v>41487</v>
      </c>
      <c r="B206" s="1408" t="s">
        <v>321</v>
      </c>
      <c r="C206" s="1409">
        <v>201</v>
      </c>
      <c r="D206" s="1410">
        <v>9699.58</v>
      </c>
      <c r="E206" s="1411">
        <v>9698.7800000000007</v>
      </c>
      <c r="F206" s="1421">
        <f t="shared" ref="F206:F240" si="8">D206-E206</f>
        <v>0.7999999999992724</v>
      </c>
      <c r="G206" s="1422">
        <f t="shared" si="6"/>
        <v>8.2484601155946656E-5</v>
      </c>
      <c r="H206" s="1413" t="s">
        <v>587</v>
      </c>
      <c r="I206" s="1413"/>
    </row>
    <row r="207" spans="1:9" hidden="1" outlineLevel="1">
      <c r="A207" s="1414">
        <v>41488</v>
      </c>
      <c r="B207" s="1408" t="s">
        <v>592</v>
      </c>
      <c r="C207" s="1409">
        <v>20632</v>
      </c>
      <c r="D207" s="1410">
        <v>1344315.51</v>
      </c>
      <c r="E207" s="1411">
        <v>1153172.27</v>
      </c>
      <c r="F207" s="1421">
        <f t="shared" si="8"/>
        <v>191143.24</v>
      </c>
      <c r="G207" s="1422">
        <f t="shared" si="6"/>
        <v>0.1657542805811659</v>
      </c>
      <c r="H207" s="1413" t="s">
        <v>599</v>
      </c>
      <c r="I207" s="1413" t="s">
        <v>679</v>
      </c>
    </row>
    <row r="208" spans="1:9" hidden="1" outlineLevel="1">
      <c r="A208" s="1414">
        <v>41490</v>
      </c>
      <c r="B208" s="1408" t="s">
        <v>321</v>
      </c>
      <c r="C208" s="1409">
        <v>1.8</v>
      </c>
      <c r="D208" s="1410">
        <v>99</v>
      </c>
      <c r="E208" s="1411">
        <v>87.1</v>
      </c>
      <c r="F208" s="1421">
        <f t="shared" si="8"/>
        <v>11.900000000000006</v>
      </c>
      <c r="G208" s="1422">
        <f t="shared" si="6"/>
        <v>0.13662456946039042</v>
      </c>
      <c r="H208" s="1413" t="s">
        <v>590</v>
      </c>
      <c r="I208" s="1413"/>
    </row>
    <row r="209" spans="1:9" hidden="1" outlineLevel="1">
      <c r="A209" s="1414">
        <v>41491</v>
      </c>
      <c r="B209" s="1408" t="s">
        <v>479</v>
      </c>
      <c r="C209" s="1409">
        <v>7367</v>
      </c>
      <c r="D209" s="1410">
        <v>356460.71</v>
      </c>
      <c r="E209" s="1411">
        <v>356460.71</v>
      </c>
      <c r="F209" s="1421">
        <f t="shared" si="8"/>
        <v>0</v>
      </c>
      <c r="G209" s="1422">
        <f t="shared" si="6"/>
        <v>0</v>
      </c>
      <c r="H209" s="1413"/>
      <c r="I209" s="1413"/>
    </row>
    <row r="210" spans="1:9" hidden="1" outlineLevel="1">
      <c r="A210" s="1414">
        <v>41491</v>
      </c>
      <c r="B210" s="1408" t="s">
        <v>592</v>
      </c>
      <c r="C210" s="1409">
        <v>20973</v>
      </c>
      <c r="D210" s="1410">
        <v>1371660.42</v>
      </c>
      <c r="E210" s="1411">
        <v>1169858.3700000001</v>
      </c>
      <c r="F210" s="1421">
        <f t="shared" si="8"/>
        <v>201802.04999999981</v>
      </c>
      <c r="G210" s="1422">
        <f t="shared" si="6"/>
        <v>0.1725012661148031</v>
      </c>
      <c r="H210" s="1413" t="s">
        <v>599</v>
      </c>
      <c r="I210" s="1413" t="s">
        <v>680</v>
      </c>
    </row>
    <row r="211" spans="1:9" hidden="1" outlineLevel="1">
      <c r="A211" s="1414">
        <v>41492</v>
      </c>
      <c r="B211" s="1408" t="s">
        <v>592</v>
      </c>
      <c r="C211" s="1409">
        <v>20837</v>
      </c>
      <c r="D211" s="1410">
        <v>1356227.4</v>
      </c>
      <c r="E211" s="1411">
        <v>1157832.01</v>
      </c>
      <c r="F211" s="1421">
        <f t="shared" si="8"/>
        <v>198395.3899999999</v>
      </c>
      <c r="G211" s="1422">
        <f t="shared" si="6"/>
        <v>0.17135075579746659</v>
      </c>
      <c r="H211" s="1413" t="s">
        <v>599</v>
      </c>
      <c r="I211" s="1413" t="s">
        <v>681</v>
      </c>
    </row>
    <row r="212" spans="1:9" hidden="1" outlineLevel="1">
      <c r="A212" s="1414">
        <v>41495</v>
      </c>
      <c r="B212" s="1408" t="s">
        <v>592</v>
      </c>
      <c r="C212" s="1409">
        <v>20844</v>
      </c>
      <c r="D212" s="1410">
        <v>1378013.1</v>
      </c>
      <c r="E212" s="1411">
        <v>1170561.54</v>
      </c>
      <c r="F212" s="1421">
        <f t="shared" si="8"/>
        <v>207451.56000000006</v>
      </c>
      <c r="G212" s="1422">
        <f t="shared" si="6"/>
        <v>0.17722396722516617</v>
      </c>
      <c r="H212" s="1413" t="s">
        <v>599</v>
      </c>
      <c r="I212" s="1413" t="s">
        <v>682</v>
      </c>
    </row>
    <row r="213" spans="1:9" hidden="1" outlineLevel="1">
      <c r="A213" s="1414">
        <v>41495</v>
      </c>
      <c r="B213" s="1408" t="s">
        <v>489</v>
      </c>
      <c r="C213" s="1409">
        <v>24217</v>
      </c>
      <c r="D213" s="1410">
        <v>532774</v>
      </c>
      <c r="E213" s="1411">
        <v>0</v>
      </c>
      <c r="F213" s="1421">
        <f t="shared" si="8"/>
        <v>532774</v>
      </c>
      <c r="G213" s="1422" t="e">
        <f t="shared" si="6"/>
        <v>#DIV/0!</v>
      </c>
      <c r="H213" s="1413" t="s">
        <v>591</v>
      </c>
      <c r="I213" s="1413"/>
    </row>
    <row r="214" spans="1:9" hidden="1" outlineLevel="1">
      <c r="A214" s="1414">
        <v>41496</v>
      </c>
      <c r="B214" s="1408" t="s">
        <v>321</v>
      </c>
      <c r="C214" s="1409">
        <f>0.4+4</f>
        <v>4.4000000000000004</v>
      </c>
      <c r="D214" s="1410">
        <f>22+165+55</f>
        <v>242</v>
      </c>
      <c r="E214" s="1411">
        <f>19.41+145.6+48.53</f>
        <v>213.54</v>
      </c>
      <c r="F214" s="1421">
        <f t="shared" si="8"/>
        <v>28.460000000000008</v>
      </c>
      <c r="G214" s="1422">
        <f t="shared" si="6"/>
        <v>0.13327713777278266</v>
      </c>
      <c r="H214" s="1413" t="s">
        <v>590</v>
      </c>
      <c r="I214" s="1413"/>
    </row>
    <row r="215" spans="1:9" hidden="1" outlineLevel="1">
      <c r="A215" s="1414">
        <v>41496</v>
      </c>
      <c r="B215" s="1408" t="s">
        <v>592</v>
      </c>
      <c r="C215" s="1409">
        <v>20530</v>
      </c>
      <c r="D215" s="1410">
        <v>1353978.63</v>
      </c>
      <c r="E215" s="1411">
        <v>1149073.3899999999</v>
      </c>
      <c r="F215" s="1421">
        <f t="shared" si="8"/>
        <v>204905.24</v>
      </c>
      <c r="G215" s="1422">
        <f t="shared" si="6"/>
        <v>0.17832215225173739</v>
      </c>
      <c r="H215" s="1413" t="s">
        <v>599</v>
      </c>
      <c r="I215" s="1413" t="s">
        <v>683</v>
      </c>
    </row>
    <row r="216" spans="1:9" hidden="1" outlineLevel="1">
      <c r="A216" s="1414">
        <v>41497</v>
      </c>
      <c r="B216" s="1408" t="s">
        <v>321</v>
      </c>
      <c r="C216" s="1409">
        <v>2.6</v>
      </c>
      <c r="D216" s="1410">
        <v>143</v>
      </c>
      <c r="E216" s="1411">
        <v>126.54</v>
      </c>
      <c r="F216" s="1421">
        <f t="shared" si="8"/>
        <v>16.459999999999994</v>
      </c>
      <c r="G216" s="1422">
        <f t="shared" si="6"/>
        <v>0.13007744586691949</v>
      </c>
      <c r="H216" s="1413" t="s">
        <v>590</v>
      </c>
      <c r="I216" s="1413"/>
    </row>
    <row r="217" spans="1:9" hidden="1" outlineLevel="1">
      <c r="A217" s="1414">
        <v>41499</v>
      </c>
      <c r="B217" s="1408" t="s">
        <v>321</v>
      </c>
      <c r="C217" s="1409">
        <v>304</v>
      </c>
      <c r="D217" s="1410">
        <v>14803.44</v>
      </c>
      <c r="E217" s="1411">
        <v>14662.67</v>
      </c>
      <c r="F217" s="1421">
        <f t="shared" si="8"/>
        <v>140.77000000000044</v>
      </c>
      <c r="G217" s="1422">
        <f t="shared" si="6"/>
        <v>9.6005707009705898E-3</v>
      </c>
      <c r="H217" s="1413" t="s">
        <v>587</v>
      </c>
      <c r="I217" s="1413"/>
    </row>
    <row r="218" spans="1:9" hidden="1" outlineLevel="1">
      <c r="A218" s="1414">
        <v>41499</v>
      </c>
      <c r="B218" s="1408" t="s">
        <v>480</v>
      </c>
      <c r="C218" s="1409">
        <v>100</v>
      </c>
      <c r="D218" s="1410">
        <v>9500</v>
      </c>
      <c r="E218" s="1411">
        <v>8535.52</v>
      </c>
      <c r="F218" s="1421">
        <f t="shared" si="8"/>
        <v>964.47999999999956</v>
      </c>
      <c r="G218" s="1422">
        <f t="shared" si="6"/>
        <v>0.11299604476352929</v>
      </c>
      <c r="H218" s="1413" t="s">
        <v>587</v>
      </c>
      <c r="I218" s="1413" t="s">
        <v>684</v>
      </c>
    </row>
    <row r="219" spans="1:9" hidden="1" outlineLevel="1">
      <c r="A219" s="1414">
        <v>41499</v>
      </c>
      <c r="B219" s="1408" t="s">
        <v>586</v>
      </c>
      <c r="C219" s="1409">
        <v>398</v>
      </c>
      <c r="D219" s="1410">
        <v>19286.52</v>
      </c>
      <c r="E219" s="1411">
        <v>19286.52</v>
      </c>
      <c r="F219" s="1421">
        <f t="shared" si="8"/>
        <v>0</v>
      </c>
      <c r="G219" s="1422">
        <f t="shared" si="6"/>
        <v>0</v>
      </c>
      <c r="H219" s="1413" t="s">
        <v>587</v>
      </c>
      <c r="I219" s="1413"/>
    </row>
    <row r="220" spans="1:9" hidden="1" outlineLevel="1">
      <c r="A220" s="1414">
        <v>41499</v>
      </c>
      <c r="B220" s="1408" t="s">
        <v>481</v>
      </c>
      <c r="C220" s="1409">
        <v>157</v>
      </c>
      <c r="D220" s="1410">
        <v>7605.1</v>
      </c>
      <c r="E220" s="1411">
        <v>7605.1</v>
      </c>
      <c r="F220" s="1421">
        <f t="shared" si="8"/>
        <v>0</v>
      </c>
      <c r="G220" s="1422">
        <f t="shared" si="6"/>
        <v>0</v>
      </c>
      <c r="H220" s="1413" t="s">
        <v>587</v>
      </c>
      <c r="I220" s="1413"/>
    </row>
    <row r="221" spans="1:9" hidden="1" outlineLevel="1">
      <c r="A221" s="1414">
        <v>41499</v>
      </c>
      <c r="B221" s="1408" t="s">
        <v>588</v>
      </c>
      <c r="C221" s="1409"/>
      <c r="D221" s="1410">
        <v>24701.96</v>
      </c>
      <c r="E221" s="1411">
        <v>24701.96</v>
      </c>
      <c r="F221" s="1421">
        <f t="shared" si="8"/>
        <v>0</v>
      </c>
      <c r="G221" s="1422">
        <f t="shared" si="6"/>
        <v>0</v>
      </c>
      <c r="H221" s="1413" t="s">
        <v>587</v>
      </c>
      <c r="I221" s="1413"/>
    </row>
    <row r="222" spans="1:9" hidden="1" outlineLevel="1">
      <c r="A222" s="1414">
        <v>41499</v>
      </c>
      <c r="B222" s="1408" t="s">
        <v>589</v>
      </c>
      <c r="C222" s="1409"/>
      <c r="D222" s="1410">
        <v>10808.2</v>
      </c>
      <c r="E222" s="1411">
        <v>10808.2</v>
      </c>
      <c r="F222" s="1421">
        <f t="shared" si="8"/>
        <v>0</v>
      </c>
      <c r="G222" s="1422">
        <f t="shared" si="6"/>
        <v>0</v>
      </c>
      <c r="H222" s="1413" t="s">
        <v>587</v>
      </c>
      <c r="I222" s="1413"/>
    </row>
    <row r="223" spans="1:9" hidden="1" outlineLevel="1">
      <c r="A223" s="1414">
        <v>41500</v>
      </c>
      <c r="B223" s="1408" t="s">
        <v>321</v>
      </c>
      <c r="C223" s="1409">
        <v>11</v>
      </c>
      <c r="D223" s="1410">
        <f>165+440</f>
        <v>605</v>
      </c>
      <c r="E223" s="1411">
        <f>145.16+387.1</f>
        <v>532.26</v>
      </c>
      <c r="F223" s="1421">
        <f t="shared" si="8"/>
        <v>72.740000000000009</v>
      </c>
      <c r="G223" s="1422">
        <f t="shared" si="6"/>
        <v>0.13666253334836359</v>
      </c>
      <c r="H223" s="1413" t="s">
        <v>590</v>
      </c>
      <c r="I223" s="1413"/>
    </row>
    <row r="224" spans="1:9" hidden="1" outlineLevel="1">
      <c r="A224" s="1414">
        <v>41500</v>
      </c>
      <c r="B224" s="1408" t="s">
        <v>592</v>
      </c>
      <c r="C224" s="1409">
        <v>20671</v>
      </c>
      <c r="D224" s="1410">
        <v>1370828.37</v>
      </c>
      <c r="E224" s="1411">
        <v>1162606.67</v>
      </c>
      <c r="F224" s="1421">
        <f t="shared" si="8"/>
        <v>208221.70000000019</v>
      </c>
      <c r="G224" s="1422">
        <f t="shared" ref="G224:G287" si="9">F224/E224</f>
        <v>0.17909900688940672</v>
      </c>
      <c r="H224" s="1413" t="s">
        <v>599</v>
      </c>
      <c r="I224" s="1413" t="s">
        <v>685</v>
      </c>
    </row>
    <row r="225" spans="1:9" hidden="1" outlineLevel="1">
      <c r="A225" s="1414">
        <v>41502</v>
      </c>
      <c r="B225" s="1408" t="s">
        <v>321</v>
      </c>
      <c r="C225" s="1409">
        <v>10</v>
      </c>
      <c r="D225" s="1410">
        <v>550</v>
      </c>
      <c r="E225" s="1411">
        <f>291.57+194.38</f>
        <v>485.95</v>
      </c>
      <c r="F225" s="1421">
        <f t="shared" si="8"/>
        <v>64.050000000000011</v>
      </c>
      <c r="G225" s="1422">
        <f t="shared" si="9"/>
        <v>0.13180368350653363</v>
      </c>
      <c r="H225" s="1413" t="s">
        <v>590</v>
      </c>
      <c r="I225" s="1413"/>
    </row>
    <row r="226" spans="1:9" hidden="1" outlineLevel="1">
      <c r="A226" s="1414">
        <v>41502</v>
      </c>
      <c r="B226" s="1408" t="s">
        <v>592</v>
      </c>
      <c r="C226" s="1409">
        <v>20791</v>
      </c>
      <c r="D226" s="1410">
        <v>1377025.35</v>
      </c>
      <c r="E226" s="1411">
        <v>1130729.6200000001</v>
      </c>
      <c r="F226" s="1421">
        <f t="shared" si="8"/>
        <v>246295.72999999998</v>
      </c>
      <c r="G226" s="1422">
        <f t="shared" si="9"/>
        <v>0.21782018056624355</v>
      </c>
      <c r="H226" s="1413" t="s">
        <v>599</v>
      </c>
      <c r="I226" s="1413" t="s">
        <v>686</v>
      </c>
    </row>
    <row r="227" spans="1:9" hidden="1" outlineLevel="1">
      <c r="A227" s="1414">
        <v>41503</v>
      </c>
      <c r="B227" s="1408" t="s">
        <v>321</v>
      </c>
      <c r="C227" s="1409">
        <v>2.6</v>
      </c>
      <c r="D227" s="1410">
        <v>143</v>
      </c>
      <c r="E227" s="1411">
        <v>126.35</v>
      </c>
      <c r="F227" s="1421">
        <f t="shared" si="8"/>
        <v>16.650000000000006</v>
      </c>
      <c r="G227" s="1422">
        <f t="shared" si="9"/>
        <v>0.1317768104471706</v>
      </c>
      <c r="H227" s="1413" t="s">
        <v>590</v>
      </c>
      <c r="I227" s="1413"/>
    </row>
    <row r="228" spans="1:9" hidden="1" outlineLevel="1">
      <c r="A228" s="1414">
        <v>41505</v>
      </c>
      <c r="B228" s="1408" t="s">
        <v>592</v>
      </c>
      <c r="C228" s="1409">
        <v>20506</v>
      </c>
      <c r="D228" s="1410">
        <v>1363180.64</v>
      </c>
      <c r="E228" s="1411">
        <v>1151757.7</v>
      </c>
      <c r="F228" s="1421">
        <f t="shared" si="8"/>
        <v>211422.93999999994</v>
      </c>
      <c r="G228" s="1422">
        <f t="shared" si="9"/>
        <v>0.18356546693805473</v>
      </c>
      <c r="H228" s="1413" t="s">
        <v>599</v>
      </c>
      <c r="I228" s="1413" t="s">
        <v>687</v>
      </c>
    </row>
    <row r="229" spans="1:9" hidden="1" outlineLevel="1">
      <c r="A229" s="1414">
        <v>41506</v>
      </c>
      <c r="B229" s="1408" t="s">
        <v>321</v>
      </c>
      <c r="C229" s="1409">
        <v>0.8</v>
      </c>
      <c r="D229" s="1410">
        <v>44</v>
      </c>
      <c r="E229" s="1411">
        <v>38.75</v>
      </c>
      <c r="F229" s="1421">
        <f t="shared" si="8"/>
        <v>5.25</v>
      </c>
      <c r="G229" s="1422">
        <f t="shared" si="9"/>
        <v>0.13548387096774195</v>
      </c>
      <c r="H229" s="1413" t="s">
        <v>590</v>
      </c>
      <c r="I229" s="1413"/>
    </row>
    <row r="230" spans="1:9" hidden="1" outlineLevel="1">
      <c r="A230" s="1414">
        <v>41507</v>
      </c>
      <c r="B230" s="1408" t="s">
        <v>592</v>
      </c>
      <c r="C230" s="1409">
        <v>20558</v>
      </c>
      <c r="D230" s="1410">
        <v>1369064.33</v>
      </c>
      <c r="E230" s="1411">
        <v>1149628.28</v>
      </c>
      <c r="F230" s="1421">
        <f t="shared" si="8"/>
        <v>219436.05000000005</v>
      </c>
      <c r="G230" s="1422">
        <f t="shared" si="9"/>
        <v>0.19087565417232086</v>
      </c>
      <c r="H230" s="1413" t="s">
        <v>599</v>
      </c>
      <c r="I230" s="1413" t="s">
        <v>688</v>
      </c>
    </row>
    <row r="231" spans="1:9" hidden="1" outlineLevel="1">
      <c r="A231" s="1414">
        <v>41508</v>
      </c>
      <c r="B231" s="1408" t="s">
        <v>592</v>
      </c>
      <c r="C231" s="1409">
        <v>20830</v>
      </c>
      <c r="D231" s="1410">
        <v>1386047.57</v>
      </c>
      <c r="E231" s="1411">
        <v>1170524.27</v>
      </c>
      <c r="F231" s="1421">
        <f t="shared" si="8"/>
        <v>215523.30000000005</v>
      </c>
      <c r="G231" s="1422">
        <f t="shared" si="9"/>
        <v>0.18412544320845226</v>
      </c>
      <c r="H231" s="1413" t="s">
        <v>599</v>
      </c>
      <c r="I231" s="1413" t="s">
        <v>689</v>
      </c>
    </row>
    <row r="232" spans="1:9" hidden="1" outlineLevel="1">
      <c r="A232" s="1414">
        <v>41509</v>
      </c>
      <c r="B232" s="1408" t="s">
        <v>592</v>
      </c>
      <c r="C232" s="1409">
        <v>20994</v>
      </c>
      <c r="D232" s="1410">
        <v>1406157.76</v>
      </c>
      <c r="E232" s="1411">
        <v>1161690.06</v>
      </c>
      <c r="F232" s="1421">
        <f t="shared" si="8"/>
        <v>244467.69999999995</v>
      </c>
      <c r="G232" s="1422">
        <f t="shared" si="9"/>
        <v>0.21044141498464741</v>
      </c>
      <c r="H232" s="1413" t="s">
        <v>599</v>
      </c>
      <c r="I232" s="1413" t="s">
        <v>690</v>
      </c>
    </row>
    <row r="233" spans="1:9" hidden="1" outlineLevel="1">
      <c r="A233" s="1414">
        <v>41512</v>
      </c>
      <c r="B233" s="1408" t="s">
        <v>592</v>
      </c>
      <c r="C233" s="1409">
        <v>20302</v>
      </c>
      <c r="D233" s="1410">
        <v>1354252.83</v>
      </c>
      <c r="E233" s="1411">
        <v>1136763.57</v>
      </c>
      <c r="F233" s="1421">
        <f t="shared" si="8"/>
        <v>217489.26</v>
      </c>
      <c r="G233" s="1422">
        <f t="shared" si="9"/>
        <v>0.19132321420187665</v>
      </c>
      <c r="H233" s="1413" t="s">
        <v>599</v>
      </c>
      <c r="I233" s="1413" t="s">
        <v>691</v>
      </c>
    </row>
    <row r="234" spans="1:9" hidden="1" outlineLevel="1">
      <c r="A234" s="1414">
        <v>41513</v>
      </c>
      <c r="B234" s="1408" t="s">
        <v>342</v>
      </c>
      <c r="C234" s="1409">
        <v>25571</v>
      </c>
      <c r="D234" s="1410">
        <v>1815541</v>
      </c>
      <c r="E234" s="1411">
        <v>1446520.6</v>
      </c>
      <c r="F234" s="1421">
        <f t="shared" si="8"/>
        <v>369020.39999999991</v>
      </c>
      <c r="G234" s="1422">
        <f t="shared" si="9"/>
        <v>0.25510898358447154</v>
      </c>
      <c r="H234" s="1413" t="s">
        <v>692</v>
      </c>
      <c r="I234" s="1413" t="s">
        <v>693</v>
      </c>
    </row>
    <row r="235" spans="1:9" hidden="1" outlineLevel="1">
      <c r="A235" s="1414">
        <v>41514</v>
      </c>
      <c r="B235" s="1408" t="s">
        <v>321</v>
      </c>
      <c r="C235" s="1409">
        <f>1.4+1.4</f>
        <v>2.8</v>
      </c>
      <c r="D235" s="1410">
        <f>77+77</f>
        <v>154</v>
      </c>
      <c r="E235" s="1411">
        <f>70.1+70.1</f>
        <v>140.19999999999999</v>
      </c>
      <c r="F235" s="1421">
        <f t="shared" si="8"/>
        <v>13.800000000000011</v>
      </c>
      <c r="G235" s="1422">
        <f t="shared" si="9"/>
        <v>9.8430813124108507E-2</v>
      </c>
      <c r="H235" s="1413" t="s">
        <v>590</v>
      </c>
      <c r="I235" s="1413"/>
    </row>
    <row r="236" spans="1:9" hidden="1" outlineLevel="1">
      <c r="A236" s="1414">
        <v>41514</v>
      </c>
      <c r="B236" s="1408" t="s">
        <v>596</v>
      </c>
      <c r="C236" s="1409">
        <f>1414+80</f>
        <v>1494</v>
      </c>
      <c r="D236" s="1410">
        <f>89082+5040</f>
        <v>94122</v>
      </c>
      <c r="E236" s="1411">
        <f>77135.84+4475.37</f>
        <v>81611.209999999992</v>
      </c>
      <c r="F236" s="1421">
        <f t="shared" si="8"/>
        <v>12510.790000000008</v>
      </c>
      <c r="G236" s="1422">
        <f t="shared" si="9"/>
        <v>0.1532974452896852</v>
      </c>
      <c r="H236" s="1413" t="s">
        <v>587</v>
      </c>
      <c r="I236" s="1413"/>
    </row>
    <row r="237" spans="1:9" hidden="1" outlineLevel="1">
      <c r="A237" s="1414">
        <v>41515</v>
      </c>
      <c r="B237" s="1408" t="s">
        <v>475</v>
      </c>
      <c r="C237" s="1409">
        <v>193</v>
      </c>
      <c r="D237" s="1410">
        <v>9721.7999999999993</v>
      </c>
      <c r="E237" s="1411">
        <v>9721.7999999999993</v>
      </c>
      <c r="F237" s="1421">
        <f t="shared" si="8"/>
        <v>0</v>
      </c>
      <c r="G237" s="1422">
        <f t="shared" si="9"/>
        <v>0</v>
      </c>
      <c r="H237" s="1413" t="s">
        <v>587</v>
      </c>
      <c r="I237" s="1413"/>
    </row>
    <row r="238" spans="1:9" hidden="1" outlineLevel="1">
      <c r="A238" s="1414">
        <v>41515</v>
      </c>
      <c r="B238" s="1408" t="s">
        <v>321</v>
      </c>
      <c r="C238" s="1409">
        <v>0.4</v>
      </c>
      <c r="D238" s="1410">
        <v>22</v>
      </c>
      <c r="E238" s="1411">
        <v>20.079999999999998</v>
      </c>
      <c r="F238" s="1421">
        <f t="shared" si="8"/>
        <v>1.9200000000000017</v>
      </c>
      <c r="G238" s="1422">
        <f t="shared" si="9"/>
        <v>9.5617529880478183E-2</v>
      </c>
      <c r="H238" s="1413" t="s">
        <v>590</v>
      </c>
      <c r="I238" s="1413"/>
    </row>
    <row r="239" spans="1:9" hidden="1" outlineLevel="1">
      <c r="A239" s="1414">
        <v>41515</v>
      </c>
      <c r="B239" s="1408" t="s">
        <v>489</v>
      </c>
      <c r="C239" s="1409">
        <v>20627</v>
      </c>
      <c r="D239" s="1410">
        <v>453794</v>
      </c>
      <c r="E239" s="1411">
        <v>69189.8</v>
      </c>
      <c r="F239" s="1421">
        <f t="shared" si="8"/>
        <v>384604.2</v>
      </c>
      <c r="G239" s="1422">
        <f t="shared" si="9"/>
        <v>5.558683505372179</v>
      </c>
      <c r="H239" s="1413" t="s">
        <v>591</v>
      </c>
      <c r="I239" s="1413"/>
    </row>
    <row r="240" spans="1:9" hidden="1" outlineLevel="1">
      <c r="A240" s="1414">
        <v>41516</v>
      </c>
      <c r="B240" s="1408" t="s">
        <v>592</v>
      </c>
      <c r="C240" s="1409">
        <v>20422</v>
      </c>
      <c r="D240" s="1410">
        <v>1367330.71</v>
      </c>
      <c r="E240" s="1411">
        <v>1162793.78</v>
      </c>
      <c r="F240" s="1421">
        <f t="shared" si="8"/>
        <v>204536.92999999993</v>
      </c>
      <c r="G240" s="1422">
        <f t="shared" si="9"/>
        <v>0.17590129352085107</v>
      </c>
      <c r="H240" s="1413" t="s">
        <v>599</v>
      </c>
      <c r="I240" s="1413" t="s">
        <v>694</v>
      </c>
    </row>
    <row r="241" spans="1:9">
      <c r="A241" s="1415" t="s">
        <v>8</v>
      </c>
      <c r="B241" s="1416"/>
      <c r="C241" s="1417">
        <f>SUM(C242:C274)</f>
        <v>410857.5</v>
      </c>
      <c r="D241" s="1418">
        <f>SUM(D242:D274)</f>
        <v>26733304.739999998</v>
      </c>
      <c r="E241" s="1419">
        <f>SUM(E242:E274)</f>
        <v>22564725.93</v>
      </c>
      <c r="F241" s="1419">
        <f>SUM(F242:F274)</f>
        <v>4168578.8099999977</v>
      </c>
      <c r="G241" s="1420">
        <f t="shared" si="9"/>
        <v>0.18473872995097343</v>
      </c>
      <c r="H241" s="1423"/>
      <c r="I241" s="1423"/>
    </row>
    <row r="242" spans="1:9" hidden="1" outlineLevel="1">
      <c r="A242" s="1414">
        <v>41519</v>
      </c>
      <c r="B242" s="1408" t="s">
        <v>592</v>
      </c>
      <c r="C242" s="1409">
        <v>20389</v>
      </c>
      <c r="D242" s="1410">
        <v>1367964.27</v>
      </c>
      <c r="E242" s="1411">
        <v>1175346.52</v>
      </c>
      <c r="F242" s="1421">
        <f t="shared" ref="F242:F274" si="10">D242-E242</f>
        <v>192617.75</v>
      </c>
      <c r="G242" s="1422">
        <f t="shared" si="9"/>
        <v>0.16388166955222702</v>
      </c>
      <c r="H242" s="1413" t="s">
        <v>599</v>
      </c>
      <c r="I242" s="1413" t="s">
        <v>695</v>
      </c>
    </row>
    <row r="243" spans="1:9" hidden="1" outlineLevel="1">
      <c r="A243" s="1414">
        <v>41519</v>
      </c>
      <c r="B243" s="1408" t="s">
        <v>342</v>
      </c>
      <c r="C243" s="1409">
        <v>25457</v>
      </c>
      <c r="D243" s="1410">
        <v>1807447</v>
      </c>
      <c r="E243" s="1411">
        <v>1476322</v>
      </c>
      <c r="F243" s="1421">
        <f t="shared" si="10"/>
        <v>331125</v>
      </c>
      <c r="G243" s="1422">
        <f t="shared" si="9"/>
        <v>0.22429050031090778</v>
      </c>
      <c r="H243" s="1413" t="s">
        <v>692</v>
      </c>
      <c r="I243" s="1413" t="s">
        <v>696</v>
      </c>
    </row>
    <row r="244" spans="1:9" hidden="1" outlineLevel="1">
      <c r="A244" s="1414">
        <v>41520</v>
      </c>
      <c r="B244" s="1408" t="s">
        <v>321</v>
      </c>
      <c r="C244" s="1409">
        <v>3.7</v>
      </c>
      <c r="D244" s="1410">
        <v>204</v>
      </c>
      <c r="E244" s="1411">
        <v>187.6</v>
      </c>
      <c r="F244" s="1421">
        <f t="shared" si="10"/>
        <v>16.400000000000006</v>
      </c>
      <c r="G244" s="1422">
        <f t="shared" si="9"/>
        <v>8.7420042643923279E-2</v>
      </c>
      <c r="H244" s="1413" t="s">
        <v>590</v>
      </c>
      <c r="I244" s="1413"/>
    </row>
    <row r="245" spans="1:9" hidden="1" outlineLevel="1">
      <c r="A245" s="1414">
        <v>41520</v>
      </c>
      <c r="B245" s="1408" t="s">
        <v>586</v>
      </c>
      <c r="C245" s="1409">
        <v>429</v>
      </c>
      <c r="D245" s="1410">
        <v>26413.59</v>
      </c>
      <c r="E245" s="1411">
        <v>21307.56</v>
      </c>
      <c r="F245" s="1421">
        <f t="shared" si="10"/>
        <v>5106.0299999999988</v>
      </c>
      <c r="G245" s="1422">
        <f t="shared" si="9"/>
        <v>0.23963466487950749</v>
      </c>
      <c r="H245" s="1413" t="s">
        <v>587</v>
      </c>
      <c r="I245" s="1413"/>
    </row>
    <row r="246" spans="1:9" hidden="1" outlineLevel="1">
      <c r="A246" s="1414">
        <v>41520</v>
      </c>
      <c r="B246" s="1408" t="s">
        <v>481</v>
      </c>
      <c r="C246" s="1409">
        <v>240</v>
      </c>
      <c r="D246" s="1410">
        <v>14827.96</v>
      </c>
      <c r="E246" s="1411">
        <v>11924.6</v>
      </c>
      <c r="F246" s="1421">
        <f t="shared" si="10"/>
        <v>2903.3599999999988</v>
      </c>
      <c r="G246" s="1422">
        <f t="shared" si="9"/>
        <v>0.2434765107424986</v>
      </c>
      <c r="H246" s="1413" t="s">
        <v>587</v>
      </c>
      <c r="I246" s="1413"/>
    </row>
    <row r="247" spans="1:9" hidden="1" outlineLevel="1">
      <c r="A247" s="1414">
        <v>41521</v>
      </c>
      <c r="B247" s="1408" t="s">
        <v>321</v>
      </c>
      <c r="C247" s="1409">
        <f>6</f>
        <v>6</v>
      </c>
      <c r="D247" s="1410">
        <f>165+165</f>
        <v>330</v>
      </c>
      <c r="E247" s="1411">
        <f>154.56+154.56</f>
        <v>309.12</v>
      </c>
      <c r="F247" s="1421">
        <f t="shared" si="10"/>
        <v>20.879999999999995</v>
      </c>
      <c r="G247" s="1422">
        <f t="shared" si="9"/>
        <v>6.7546583850931666E-2</v>
      </c>
      <c r="H247" s="1413" t="s">
        <v>590</v>
      </c>
      <c r="I247" s="1413"/>
    </row>
    <row r="248" spans="1:9" hidden="1" outlineLevel="1">
      <c r="A248" s="1414">
        <v>41521</v>
      </c>
      <c r="B248" s="1408" t="s">
        <v>592</v>
      </c>
      <c r="C248" s="1409">
        <v>20594</v>
      </c>
      <c r="D248" s="1410">
        <v>1386784.51</v>
      </c>
      <c r="E248" s="1411">
        <v>1192830.49</v>
      </c>
      <c r="F248" s="1421">
        <f t="shared" si="10"/>
        <v>193954.02000000002</v>
      </c>
      <c r="G248" s="1422">
        <f t="shared" si="9"/>
        <v>0.16259981751472502</v>
      </c>
      <c r="H248" s="1413" t="s">
        <v>599</v>
      </c>
      <c r="I248" s="1413" t="s">
        <v>697</v>
      </c>
    </row>
    <row r="249" spans="1:9" hidden="1" outlineLevel="1">
      <c r="A249" s="1414">
        <v>41521</v>
      </c>
      <c r="B249" s="1408" t="s">
        <v>592</v>
      </c>
      <c r="C249" s="1409">
        <v>20765</v>
      </c>
      <c r="D249" s="1410">
        <v>1398299.53</v>
      </c>
      <c r="E249" s="1411">
        <v>1222292.07</v>
      </c>
      <c r="F249" s="1421">
        <f t="shared" si="10"/>
        <v>176007.45999999996</v>
      </c>
      <c r="G249" s="1422">
        <f t="shared" si="9"/>
        <v>0.14399787441965484</v>
      </c>
      <c r="H249" s="1413" t="s">
        <v>599</v>
      </c>
      <c r="I249" s="1413" t="s">
        <v>698</v>
      </c>
    </row>
    <row r="250" spans="1:9" hidden="1" outlineLevel="1">
      <c r="A250" s="1414">
        <v>41522</v>
      </c>
      <c r="B250" s="1408" t="s">
        <v>321</v>
      </c>
      <c r="C250" s="1409">
        <v>18</v>
      </c>
      <c r="D250" s="1410">
        <f>715+275</f>
        <v>990</v>
      </c>
      <c r="E250" s="1411">
        <f>671.53+258.28</f>
        <v>929.81</v>
      </c>
      <c r="F250" s="1421">
        <f t="shared" si="10"/>
        <v>60.190000000000055</v>
      </c>
      <c r="G250" s="1422">
        <f t="shared" si="9"/>
        <v>6.4733655262903242E-2</v>
      </c>
      <c r="H250" s="1413" t="s">
        <v>590</v>
      </c>
      <c r="I250" s="1413"/>
    </row>
    <row r="251" spans="1:9" hidden="1" outlineLevel="1">
      <c r="A251" s="1414">
        <v>41523</v>
      </c>
      <c r="B251" s="1408" t="s">
        <v>592</v>
      </c>
      <c r="C251" s="1409">
        <v>20928</v>
      </c>
      <c r="D251" s="1410">
        <v>1410154.17</v>
      </c>
      <c r="E251" s="1411">
        <v>1226310.5</v>
      </c>
      <c r="F251" s="1421">
        <f t="shared" si="10"/>
        <v>183843.66999999993</v>
      </c>
      <c r="G251" s="1422">
        <f t="shared" si="9"/>
        <v>0.14991608568955408</v>
      </c>
      <c r="H251" s="1413" t="s">
        <v>599</v>
      </c>
      <c r="I251" s="1413" t="s">
        <v>699</v>
      </c>
    </row>
    <row r="252" spans="1:9" hidden="1" outlineLevel="1">
      <c r="A252" s="1414">
        <v>41523</v>
      </c>
      <c r="B252" s="1408" t="s">
        <v>592</v>
      </c>
      <c r="C252" s="1409">
        <v>20359</v>
      </c>
      <c r="D252" s="1410">
        <v>1389488.72</v>
      </c>
      <c r="E252" s="1411">
        <v>1182729.3</v>
      </c>
      <c r="F252" s="1421">
        <f t="shared" si="10"/>
        <v>206759.41999999993</v>
      </c>
      <c r="G252" s="1422">
        <f t="shared" si="9"/>
        <v>0.17481550512023328</v>
      </c>
      <c r="H252" s="1413" t="s">
        <v>599</v>
      </c>
      <c r="I252" s="1413" t="s">
        <v>700</v>
      </c>
    </row>
    <row r="253" spans="1:9" hidden="1" outlineLevel="1">
      <c r="A253" s="1414">
        <v>41525</v>
      </c>
      <c r="B253" s="1408" t="s">
        <v>321</v>
      </c>
      <c r="C253" s="1409">
        <v>0.4</v>
      </c>
      <c r="D253" s="1410">
        <v>22</v>
      </c>
      <c r="E253" s="1411">
        <v>20.74</v>
      </c>
      <c r="F253" s="1421">
        <f t="shared" si="10"/>
        <v>1.2600000000000016</v>
      </c>
      <c r="G253" s="1422">
        <f t="shared" si="9"/>
        <v>6.0752169720347235E-2</v>
      </c>
      <c r="H253" s="1413" t="s">
        <v>590</v>
      </c>
      <c r="I253" s="1413"/>
    </row>
    <row r="254" spans="1:9" hidden="1" outlineLevel="1">
      <c r="A254" s="1414">
        <v>41526</v>
      </c>
      <c r="B254" s="1408" t="s">
        <v>592</v>
      </c>
      <c r="C254" s="1409">
        <v>20991</v>
      </c>
      <c r="D254" s="1410">
        <v>1434497.44</v>
      </c>
      <c r="E254" s="1411">
        <v>1207224.22</v>
      </c>
      <c r="F254" s="1421">
        <f t="shared" si="10"/>
        <v>227273.21999999997</v>
      </c>
      <c r="G254" s="1422">
        <f t="shared" si="9"/>
        <v>0.18826098435964114</v>
      </c>
      <c r="H254" s="1413" t="s">
        <v>599</v>
      </c>
      <c r="I254" s="1413" t="s">
        <v>701</v>
      </c>
    </row>
    <row r="255" spans="1:9" hidden="1" outlineLevel="1">
      <c r="A255" s="1414">
        <v>41527</v>
      </c>
      <c r="B255" s="1408" t="s">
        <v>592</v>
      </c>
      <c r="C255" s="1409">
        <v>20457</v>
      </c>
      <c r="D255" s="1410">
        <v>1393425.9</v>
      </c>
      <c r="E255" s="1411">
        <v>1154802.3400000001</v>
      </c>
      <c r="F255" s="1421">
        <f t="shared" si="10"/>
        <v>238623.55999999982</v>
      </c>
      <c r="G255" s="1422">
        <f t="shared" si="9"/>
        <v>0.20663584730872628</v>
      </c>
      <c r="H255" s="1413" t="s">
        <v>599</v>
      </c>
      <c r="I255" s="1413" t="s">
        <v>702</v>
      </c>
    </row>
    <row r="256" spans="1:9" hidden="1" outlineLevel="1">
      <c r="A256" s="1414">
        <v>41528</v>
      </c>
      <c r="B256" s="1408" t="s">
        <v>592</v>
      </c>
      <c r="C256" s="1409">
        <v>20445</v>
      </c>
      <c r="D256" s="1410">
        <v>1381563.51</v>
      </c>
      <c r="E256" s="1411">
        <v>1159395.81</v>
      </c>
      <c r="F256" s="1421">
        <f t="shared" si="10"/>
        <v>222167.69999999995</v>
      </c>
      <c r="G256" s="1422">
        <f t="shared" si="9"/>
        <v>0.19162368716857786</v>
      </c>
      <c r="H256" s="1413" t="s">
        <v>599</v>
      </c>
      <c r="I256" s="1413" t="s">
        <v>703</v>
      </c>
    </row>
    <row r="257" spans="1:9" hidden="1" outlineLevel="1">
      <c r="A257" s="1414">
        <v>41529</v>
      </c>
      <c r="B257" s="1408" t="s">
        <v>321</v>
      </c>
      <c r="C257" s="1409">
        <v>3</v>
      </c>
      <c r="D257" s="1410">
        <v>165</v>
      </c>
      <c r="E257" s="1411">
        <f>51.92+104.2</f>
        <v>156.12</v>
      </c>
      <c r="F257" s="1421">
        <f t="shared" si="10"/>
        <v>8.8799999999999955</v>
      </c>
      <c r="G257" s="1422">
        <f t="shared" si="9"/>
        <v>5.687932359723287E-2</v>
      </c>
      <c r="H257" s="1413" t="s">
        <v>590</v>
      </c>
      <c r="I257" s="1413"/>
    </row>
    <row r="258" spans="1:9" hidden="1" outlineLevel="1">
      <c r="A258" s="1414">
        <v>41529</v>
      </c>
      <c r="B258" s="1408" t="s">
        <v>592</v>
      </c>
      <c r="C258" s="1409">
        <v>20623</v>
      </c>
      <c r="D258" s="1410">
        <v>1332245.8</v>
      </c>
      <c r="E258" s="1411">
        <v>1216036.75</v>
      </c>
      <c r="F258" s="1421">
        <f t="shared" si="10"/>
        <v>116209.05000000005</v>
      </c>
      <c r="G258" s="1422">
        <f t="shared" si="9"/>
        <v>9.5563764828653447E-2</v>
      </c>
      <c r="H258" s="1413" t="s">
        <v>599</v>
      </c>
      <c r="I258" s="1413" t="s">
        <v>704</v>
      </c>
    </row>
    <row r="259" spans="1:9" hidden="1" outlineLevel="1">
      <c r="A259" s="1414">
        <v>41530</v>
      </c>
      <c r="B259" s="1408" t="s">
        <v>489</v>
      </c>
      <c r="C259" s="1409">
        <v>22627</v>
      </c>
      <c r="D259" s="1410">
        <v>503450.75</v>
      </c>
      <c r="E259" s="1411"/>
      <c r="F259" s="1421">
        <f t="shared" si="10"/>
        <v>503450.75</v>
      </c>
      <c r="G259" s="1422" t="e">
        <f t="shared" si="9"/>
        <v>#DIV/0!</v>
      </c>
      <c r="H259" s="1413" t="s">
        <v>591</v>
      </c>
      <c r="I259" s="1413"/>
    </row>
    <row r="260" spans="1:9" hidden="1" outlineLevel="1">
      <c r="A260" s="1414">
        <v>41531</v>
      </c>
      <c r="B260" s="1408" t="s">
        <v>321</v>
      </c>
      <c r="C260" s="1409">
        <v>3</v>
      </c>
      <c r="D260" s="1410">
        <v>154.87</v>
      </c>
      <c r="E260" s="1411">
        <v>154.87</v>
      </c>
      <c r="F260" s="1421">
        <f t="shared" si="10"/>
        <v>0</v>
      </c>
      <c r="G260" s="1422">
        <f t="shared" si="9"/>
        <v>0</v>
      </c>
      <c r="H260" s="1413" t="s">
        <v>587</v>
      </c>
      <c r="I260" s="1413"/>
    </row>
    <row r="261" spans="1:9" hidden="1" outlineLevel="1">
      <c r="A261" s="1414">
        <v>41531</v>
      </c>
      <c r="B261" s="1408" t="s">
        <v>588</v>
      </c>
      <c r="C261" s="1409">
        <v>401</v>
      </c>
      <c r="D261" s="1410">
        <v>18686.240000000002</v>
      </c>
      <c r="E261" s="1411">
        <v>18686.240000000002</v>
      </c>
      <c r="F261" s="1421">
        <f t="shared" si="10"/>
        <v>0</v>
      </c>
      <c r="G261" s="1422">
        <f t="shared" si="9"/>
        <v>0</v>
      </c>
      <c r="H261" s="1413" t="s">
        <v>587</v>
      </c>
      <c r="I261" s="1413"/>
    </row>
    <row r="262" spans="1:9" hidden="1" outlineLevel="1">
      <c r="A262" s="1414">
        <v>41531</v>
      </c>
      <c r="B262" s="1408" t="s">
        <v>589</v>
      </c>
      <c r="C262" s="1409">
        <v>92</v>
      </c>
      <c r="D262" s="1410">
        <v>4498.34</v>
      </c>
      <c r="E262" s="1411">
        <v>4498.34</v>
      </c>
      <c r="F262" s="1421">
        <f t="shared" si="10"/>
        <v>0</v>
      </c>
      <c r="G262" s="1422">
        <f t="shared" si="9"/>
        <v>0</v>
      </c>
      <c r="H262" s="1413" t="s">
        <v>587</v>
      </c>
      <c r="I262" s="1413"/>
    </row>
    <row r="263" spans="1:9" hidden="1" outlineLevel="1">
      <c r="A263" s="1414">
        <v>41532</v>
      </c>
      <c r="B263" s="1408" t="s">
        <v>342</v>
      </c>
      <c r="C263" s="1409">
        <v>24656</v>
      </c>
      <c r="D263" s="1410">
        <v>1750576</v>
      </c>
      <c r="E263" s="1411">
        <v>1428038.61</v>
      </c>
      <c r="F263" s="1421">
        <f t="shared" si="10"/>
        <v>322537.3899999999</v>
      </c>
      <c r="G263" s="1422">
        <f t="shared" si="9"/>
        <v>0.2258604128357565</v>
      </c>
      <c r="H263" s="1413" t="s">
        <v>692</v>
      </c>
      <c r="I263" s="1413" t="s">
        <v>705</v>
      </c>
    </row>
    <row r="264" spans="1:9" hidden="1" outlineLevel="1">
      <c r="A264" s="1414">
        <v>41533</v>
      </c>
      <c r="B264" s="1408" t="s">
        <v>592</v>
      </c>
      <c r="C264" s="1409">
        <v>20395</v>
      </c>
      <c r="D264" s="1410">
        <v>1364869.91</v>
      </c>
      <c r="E264" s="1411">
        <v>1159848.32</v>
      </c>
      <c r="F264" s="1421">
        <f t="shared" si="10"/>
        <v>205021.58999999985</v>
      </c>
      <c r="G264" s="1422">
        <f t="shared" si="9"/>
        <v>0.17676586366051714</v>
      </c>
      <c r="H264" s="1413" t="s">
        <v>599</v>
      </c>
      <c r="I264" s="1413" t="s">
        <v>706</v>
      </c>
    </row>
    <row r="265" spans="1:9" hidden="1" outlineLevel="1">
      <c r="A265" s="1414">
        <v>41535</v>
      </c>
      <c r="B265" s="1408" t="s">
        <v>592</v>
      </c>
      <c r="C265" s="1409">
        <v>20641</v>
      </c>
      <c r="D265" s="1410">
        <v>1363743.44</v>
      </c>
      <c r="E265" s="1411">
        <v>1218903.76</v>
      </c>
      <c r="F265" s="1421">
        <f t="shared" si="10"/>
        <v>144839.67999999993</v>
      </c>
      <c r="G265" s="1422">
        <f t="shared" si="9"/>
        <v>0.11882782279710084</v>
      </c>
      <c r="H265" s="1413" t="s">
        <v>599</v>
      </c>
      <c r="I265" s="1413" t="s">
        <v>707</v>
      </c>
    </row>
    <row r="266" spans="1:9" hidden="1" outlineLevel="1">
      <c r="A266" s="1414">
        <v>41536</v>
      </c>
      <c r="B266" s="1408" t="s">
        <v>592</v>
      </c>
      <c r="C266" s="1409">
        <v>20399</v>
      </c>
      <c r="D266" s="1410">
        <v>1344473.2</v>
      </c>
      <c r="E266" s="1411">
        <v>1200917.31</v>
      </c>
      <c r="F266" s="1421">
        <f t="shared" si="10"/>
        <v>143555.8899999999</v>
      </c>
      <c r="G266" s="1422">
        <f t="shared" si="9"/>
        <v>0.1195385300924673</v>
      </c>
      <c r="H266" s="1413" t="s">
        <v>599</v>
      </c>
      <c r="I266" s="1413" t="s">
        <v>708</v>
      </c>
    </row>
    <row r="267" spans="1:9" hidden="1" outlineLevel="1">
      <c r="A267" s="1414">
        <v>41538</v>
      </c>
      <c r="B267" s="1408" t="s">
        <v>321</v>
      </c>
      <c r="C267" s="1409">
        <v>9.4</v>
      </c>
      <c r="D267" s="1410">
        <v>517</v>
      </c>
      <c r="E267" s="1411">
        <v>476.78</v>
      </c>
      <c r="F267" s="1421">
        <f t="shared" si="10"/>
        <v>40.220000000000027</v>
      </c>
      <c r="G267" s="1422">
        <f t="shared" si="9"/>
        <v>8.4357565334116424E-2</v>
      </c>
      <c r="H267" s="1413" t="s">
        <v>590</v>
      </c>
      <c r="I267" s="1413"/>
    </row>
    <row r="268" spans="1:9" hidden="1" outlineLevel="1">
      <c r="A268" s="1414">
        <v>41539</v>
      </c>
      <c r="B268" s="1408" t="s">
        <v>321</v>
      </c>
      <c r="C268" s="1409">
        <v>8</v>
      </c>
      <c r="D268" s="1410">
        <v>440</v>
      </c>
      <c r="E268" s="1411">
        <v>404.2</v>
      </c>
      <c r="F268" s="1421">
        <f t="shared" si="10"/>
        <v>35.800000000000011</v>
      </c>
      <c r="G268" s="1422">
        <f t="shared" si="9"/>
        <v>8.8570014844136596E-2</v>
      </c>
      <c r="H268" s="1413" t="s">
        <v>590</v>
      </c>
      <c r="I268" s="1413"/>
    </row>
    <row r="269" spans="1:9" hidden="1" outlineLevel="1">
      <c r="A269" s="1414">
        <v>41540</v>
      </c>
      <c r="B269" s="1408" t="s">
        <v>342</v>
      </c>
      <c r="C269" s="1409">
        <v>26197</v>
      </c>
      <c r="D269" s="1410">
        <v>1859987</v>
      </c>
      <c r="E269" s="1411">
        <v>1494095.59</v>
      </c>
      <c r="F269" s="1421">
        <f t="shared" si="10"/>
        <v>365891.40999999992</v>
      </c>
      <c r="G269" s="1422">
        <f t="shared" si="9"/>
        <v>0.24489156681066163</v>
      </c>
      <c r="H269" s="1413" t="s">
        <v>692</v>
      </c>
      <c r="I269" s="1413" t="s">
        <v>709</v>
      </c>
    </row>
    <row r="270" spans="1:9" hidden="1" outlineLevel="1">
      <c r="A270" s="1414">
        <v>41542</v>
      </c>
      <c r="B270" s="1408" t="s">
        <v>592</v>
      </c>
      <c r="C270" s="1409">
        <v>20669</v>
      </c>
      <c r="D270" s="1410">
        <v>1344174.1</v>
      </c>
      <c r="E270" s="1411">
        <v>1221267.5900000001</v>
      </c>
      <c r="F270" s="1421">
        <f t="shared" si="10"/>
        <v>122906.51000000001</v>
      </c>
      <c r="G270" s="1422">
        <f t="shared" si="9"/>
        <v>0.10063847678132522</v>
      </c>
      <c r="H270" s="1413" t="s">
        <v>599</v>
      </c>
      <c r="I270" s="1413" t="s">
        <v>710</v>
      </c>
    </row>
    <row r="271" spans="1:9" hidden="1" outlineLevel="1">
      <c r="A271" s="1414">
        <v>41544</v>
      </c>
      <c r="B271" s="1408" t="s">
        <v>592</v>
      </c>
      <c r="C271" s="1409">
        <v>20600</v>
      </c>
      <c r="D271" s="1410">
        <v>1354714.5</v>
      </c>
      <c r="E271" s="1411">
        <v>1219542.7</v>
      </c>
      <c r="F271" s="1421">
        <f t="shared" si="10"/>
        <v>135171.80000000005</v>
      </c>
      <c r="G271" s="1422">
        <f t="shared" si="9"/>
        <v>0.1108381034956792</v>
      </c>
      <c r="H271" s="1413" t="s">
        <v>599</v>
      </c>
      <c r="I271" s="1413" t="s">
        <v>711</v>
      </c>
    </row>
    <row r="272" spans="1:9" hidden="1" outlineLevel="1">
      <c r="A272" s="1414">
        <v>41544</v>
      </c>
      <c r="B272" s="1408" t="s">
        <v>596</v>
      </c>
      <c r="C272" s="1409">
        <v>1492</v>
      </c>
      <c r="D272" s="1410">
        <f>8990+83514</f>
        <v>92504</v>
      </c>
      <c r="E272" s="1411">
        <f>9512.58+80113.5</f>
        <v>89626.08</v>
      </c>
      <c r="F272" s="1421">
        <f t="shared" si="10"/>
        <v>2877.9199999999983</v>
      </c>
      <c r="G272" s="1422">
        <f t="shared" si="9"/>
        <v>3.2110296467278254E-2</v>
      </c>
      <c r="H272" s="1413" t="s">
        <v>587</v>
      </c>
      <c r="I272" s="1413"/>
    </row>
    <row r="273" spans="1:9" hidden="1" outlineLevel="1">
      <c r="A273" s="1414">
        <v>41547</v>
      </c>
      <c r="B273" s="1408" t="s">
        <v>321</v>
      </c>
      <c r="C273" s="1409">
        <v>4</v>
      </c>
      <c r="D273" s="1410">
        <v>220</v>
      </c>
      <c r="E273" s="1411">
        <v>352.35</v>
      </c>
      <c r="F273" s="1421">
        <f t="shared" si="10"/>
        <v>-132.35000000000002</v>
      </c>
      <c r="G273" s="1422">
        <f t="shared" si="9"/>
        <v>-0.37562083155952891</v>
      </c>
      <c r="H273" s="1413" t="s">
        <v>590</v>
      </c>
      <c r="I273" s="1413"/>
    </row>
    <row r="274" spans="1:9" hidden="1" outlineLevel="1">
      <c r="A274" s="1414">
        <v>41547</v>
      </c>
      <c r="B274" s="1408" t="s">
        <v>592</v>
      </c>
      <c r="C274" s="1409">
        <v>20956</v>
      </c>
      <c r="D274" s="1410">
        <v>1385471.99</v>
      </c>
      <c r="E274" s="1411">
        <v>1259787.6399999999</v>
      </c>
      <c r="F274" s="1421">
        <f t="shared" si="10"/>
        <v>125684.35000000009</v>
      </c>
      <c r="G274" s="1422">
        <f t="shared" si="9"/>
        <v>9.9766298707296502E-2</v>
      </c>
      <c r="H274" s="1413" t="s">
        <v>599</v>
      </c>
      <c r="I274" s="1413" t="s">
        <v>712</v>
      </c>
    </row>
    <row r="275" spans="1:9">
      <c r="A275" s="1415" t="s">
        <v>9</v>
      </c>
      <c r="B275" s="1416"/>
      <c r="C275" s="1417">
        <f>SUM(C276:C319)</f>
        <v>495466.00000000006</v>
      </c>
      <c r="D275" s="1418">
        <f>SUM(D276:D319)</f>
        <v>24368210.730000004</v>
      </c>
      <c r="E275" s="1419">
        <f>SUM(E276:E319)</f>
        <v>20881568.770000007</v>
      </c>
      <c r="F275" s="1419">
        <f>SUM(F276:F319)</f>
        <v>3486641.96</v>
      </c>
      <c r="G275" s="1420">
        <f t="shared" si="9"/>
        <v>0.16697222313149027</v>
      </c>
      <c r="H275" s="1423"/>
      <c r="I275" s="1423"/>
    </row>
    <row r="276" spans="1:9" hidden="1" outlineLevel="1">
      <c r="A276" s="1414">
        <v>41548</v>
      </c>
      <c r="B276" s="1408" t="s">
        <v>320</v>
      </c>
      <c r="C276" s="1409">
        <v>19970</v>
      </c>
      <c r="D276" s="1410">
        <v>105954</v>
      </c>
      <c r="E276" s="1411">
        <v>205.58</v>
      </c>
      <c r="F276" s="1421">
        <f t="shared" ref="F276:F319" si="11">D276-E276</f>
        <v>105748.42</v>
      </c>
      <c r="G276" s="1422">
        <f t="shared" si="9"/>
        <v>514.39060219865746</v>
      </c>
      <c r="H276" s="1413" t="s">
        <v>599</v>
      </c>
      <c r="I276" s="1413"/>
    </row>
    <row r="277" spans="1:9" hidden="1" outlineLevel="1">
      <c r="A277" s="1414">
        <v>41549</v>
      </c>
      <c r="B277" s="1408" t="s">
        <v>592</v>
      </c>
      <c r="C277" s="1409">
        <v>20879</v>
      </c>
      <c r="D277" s="1410">
        <v>1378307.35</v>
      </c>
      <c r="E277" s="1411">
        <v>1233155.06</v>
      </c>
      <c r="F277" s="1421">
        <f t="shared" si="11"/>
        <v>145152.29000000004</v>
      </c>
      <c r="G277" s="1422">
        <f t="shared" si="9"/>
        <v>0.11770806016884854</v>
      </c>
      <c r="H277" s="1413" t="s">
        <v>599</v>
      </c>
      <c r="I277" s="1413" t="s">
        <v>713</v>
      </c>
    </row>
    <row r="278" spans="1:9" hidden="1" outlineLevel="1">
      <c r="A278" s="1414">
        <v>41549</v>
      </c>
      <c r="B278" s="1408" t="s">
        <v>592</v>
      </c>
      <c r="C278" s="1409">
        <v>20949</v>
      </c>
      <c r="D278" s="1410">
        <v>1336920.77</v>
      </c>
      <c r="E278" s="1411">
        <v>1199025.6200000001</v>
      </c>
      <c r="F278" s="1421">
        <f t="shared" si="11"/>
        <v>137895.14999999991</v>
      </c>
      <c r="G278" s="1422">
        <f t="shared" si="9"/>
        <v>0.11500600796169801</v>
      </c>
      <c r="H278" s="1413" t="s">
        <v>599</v>
      </c>
      <c r="I278" s="1413" t="s">
        <v>714</v>
      </c>
    </row>
    <row r="279" spans="1:9" hidden="1" outlineLevel="1">
      <c r="A279" s="1414">
        <v>41550</v>
      </c>
      <c r="B279" s="1408" t="s">
        <v>321</v>
      </c>
      <c r="C279" s="1409">
        <v>0.60000000000000009</v>
      </c>
      <c r="D279" s="1410">
        <v>33</v>
      </c>
      <c r="E279" s="1411">
        <v>29.82</v>
      </c>
      <c r="F279" s="1421">
        <f t="shared" si="11"/>
        <v>3.1799999999999997</v>
      </c>
      <c r="G279" s="1422">
        <f t="shared" si="9"/>
        <v>0.10663983903420522</v>
      </c>
      <c r="H279" s="1413" t="s">
        <v>590</v>
      </c>
      <c r="I279" s="1413"/>
    </row>
    <row r="280" spans="1:9" hidden="1" outlineLevel="1">
      <c r="A280" s="1414">
        <v>41552</v>
      </c>
      <c r="B280" s="1408" t="s">
        <v>321</v>
      </c>
      <c r="C280" s="1409">
        <v>4</v>
      </c>
      <c r="D280" s="1410">
        <v>220</v>
      </c>
      <c r="E280" s="1411">
        <v>198.62</v>
      </c>
      <c r="F280" s="1421">
        <f t="shared" si="11"/>
        <v>21.379999999999995</v>
      </c>
      <c r="G280" s="1422">
        <f t="shared" si="9"/>
        <v>0.10764273487060716</v>
      </c>
      <c r="H280" s="1413" t="s">
        <v>590</v>
      </c>
      <c r="I280" s="1413"/>
    </row>
    <row r="281" spans="1:9" hidden="1" outlineLevel="1">
      <c r="A281" s="1414">
        <v>41552</v>
      </c>
      <c r="B281" s="1408" t="s">
        <v>489</v>
      </c>
      <c r="C281" s="1409">
        <v>19997</v>
      </c>
      <c r="D281" s="1410">
        <v>444933.25</v>
      </c>
      <c r="E281" s="1411">
        <v>21568.18</v>
      </c>
      <c r="F281" s="1421">
        <f t="shared" si="11"/>
        <v>423365.07</v>
      </c>
      <c r="G281" s="1422">
        <f t="shared" si="9"/>
        <v>19.62915137021297</v>
      </c>
      <c r="H281" s="1413" t="s">
        <v>591</v>
      </c>
      <c r="I281" s="1413"/>
    </row>
    <row r="282" spans="1:9" hidden="1" outlineLevel="1">
      <c r="A282" s="1414">
        <v>41554</v>
      </c>
      <c r="B282" s="1408" t="s">
        <v>321</v>
      </c>
      <c r="C282" s="1409">
        <v>3</v>
      </c>
      <c r="D282" s="1410">
        <v>165</v>
      </c>
      <c r="E282" s="1411">
        <v>133.83000000000001</v>
      </c>
      <c r="F282" s="1421">
        <f t="shared" si="11"/>
        <v>31.169999999999987</v>
      </c>
      <c r="G282" s="1422">
        <f t="shared" si="9"/>
        <v>0.23290741986101759</v>
      </c>
      <c r="H282" s="1413" t="s">
        <v>590</v>
      </c>
      <c r="I282" s="1413"/>
    </row>
    <row r="283" spans="1:9" hidden="1" outlineLevel="1">
      <c r="A283" s="1414">
        <v>41554</v>
      </c>
      <c r="B283" s="1408" t="s">
        <v>592</v>
      </c>
      <c r="C283" s="1409">
        <v>20597</v>
      </c>
      <c r="D283" s="1410">
        <v>1306479.8600000001</v>
      </c>
      <c r="E283" s="1411">
        <v>1227640.42</v>
      </c>
      <c r="F283" s="1421">
        <f t="shared" si="11"/>
        <v>78839.440000000177</v>
      </c>
      <c r="G283" s="1422">
        <f t="shared" si="9"/>
        <v>6.4220303205722223E-2</v>
      </c>
      <c r="H283" s="1413" t="s">
        <v>599</v>
      </c>
      <c r="I283" s="1413" t="s">
        <v>715</v>
      </c>
    </row>
    <row r="284" spans="1:9" hidden="1" outlineLevel="1">
      <c r="A284" s="1414">
        <v>41554</v>
      </c>
      <c r="B284" s="1408" t="s">
        <v>592</v>
      </c>
      <c r="C284" s="1409">
        <v>20960</v>
      </c>
      <c r="D284" s="1410">
        <v>1329505.17</v>
      </c>
      <c r="E284" s="1411">
        <v>1218096.75</v>
      </c>
      <c r="F284" s="1421">
        <f t="shared" si="11"/>
        <v>111408.41999999993</v>
      </c>
      <c r="G284" s="1422">
        <f t="shared" si="9"/>
        <v>9.1461060051264337E-2</v>
      </c>
      <c r="H284" s="1413" t="s">
        <v>599</v>
      </c>
      <c r="I284" s="1413" t="s">
        <v>716</v>
      </c>
    </row>
    <row r="285" spans="1:9" hidden="1" outlineLevel="1">
      <c r="A285" s="1414">
        <v>41556</v>
      </c>
      <c r="B285" s="1408" t="s">
        <v>592</v>
      </c>
      <c r="C285" s="1409">
        <v>20558</v>
      </c>
      <c r="D285" s="1410">
        <v>1312045.28</v>
      </c>
      <c r="E285" s="1411">
        <v>1230822.1200000001</v>
      </c>
      <c r="F285" s="1421">
        <f t="shared" si="11"/>
        <v>81223.159999999916</v>
      </c>
      <c r="G285" s="1422">
        <f t="shared" si="9"/>
        <v>6.5990981702538712E-2</v>
      </c>
      <c r="H285" s="1413" t="s">
        <v>599</v>
      </c>
      <c r="I285" s="1413" t="s">
        <v>717</v>
      </c>
    </row>
    <row r="286" spans="1:9" hidden="1" outlineLevel="1">
      <c r="A286" s="1414">
        <v>41556</v>
      </c>
      <c r="B286" s="1408" t="s">
        <v>592</v>
      </c>
      <c r="C286" s="1409">
        <v>20962</v>
      </c>
      <c r="D286" s="1410">
        <v>1352046.9</v>
      </c>
      <c r="E286" s="1411">
        <v>1242332.57</v>
      </c>
      <c r="F286" s="1421">
        <f t="shared" si="11"/>
        <v>109714.32999999984</v>
      </c>
      <c r="G286" s="1422">
        <f t="shared" si="9"/>
        <v>8.8313172051828148E-2</v>
      </c>
      <c r="H286" s="1413" t="s">
        <v>599</v>
      </c>
      <c r="I286" s="1413" t="s">
        <v>718</v>
      </c>
    </row>
    <row r="287" spans="1:9" hidden="1" outlineLevel="1">
      <c r="A287" s="1414">
        <v>41557</v>
      </c>
      <c r="B287" s="1408" t="s">
        <v>477</v>
      </c>
      <c r="C287" s="1409">
        <v>768</v>
      </c>
      <c r="D287" s="1410">
        <v>41472</v>
      </c>
      <c r="E287" s="1411">
        <v>39667.199999999997</v>
      </c>
      <c r="F287" s="1421">
        <f t="shared" si="11"/>
        <v>1804.8000000000029</v>
      </c>
      <c r="G287" s="1422">
        <f t="shared" si="9"/>
        <v>4.5498547918683525E-2</v>
      </c>
      <c r="H287" s="1413" t="s">
        <v>587</v>
      </c>
      <c r="I287" s="1413"/>
    </row>
    <row r="288" spans="1:9" hidden="1" outlineLevel="1">
      <c r="A288" s="1414">
        <v>41557</v>
      </c>
      <c r="B288" s="1408" t="s">
        <v>321</v>
      </c>
      <c r="C288" s="1409">
        <v>2</v>
      </c>
      <c r="D288" s="1410">
        <v>121</v>
      </c>
      <c r="E288" s="1411">
        <v>109.58</v>
      </c>
      <c r="F288" s="1421">
        <f t="shared" si="11"/>
        <v>11.420000000000002</v>
      </c>
      <c r="G288" s="1422">
        <f t="shared" ref="G288:G351" si="12">F288/E288</f>
        <v>0.10421609782807083</v>
      </c>
      <c r="H288" s="1413" t="s">
        <v>590</v>
      </c>
      <c r="I288" s="1413"/>
    </row>
    <row r="289" spans="1:9" hidden="1" outlineLevel="1">
      <c r="A289" s="1414">
        <v>41557</v>
      </c>
      <c r="B289" s="1408" t="s">
        <v>321</v>
      </c>
      <c r="C289" s="1409">
        <v>129</v>
      </c>
      <c r="D289" s="1410">
        <v>6178</v>
      </c>
      <c r="E289" s="1411">
        <v>6326.72</v>
      </c>
      <c r="F289" s="1421">
        <f t="shared" si="11"/>
        <v>-148.72000000000025</v>
      </c>
      <c r="G289" s="1422">
        <f t="shared" si="12"/>
        <v>-2.3506651155733183E-2</v>
      </c>
      <c r="H289" s="1413" t="s">
        <v>587</v>
      </c>
      <c r="I289" s="1413"/>
    </row>
    <row r="290" spans="1:9" hidden="1" outlineLevel="1">
      <c r="A290" s="1414">
        <v>41561</v>
      </c>
      <c r="B290" s="1408" t="s">
        <v>321</v>
      </c>
      <c r="C290" s="1409">
        <v>1.2</v>
      </c>
      <c r="D290" s="1410">
        <v>66</v>
      </c>
      <c r="E290" s="1411">
        <v>60.54</v>
      </c>
      <c r="F290" s="1421">
        <f t="shared" si="11"/>
        <v>5.4600000000000009</v>
      </c>
      <c r="G290" s="1422">
        <f t="shared" si="12"/>
        <v>9.018830525272549E-2</v>
      </c>
      <c r="H290" s="1413"/>
      <c r="I290" s="1413"/>
    </row>
    <row r="291" spans="1:9" hidden="1" outlineLevel="1">
      <c r="A291" s="1414">
        <v>41561</v>
      </c>
      <c r="B291" s="1408" t="s">
        <v>592</v>
      </c>
      <c r="C291" s="1409">
        <v>20855</v>
      </c>
      <c r="D291" s="1410">
        <v>1341601.32</v>
      </c>
      <c r="E291" s="1411">
        <v>1264458.55</v>
      </c>
      <c r="F291" s="1421">
        <f t="shared" si="11"/>
        <v>77142.770000000019</v>
      </c>
      <c r="G291" s="1422">
        <f t="shared" si="12"/>
        <v>6.100853997942441E-2</v>
      </c>
      <c r="H291" s="1413" t="s">
        <v>599</v>
      </c>
      <c r="I291" s="1413" t="s">
        <v>719</v>
      </c>
    </row>
    <row r="292" spans="1:9" hidden="1" outlineLevel="1">
      <c r="A292" s="1414">
        <v>41561</v>
      </c>
      <c r="B292" s="1408" t="s">
        <v>592</v>
      </c>
      <c r="C292" s="1409">
        <v>20931</v>
      </c>
      <c r="D292" s="1410">
        <v>1346490.39</v>
      </c>
      <c r="E292" s="1411">
        <v>1231447.48</v>
      </c>
      <c r="F292" s="1421">
        <f t="shared" si="11"/>
        <v>115042.90999999992</v>
      </c>
      <c r="G292" s="1422">
        <f t="shared" si="12"/>
        <v>9.3420882228773511E-2</v>
      </c>
      <c r="H292" s="1413" t="s">
        <v>599</v>
      </c>
      <c r="I292" s="1413" t="s">
        <v>720</v>
      </c>
    </row>
    <row r="293" spans="1:9" hidden="1" outlineLevel="1">
      <c r="A293" s="1414">
        <v>41562</v>
      </c>
      <c r="B293" s="1408" t="s">
        <v>321</v>
      </c>
      <c r="C293" s="1409">
        <v>0.2</v>
      </c>
      <c r="D293" s="1410">
        <v>11</v>
      </c>
      <c r="E293" s="1411">
        <v>10.08</v>
      </c>
      <c r="F293" s="1421">
        <f t="shared" si="11"/>
        <v>0.91999999999999993</v>
      </c>
      <c r="G293" s="1422">
        <f t="shared" si="12"/>
        <v>9.1269841269841265E-2</v>
      </c>
      <c r="H293" s="1413" t="s">
        <v>590</v>
      </c>
      <c r="I293" s="1413"/>
    </row>
    <row r="294" spans="1:9" hidden="1" outlineLevel="1">
      <c r="A294" s="1414">
        <v>41562</v>
      </c>
      <c r="B294" s="1408" t="s">
        <v>489</v>
      </c>
      <c r="C294" s="1409">
        <v>11165</v>
      </c>
      <c r="D294" s="1410">
        <v>248421.25</v>
      </c>
      <c r="E294" s="1411">
        <v>17332.47</v>
      </c>
      <c r="F294" s="1421">
        <f t="shared" si="11"/>
        <v>231088.78</v>
      </c>
      <c r="G294" s="1422">
        <f t="shared" si="12"/>
        <v>13.33270907147106</v>
      </c>
      <c r="H294" s="1413" t="s">
        <v>591</v>
      </c>
      <c r="I294" s="1413"/>
    </row>
    <row r="295" spans="1:9" hidden="1" outlineLevel="1">
      <c r="A295" s="1414">
        <v>41563</v>
      </c>
      <c r="B295" s="1408" t="s">
        <v>321</v>
      </c>
      <c r="C295" s="1409">
        <v>0.2</v>
      </c>
      <c r="D295" s="1410">
        <v>11</v>
      </c>
      <c r="E295" s="1411">
        <v>10.08</v>
      </c>
      <c r="F295" s="1421">
        <f t="shared" si="11"/>
        <v>0.91999999999999993</v>
      </c>
      <c r="G295" s="1422">
        <f t="shared" si="12"/>
        <v>9.1269841269841265E-2</v>
      </c>
      <c r="H295" s="1413" t="s">
        <v>590</v>
      </c>
      <c r="I295" s="1413"/>
    </row>
    <row r="296" spans="1:9" hidden="1" outlineLevel="1">
      <c r="A296" s="1414">
        <v>41563</v>
      </c>
      <c r="B296" s="1408" t="s">
        <v>592</v>
      </c>
      <c r="C296" s="1409">
        <v>20882</v>
      </c>
      <c r="D296" s="1410">
        <v>1345602.77</v>
      </c>
      <c r="E296" s="1411">
        <v>1226577.46</v>
      </c>
      <c r="F296" s="1421">
        <f t="shared" si="11"/>
        <v>119025.31000000006</v>
      </c>
      <c r="G296" s="1422">
        <f t="shared" si="12"/>
        <v>9.7038559635687471E-2</v>
      </c>
      <c r="H296" s="1413" t="s">
        <v>599</v>
      </c>
      <c r="I296" s="1413" t="s">
        <v>721</v>
      </c>
    </row>
    <row r="297" spans="1:9" hidden="1" outlineLevel="1">
      <c r="A297" s="1414">
        <v>41565</v>
      </c>
      <c r="B297" s="1408" t="s">
        <v>320</v>
      </c>
      <c r="C297" s="1409">
        <v>16920</v>
      </c>
      <c r="D297" s="1410">
        <v>90458</v>
      </c>
      <c r="E297" s="1411">
        <v>159.13</v>
      </c>
      <c r="F297" s="1421">
        <f t="shared" si="11"/>
        <v>90298.87</v>
      </c>
      <c r="G297" s="1422">
        <f t="shared" si="12"/>
        <v>567.45346571985169</v>
      </c>
      <c r="H297" s="1413" t="s">
        <v>599</v>
      </c>
      <c r="I297" s="1413"/>
    </row>
    <row r="298" spans="1:9" hidden="1" outlineLevel="1">
      <c r="A298" s="1414">
        <v>41566</v>
      </c>
      <c r="B298" s="1408" t="s">
        <v>321</v>
      </c>
      <c r="C298" s="1409">
        <v>0.60000000000000009</v>
      </c>
      <c r="D298" s="1410">
        <v>33</v>
      </c>
      <c r="E298" s="1411">
        <v>30.19</v>
      </c>
      <c r="F298" s="1421">
        <f t="shared" si="11"/>
        <v>2.8099999999999987</v>
      </c>
      <c r="G298" s="1422">
        <f t="shared" si="12"/>
        <v>9.3077177873467989E-2</v>
      </c>
      <c r="H298" s="1413" t="s">
        <v>590</v>
      </c>
      <c r="I298" s="1413"/>
    </row>
    <row r="299" spans="1:9" hidden="1" outlineLevel="1">
      <c r="A299" s="1414">
        <v>41568</v>
      </c>
      <c r="B299" s="1408" t="s">
        <v>592</v>
      </c>
      <c r="C299" s="1409">
        <v>20737</v>
      </c>
      <c r="D299" s="1410">
        <v>1318799.79</v>
      </c>
      <c r="E299" s="1411">
        <f>1224353.5+14315.2</f>
        <v>1238668.7</v>
      </c>
      <c r="F299" s="1421">
        <f t="shared" si="11"/>
        <v>80131.090000000084</v>
      </c>
      <c r="G299" s="1422">
        <f t="shared" si="12"/>
        <v>6.4691301233332277E-2</v>
      </c>
      <c r="H299" s="1413" t="s">
        <v>599</v>
      </c>
      <c r="I299" s="1413" t="s">
        <v>722</v>
      </c>
    </row>
    <row r="300" spans="1:9" hidden="1" outlineLevel="1">
      <c r="A300" s="1414">
        <v>41570</v>
      </c>
      <c r="B300" s="1408" t="s">
        <v>475</v>
      </c>
      <c r="C300" s="1409">
        <v>300</v>
      </c>
      <c r="D300" s="1410">
        <v>15175.19</v>
      </c>
      <c r="E300" s="1411">
        <v>15073.42</v>
      </c>
      <c r="F300" s="1421">
        <f t="shared" si="11"/>
        <v>101.77000000000044</v>
      </c>
      <c r="G300" s="1422">
        <f t="shared" si="12"/>
        <v>6.751619738586229E-3</v>
      </c>
      <c r="H300" s="1413" t="s">
        <v>587</v>
      </c>
      <c r="I300" s="1413"/>
    </row>
    <row r="301" spans="1:9" hidden="1" outlineLevel="1">
      <c r="A301" s="1414">
        <v>41570</v>
      </c>
      <c r="B301" s="1408" t="s">
        <v>321</v>
      </c>
      <c r="C301" s="1409">
        <v>339</v>
      </c>
      <c r="D301" s="1410">
        <v>17243.169999999998</v>
      </c>
      <c r="E301" s="1411">
        <v>17234.169999999998</v>
      </c>
      <c r="F301" s="1421">
        <f t="shared" si="11"/>
        <v>9</v>
      </c>
      <c r="G301" s="1422">
        <f t="shared" si="12"/>
        <v>5.2221836038521155E-4</v>
      </c>
      <c r="H301" s="1413" t="s">
        <v>587</v>
      </c>
      <c r="I301" s="1413"/>
    </row>
    <row r="302" spans="1:9" hidden="1" outlineLevel="1">
      <c r="A302" s="1414">
        <v>41570</v>
      </c>
      <c r="B302" s="1408" t="s">
        <v>586</v>
      </c>
      <c r="C302" s="1409">
        <v>381</v>
      </c>
      <c r="D302" s="1410">
        <v>18931.009999999998</v>
      </c>
      <c r="E302" s="1411">
        <v>18931.009999999998</v>
      </c>
      <c r="F302" s="1421">
        <f t="shared" si="11"/>
        <v>0</v>
      </c>
      <c r="G302" s="1422">
        <f t="shared" si="12"/>
        <v>0</v>
      </c>
      <c r="H302" s="1413" t="s">
        <v>587</v>
      </c>
      <c r="I302" s="1413"/>
    </row>
    <row r="303" spans="1:9" hidden="1" outlineLevel="1">
      <c r="A303" s="1414">
        <v>41570</v>
      </c>
      <c r="B303" s="1408" t="s">
        <v>481</v>
      </c>
      <c r="C303" s="1409">
        <v>234</v>
      </c>
      <c r="D303" s="1410">
        <v>11626.97</v>
      </c>
      <c r="E303" s="1411">
        <v>11626.97</v>
      </c>
      <c r="F303" s="1421">
        <f t="shared" si="11"/>
        <v>0</v>
      </c>
      <c r="G303" s="1422">
        <f t="shared" si="12"/>
        <v>0</v>
      </c>
      <c r="H303" s="1413" t="s">
        <v>587</v>
      </c>
      <c r="I303" s="1413"/>
    </row>
    <row r="304" spans="1:9" hidden="1" outlineLevel="1">
      <c r="A304" s="1414">
        <v>41570</v>
      </c>
      <c r="B304" s="1408" t="s">
        <v>588</v>
      </c>
      <c r="C304" s="1409">
        <v>270</v>
      </c>
      <c r="D304" s="1410">
        <v>10383.459999999999</v>
      </c>
      <c r="E304" s="1411">
        <v>10383.459999999999</v>
      </c>
      <c r="F304" s="1421">
        <f t="shared" si="11"/>
        <v>0</v>
      </c>
      <c r="G304" s="1422">
        <f t="shared" si="12"/>
        <v>0</v>
      </c>
      <c r="H304" s="1413" t="s">
        <v>587</v>
      </c>
      <c r="I304" s="1413"/>
    </row>
    <row r="305" spans="1:9" hidden="1" outlineLevel="1">
      <c r="A305" s="1414">
        <v>41570</v>
      </c>
      <c r="B305" s="1408" t="s">
        <v>589</v>
      </c>
      <c r="C305" s="1409">
        <v>47</v>
      </c>
      <c r="D305" s="1410">
        <v>3096.89</v>
      </c>
      <c r="E305" s="1411">
        <v>3096.89</v>
      </c>
      <c r="F305" s="1421">
        <f t="shared" si="11"/>
        <v>0</v>
      </c>
      <c r="G305" s="1422">
        <f t="shared" si="12"/>
        <v>0</v>
      </c>
      <c r="H305" s="1413" t="s">
        <v>587</v>
      </c>
      <c r="I305" s="1413"/>
    </row>
    <row r="306" spans="1:9" hidden="1" outlineLevel="1">
      <c r="A306" s="1414">
        <v>41571</v>
      </c>
      <c r="B306" s="1408" t="s">
        <v>592</v>
      </c>
      <c r="C306" s="1409">
        <v>20306</v>
      </c>
      <c r="D306" s="1410">
        <v>1287286.08</v>
      </c>
      <c r="E306" s="1411">
        <f>1194648.05+829.17</f>
        <v>1195477.22</v>
      </c>
      <c r="F306" s="1421">
        <f t="shared" si="11"/>
        <v>91808.860000000102</v>
      </c>
      <c r="G306" s="1422">
        <f t="shared" si="12"/>
        <v>7.6796829303029376E-2</v>
      </c>
      <c r="H306" s="1413" t="s">
        <v>599</v>
      </c>
      <c r="I306" s="1413" t="s">
        <v>723</v>
      </c>
    </row>
    <row r="307" spans="1:9" hidden="1" outlineLevel="1">
      <c r="A307" s="1414">
        <v>41573</v>
      </c>
      <c r="B307" s="1408" t="s">
        <v>321</v>
      </c>
      <c r="C307" s="1409">
        <v>2.8</v>
      </c>
      <c r="D307" s="1410">
        <v>154</v>
      </c>
      <c r="E307" s="1411">
        <v>139.82</v>
      </c>
      <c r="F307" s="1421">
        <f t="shared" si="11"/>
        <v>14.180000000000007</v>
      </c>
      <c r="G307" s="1422">
        <f t="shared" si="12"/>
        <v>0.10141610642254333</v>
      </c>
      <c r="H307" s="1413" t="s">
        <v>590</v>
      </c>
      <c r="I307" s="1413"/>
    </row>
    <row r="308" spans="1:9" hidden="1" outlineLevel="1">
      <c r="A308" s="1425">
        <v>41573</v>
      </c>
      <c r="B308" s="1426" t="s">
        <v>320</v>
      </c>
      <c r="C308" s="1427">
        <v>16990</v>
      </c>
      <c r="D308" s="1428">
        <v>90896.5</v>
      </c>
      <c r="E308" s="1429">
        <v>144.46</v>
      </c>
      <c r="F308" s="1430">
        <f t="shared" si="11"/>
        <v>90752.04</v>
      </c>
      <c r="G308" s="1431">
        <f t="shared" si="12"/>
        <v>628.21569984770861</v>
      </c>
      <c r="H308" s="1432" t="s">
        <v>599</v>
      </c>
      <c r="I308" s="1432"/>
    </row>
    <row r="309" spans="1:9" hidden="1" outlineLevel="1">
      <c r="A309" s="1414">
        <v>41574</v>
      </c>
      <c r="B309" s="1408" t="s">
        <v>321</v>
      </c>
      <c r="C309" s="1409">
        <v>2.4</v>
      </c>
      <c r="D309" s="1410">
        <v>132</v>
      </c>
      <c r="E309" s="1411">
        <v>119.76</v>
      </c>
      <c r="F309" s="1421">
        <f t="shared" si="11"/>
        <v>12.239999999999995</v>
      </c>
      <c r="G309" s="1422">
        <f t="shared" si="12"/>
        <v>0.10220440881763522</v>
      </c>
      <c r="H309" s="1413" t="s">
        <v>590</v>
      </c>
      <c r="I309" s="1413"/>
    </row>
    <row r="310" spans="1:9" hidden="1" outlineLevel="1">
      <c r="A310" s="1414">
        <v>41575</v>
      </c>
      <c r="B310" s="1408" t="s">
        <v>592</v>
      </c>
      <c r="C310" s="1409">
        <v>20409</v>
      </c>
      <c r="D310" s="1410">
        <v>1291072.68</v>
      </c>
      <c r="E310" s="1411">
        <f>1157217.37+26739.17</f>
        <v>1183956.54</v>
      </c>
      <c r="F310" s="1421">
        <f t="shared" si="11"/>
        <v>107116.1399999999</v>
      </c>
      <c r="G310" s="1422">
        <f t="shared" si="12"/>
        <v>9.0473033748350168E-2</v>
      </c>
      <c r="H310" s="1413" t="s">
        <v>599</v>
      </c>
      <c r="I310" s="1413" t="s">
        <v>724</v>
      </c>
    </row>
    <row r="311" spans="1:9" hidden="1" outlineLevel="1">
      <c r="A311" s="1414">
        <v>41575</v>
      </c>
      <c r="B311" s="1408" t="s">
        <v>592</v>
      </c>
      <c r="C311" s="1409">
        <v>20775</v>
      </c>
      <c r="D311" s="1410">
        <v>1314225.8799999999</v>
      </c>
      <c r="E311" s="1411">
        <f>1204357.14+16888.97</f>
        <v>1221246.1099999999</v>
      </c>
      <c r="F311" s="1421">
        <f t="shared" si="11"/>
        <v>92979.770000000019</v>
      </c>
      <c r="G311" s="1422">
        <f t="shared" si="12"/>
        <v>7.6135161650586577E-2</v>
      </c>
      <c r="H311" s="1413" t="s">
        <v>599</v>
      </c>
      <c r="I311" s="1413" t="s">
        <v>725</v>
      </c>
    </row>
    <row r="312" spans="1:9" hidden="1" outlineLevel="1">
      <c r="A312" s="1414">
        <v>41576</v>
      </c>
      <c r="B312" s="1408" t="s">
        <v>489</v>
      </c>
      <c r="C312" s="1409">
        <v>21930</v>
      </c>
      <c r="D312" s="1410">
        <v>487942.5</v>
      </c>
      <c r="E312" s="1411">
        <v>23680.81</v>
      </c>
      <c r="F312" s="1421">
        <f t="shared" si="11"/>
        <v>464261.69</v>
      </c>
      <c r="G312" s="1422">
        <f t="shared" si="12"/>
        <v>19.604975083200276</v>
      </c>
      <c r="H312" s="1413" t="s">
        <v>591</v>
      </c>
      <c r="I312" s="1413"/>
    </row>
    <row r="313" spans="1:9" hidden="1" outlineLevel="1">
      <c r="A313" s="1414">
        <v>41577</v>
      </c>
      <c r="B313" s="1408" t="s">
        <v>321</v>
      </c>
      <c r="C313" s="1409">
        <v>28</v>
      </c>
      <c r="D313" s="1410">
        <v>1540</v>
      </c>
      <c r="E313" s="1411">
        <v>1398.37</v>
      </c>
      <c r="F313" s="1421">
        <f t="shared" si="11"/>
        <v>141.63000000000011</v>
      </c>
      <c r="G313" s="1422">
        <f t="shared" si="12"/>
        <v>0.10128220714117159</v>
      </c>
      <c r="H313" s="1413" t="s">
        <v>590</v>
      </c>
      <c r="I313" s="1413"/>
    </row>
    <row r="314" spans="1:9" hidden="1" outlineLevel="1">
      <c r="A314" s="1414">
        <v>41577</v>
      </c>
      <c r="B314" s="1408" t="s">
        <v>592</v>
      </c>
      <c r="C314" s="1409">
        <v>20403</v>
      </c>
      <c r="D314" s="1410">
        <v>1321776.73</v>
      </c>
      <c r="E314" s="1411">
        <f>1251963.84-62561.96</f>
        <v>1189401.8800000001</v>
      </c>
      <c r="F314" s="1421">
        <f t="shared" si="11"/>
        <v>132374.84999999986</v>
      </c>
      <c r="G314" s="1422">
        <f t="shared" si="12"/>
        <v>0.11129530920196616</v>
      </c>
      <c r="H314" s="1413" t="s">
        <v>599</v>
      </c>
      <c r="I314" s="1413" t="s">
        <v>726</v>
      </c>
    </row>
    <row r="315" spans="1:9" hidden="1" outlineLevel="1">
      <c r="A315" s="1414">
        <v>41577</v>
      </c>
      <c r="B315" s="1408" t="s">
        <v>592</v>
      </c>
      <c r="C315" s="1409">
        <v>20473</v>
      </c>
      <c r="D315" s="1410">
        <v>1326311.57</v>
      </c>
      <c r="E315" s="1411">
        <f>1020934.43+159690.33</f>
        <v>1180624.76</v>
      </c>
      <c r="F315" s="1421">
        <f t="shared" si="11"/>
        <v>145686.81000000006</v>
      </c>
      <c r="G315" s="1422">
        <f t="shared" si="12"/>
        <v>0.1233980642587913</v>
      </c>
      <c r="H315" s="1413" t="s">
        <v>599</v>
      </c>
      <c r="I315" s="1413" t="s">
        <v>727</v>
      </c>
    </row>
    <row r="316" spans="1:9" hidden="1" outlineLevel="1">
      <c r="A316" s="1425">
        <v>41578</v>
      </c>
      <c r="B316" s="1426" t="s">
        <v>320</v>
      </c>
      <c r="C316" s="1427">
        <v>34071</v>
      </c>
      <c r="D316" s="1428">
        <v>182279.85</v>
      </c>
      <c r="E316" s="1429">
        <v>305.45</v>
      </c>
      <c r="F316" s="1430">
        <f t="shared" si="11"/>
        <v>181974.39999999999</v>
      </c>
      <c r="G316" s="1431">
        <f t="shared" si="12"/>
        <v>595.75838926174492</v>
      </c>
      <c r="H316" s="1432" t="s">
        <v>599</v>
      </c>
      <c r="I316" s="1432"/>
    </row>
    <row r="317" spans="1:9" hidden="1" outlineLevel="1">
      <c r="A317" s="1414">
        <v>41578</v>
      </c>
      <c r="B317" s="1408" t="s">
        <v>592</v>
      </c>
      <c r="C317" s="1409">
        <v>20678</v>
      </c>
      <c r="D317" s="1410">
        <v>1345098.11</v>
      </c>
      <c r="E317" s="1411">
        <v>1207407.3700000001</v>
      </c>
      <c r="F317" s="1421">
        <f t="shared" si="11"/>
        <v>137690.74</v>
      </c>
      <c r="G317" s="1422">
        <f t="shared" si="12"/>
        <v>0.11403834647787513</v>
      </c>
      <c r="H317" s="1413" t="s">
        <v>599</v>
      </c>
      <c r="I317" s="1413" t="s">
        <v>728</v>
      </c>
    </row>
    <row r="318" spans="1:9" hidden="1" outlineLevel="1">
      <c r="A318" s="1414">
        <v>41578</v>
      </c>
      <c r="B318" s="1408" t="s">
        <v>592</v>
      </c>
      <c r="C318" s="1409">
        <v>20556</v>
      </c>
      <c r="D318" s="1410">
        <v>1337162.04</v>
      </c>
      <c r="E318" s="1411">
        <v>1203253.55</v>
      </c>
      <c r="F318" s="1421">
        <f t="shared" si="11"/>
        <v>133908.49</v>
      </c>
      <c r="G318" s="1422">
        <f t="shared" si="12"/>
        <v>0.11128867228357646</v>
      </c>
      <c r="H318" s="1413" t="s">
        <v>599</v>
      </c>
      <c r="I318" s="1413" t="s">
        <v>729</v>
      </c>
    </row>
    <row r="319" spans="1:9" hidden="1" outlineLevel="1">
      <c r="A319" s="1414"/>
      <c r="B319" s="1408"/>
      <c r="C319" s="1409"/>
      <c r="D319" s="1410"/>
      <c r="E319" s="1411"/>
      <c r="F319" s="1421">
        <f t="shared" si="11"/>
        <v>0</v>
      </c>
      <c r="G319" s="1422" t="e">
        <f t="shared" si="12"/>
        <v>#DIV/0!</v>
      </c>
      <c r="H319" s="1413"/>
      <c r="I319" s="1413"/>
    </row>
    <row r="320" spans="1:9">
      <c r="A320" s="1415" t="s">
        <v>10</v>
      </c>
      <c r="B320" s="1416"/>
      <c r="C320" s="1417">
        <f>SUM(C321:C362)</f>
        <v>539914.80000000005</v>
      </c>
      <c r="D320" s="1417">
        <f>SUM(D321:D362)</f>
        <v>34963983.700000003</v>
      </c>
      <c r="E320" s="1417">
        <f>SUM(E321:E362)</f>
        <v>30301729.210000012</v>
      </c>
      <c r="F320" s="1417">
        <f>SUM(F321:F362)</f>
        <v>4662254.4899999993</v>
      </c>
      <c r="G320" s="1420">
        <f t="shared" si="12"/>
        <v>0.15386100435685326</v>
      </c>
      <c r="H320" s="1423"/>
      <c r="I320" s="1423"/>
    </row>
    <row r="321" spans="1:9" hidden="1" outlineLevel="1">
      <c r="A321" s="1414">
        <v>41580</v>
      </c>
      <c r="B321" s="1408" t="s">
        <v>592</v>
      </c>
      <c r="C321" s="1409">
        <v>20971</v>
      </c>
      <c r="D321" s="1410">
        <v>1368623.24</v>
      </c>
      <c r="E321" s="1411">
        <v>1246969.98</v>
      </c>
      <c r="F321" s="1421">
        <f t="shared" ref="F321:F362" si="13">D321-E321</f>
        <v>121653.26000000001</v>
      </c>
      <c r="G321" s="1422">
        <f t="shared" si="12"/>
        <v>9.7559092801897299E-2</v>
      </c>
      <c r="H321" s="1413" t="s">
        <v>599</v>
      </c>
      <c r="I321" s="1413" t="s">
        <v>730</v>
      </c>
    </row>
    <row r="322" spans="1:9" hidden="1" outlineLevel="1">
      <c r="A322" s="1414">
        <v>41580</v>
      </c>
      <c r="B322" s="1408" t="s">
        <v>592</v>
      </c>
      <c r="C322" s="1409">
        <v>20518</v>
      </c>
      <c r="D322" s="1410">
        <v>1339059.26</v>
      </c>
      <c r="E322" s="1411">
        <v>1191479.83</v>
      </c>
      <c r="F322" s="1421">
        <f t="shared" si="13"/>
        <v>147579.42999999993</v>
      </c>
      <c r="G322" s="1422">
        <f t="shared" si="12"/>
        <v>0.12386229819769583</v>
      </c>
      <c r="H322" s="1413" t="s">
        <v>599</v>
      </c>
      <c r="I322" s="1413" t="s">
        <v>731</v>
      </c>
    </row>
    <row r="323" spans="1:9" hidden="1" outlineLevel="1">
      <c r="A323" s="1414">
        <v>41581</v>
      </c>
      <c r="B323" s="1408" t="s">
        <v>321</v>
      </c>
      <c r="C323" s="1409">
        <v>107</v>
      </c>
      <c r="D323" s="1410">
        <v>5409.67</v>
      </c>
      <c r="E323" s="1411">
        <v>5409.67</v>
      </c>
      <c r="F323" s="1421">
        <f t="shared" si="13"/>
        <v>0</v>
      </c>
      <c r="G323" s="1422">
        <f t="shared" si="12"/>
        <v>0</v>
      </c>
      <c r="H323" s="1413" t="s">
        <v>587</v>
      </c>
      <c r="I323" s="1413"/>
    </row>
    <row r="324" spans="1:9" hidden="1" outlineLevel="1">
      <c r="A324" s="1414">
        <v>41581</v>
      </c>
      <c r="B324" s="1408" t="s">
        <v>586</v>
      </c>
      <c r="C324" s="1409">
        <v>330</v>
      </c>
      <c r="D324" s="1410">
        <v>17361.2</v>
      </c>
      <c r="E324" s="1411">
        <v>17361.2</v>
      </c>
      <c r="F324" s="1421">
        <f t="shared" si="13"/>
        <v>0</v>
      </c>
      <c r="G324" s="1422">
        <f t="shared" si="12"/>
        <v>0</v>
      </c>
      <c r="H324" s="1413" t="s">
        <v>587</v>
      </c>
      <c r="I324" s="1413"/>
    </row>
    <row r="325" spans="1:9" hidden="1" outlineLevel="1">
      <c r="A325" s="1414">
        <v>41581</v>
      </c>
      <c r="B325" s="1408" t="s">
        <v>481</v>
      </c>
      <c r="C325" s="1409">
        <v>141</v>
      </c>
      <c r="D325" s="1410">
        <v>7474.06</v>
      </c>
      <c r="E325" s="1411">
        <v>7474.06</v>
      </c>
      <c r="F325" s="1421">
        <f t="shared" si="13"/>
        <v>0</v>
      </c>
      <c r="G325" s="1422">
        <f t="shared" si="12"/>
        <v>0</v>
      </c>
      <c r="H325" s="1413" t="s">
        <v>587</v>
      </c>
      <c r="I325" s="1413"/>
    </row>
    <row r="326" spans="1:9" hidden="1" outlineLevel="1">
      <c r="A326" s="1414">
        <v>41581</v>
      </c>
      <c r="B326" s="1408" t="s">
        <v>588</v>
      </c>
      <c r="C326" s="1409">
        <v>329</v>
      </c>
      <c r="D326" s="1410">
        <v>14593.77</v>
      </c>
      <c r="E326" s="1411">
        <v>14593.77</v>
      </c>
      <c r="F326" s="1421">
        <f t="shared" si="13"/>
        <v>0</v>
      </c>
      <c r="G326" s="1422">
        <f t="shared" si="12"/>
        <v>0</v>
      </c>
      <c r="H326" s="1413" t="s">
        <v>587</v>
      </c>
      <c r="I326" s="1413"/>
    </row>
    <row r="327" spans="1:9" hidden="1" outlineLevel="1">
      <c r="A327" s="1414">
        <v>41581</v>
      </c>
      <c r="B327" s="1408" t="s">
        <v>589</v>
      </c>
      <c r="C327" s="1409">
        <v>69</v>
      </c>
      <c r="D327" s="1410">
        <v>3853.64</v>
      </c>
      <c r="E327" s="1411">
        <v>3853.64</v>
      </c>
      <c r="F327" s="1421">
        <f t="shared" si="13"/>
        <v>0</v>
      </c>
      <c r="G327" s="1422">
        <f t="shared" si="12"/>
        <v>0</v>
      </c>
      <c r="H327" s="1413" t="s">
        <v>587</v>
      </c>
      <c r="I327" s="1413"/>
    </row>
    <row r="328" spans="1:9" hidden="1" outlineLevel="1">
      <c r="A328" s="1414">
        <v>41582</v>
      </c>
      <c r="B328" s="1408" t="s">
        <v>321</v>
      </c>
      <c r="C328" s="1409">
        <v>11</v>
      </c>
      <c r="D328" s="1410">
        <v>605</v>
      </c>
      <c r="E328" s="1411">
        <v>551.55999999999995</v>
      </c>
      <c r="F328" s="1421">
        <f t="shared" si="13"/>
        <v>53.440000000000055</v>
      </c>
      <c r="G328" s="1422">
        <f t="shared" si="12"/>
        <v>9.6888824425266626E-2</v>
      </c>
      <c r="H328" s="1413" t="s">
        <v>590</v>
      </c>
      <c r="I328" s="1413"/>
    </row>
    <row r="329" spans="1:9" hidden="1" outlineLevel="1">
      <c r="A329" s="1414">
        <v>41582</v>
      </c>
      <c r="B329" s="1408" t="s">
        <v>592</v>
      </c>
      <c r="C329" s="1409">
        <v>20395</v>
      </c>
      <c r="D329" s="1410">
        <v>1331031.95</v>
      </c>
      <c r="E329" s="1411">
        <v>1194405</v>
      </c>
      <c r="F329" s="1421">
        <f t="shared" si="13"/>
        <v>136626.94999999995</v>
      </c>
      <c r="G329" s="1422">
        <f t="shared" si="12"/>
        <v>0.11438913098990706</v>
      </c>
      <c r="H329" s="1413" t="s">
        <v>599</v>
      </c>
      <c r="I329" s="1413" t="s">
        <v>732</v>
      </c>
    </row>
    <row r="330" spans="1:9" hidden="1" outlineLevel="1">
      <c r="A330" s="1414">
        <v>41583</v>
      </c>
      <c r="B330" s="1408" t="s">
        <v>592</v>
      </c>
      <c r="C330" s="1409">
        <v>20333</v>
      </c>
      <c r="D330" s="1410">
        <v>1333519.47</v>
      </c>
      <c r="E330" s="1411">
        <v>1203285.68</v>
      </c>
      <c r="F330" s="1421">
        <f t="shared" si="13"/>
        <v>130233.79000000004</v>
      </c>
      <c r="G330" s="1422">
        <f t="shared" si="12"/>
        <v>0.10823181241548561</v>
      </c>
      <c r="H330" s="1413" t="s">
        <v>599</v>
      </c>
      <c r="I330" s="1413" t="s">
        <v>733</v>
      </c>
    </row>
    <row r="331" spans="1:9" hidden="1" outlineLevel="1">
      <c r="A331" s="1414">
        <v>41584</v>
      </c>
      <c r="B331" s="1408" t="s">
        <v>592</v>
      </c>
      <c r="C331" s="1409">
        <v>20787</v>
      </c>
      <c r="D331" s="1410">
        <v>1363793.5</v>
      </c>
      <c r="E331" s="1411">
        <v>1217868.6399999999</v>
      </c>
      <c r="F331" s="1421">
        <f t="shared" si="13"/>
        <v>145924.8600000001</v>
      </c>
      <c r="G331" s="1422">
        <f t="shared" si="12"/>
        <v>0.11981986825771301</v>
      </c>
      <c r="H331" s="1413" t="s">
        <v>599</v>
      </c>
      <c r="I331" s="1413" t="s">
        <v>734</v>
      </c>
    </row>
    <row r="332" spans="1:9" hidden="1" outlineLevel="1">
      <c r="A332" s="1414">
        <v>41584</v>
      </c>
      <c r="B332" s="1408" t="s">
        <v>592</v>
      </c>
      <c r="C332" s="1409">
        <v>20715</v>
      </c>
      <c r="D332" s="1410">
        <v>1365760.67</v>
      </c>
      <c r="E332" s="1411">
        <v>1209230.24</v>
      </c>
      <c r="F332" s="1421">
        <f t="shared" si="13"/>
        <v>156530.42999999993</v>
      </c>
      <c r="G332" s="1422">
        <f t="shared" si="12"/>
        <v>0.12944634100450542</v>
      </c>
      <c r="H332" s="1413" t="s">
        <v>599</v>
      </c>
      <c r="I332" s="1413" t="s">
        <v>735</v>
      </c>
    </row>
    <row r="333" spans="1:9" hidden="1" outlineLevel="1">
      <c r="A333" s="1414">
        <v>41584</v>
      </c>
      <c r="B333" s="1408" t="s">
        <v>592</v>
      </c>
      <c r="C333" s="1409">
        <v>20553</v>
      </c>
      <c r="D333" s="1410">
        <v>1355079.84</v>
      </c>
      <c r="E333" s="1411">
        <v>1238581.8700000001</v>
      </c>
      <c r="F333" s="1421">
        <f t="shared" si="13"/>
        <v>116497.96999999997</v>
      </c>
      <c r="G333" s="1422">
        <f t="shared" si="12"/>
        <v>9.4057545021226541E-2</v>
      </c>
      <c r="H333" s="1413" t="s">
        <v>599</v>
      </c>
      <c r="I333" s="1413" t="s">
        <v>736</v>
      </c>
    </row>
    <row r="334" spans="1:9" hidden="1" outlineLevel="1">
      <c r="A334" s="1414">
        <v>41585</v>
      </c>
      <c r="B334" s="1408" t="s">
        <v>592</v>
      </c>
      <c r="C334" s="1409">
        <v>20607</v>
      </c>
      <c r="D334" s="1410">
        <v>1362843.95</v>
      </c>
      <c r="E334" s="1411">
        <v>1228312.17</v>
      </c>
      <c r="F334" s="1421">
        <f t="shared" si="13"/>
        <v>134531.78000000003</v>
      </c>
      <c r="G334" s="1422">
        <f t="shared" si="12"/>
        <v>0.10952572423018493</v>
      </c>
      <c r="H334" s="1413" t="s">
        <v>599</v>
      </c>
      <c r="I334" s="1413" t="s">
        <v>737</v>
      </c>
    </row>
    <row r="335" spans="1:9" hidden="1" outlineLevel="1">
      <c r="A335" s="1414">
        <v>41585</v>
      </c>
      <c r="B335" s="1408" t="s">
        <v>592</v>
      </c>
      <c r="C335" s="1409">
        <v>20905</v>
      </c>
      <c r="D335" s="1410">
        <v>1386628.65</v>
      </c>
      <c r="E335" s="1411">
        <v>1231945.29</v>
      </c>
      <c r="F335" s="1421">
        <f t="shared" si="13"/>
        <v>154683.35999999987</v>
      </c>
      <c r="G335" s="1422">
        <f t="shared" si="12"/>
        <v>0.12556025113745098</v>
      </c>
      <c r="H335" s="1413" t="s">
        <v>599</v>
      </c>
      <c r="I335" s="1413" t="s">
        <v>738</v>
      </c>
    </row>
    <row r="336" spans="1:9" hidden="1" outlineLevel="1">
      <c r="A336" s="1414">
        <v>41586</v>
      </c>
      <c r="B336" s="1408" t="s">
        <v>592</v>
      </c>
      <c r="C336" s="1409">
        <v>20848</v>
      </c>
      <c r="D336" s="1410">
        <v>1379831.76</v>
      </c>
      <c r="E336" s="1411">
        <v>1220694.81</v>
      </c>
      <c r="F336" s="1421">
        <f t="shared" si="13"/>
        <v>159136.94999999995</v>
      </c>
      <c r="G336" s="1422">
        <f t="shared" si="12"/>
        <v>0.13036587744646833</v>
      </c>
      <c r="H336" s="1413" t="s">
        <v>599</v>
      </c>
      <c r="I336" s="1413" t="s">
        <v>739</v>
      </c>
    </row>
    <row r="337" spans="1:9" hidden="1" outlineLevel="1">
      <c r="A337" s="1414">
        <v>41587</v>
      </c>
      <c r="B337" s="1408" t="s">
        <v>596</v>
      </c>
      <c r="C337" s="1409">
        <v>1521</v>
      </c>
      <c r="D337" s="1410">
        <v>94302</v>
      </c>
      <c r="E337" s="1411">
        <v>87461.73</v>
      </c>
      <c r="F337" s="1421">
        <f t="shared" si="13"/>
        <v>6840.2700000000041</v>
      </c>
      <c r="G337" s="1422">
        <f t="shared" si="12"/>
        <v>7.820872054554609E-2</v>
      </c>
      <c r="H337" s="1413" t="s">
        <v>587</v>
      </c>
      <c r="I337" s="1413"/>
    </row>
    <row r="338" spans="1:9" hidden="1" outlineLevel="1">
      <c r="A338" s="1414">
        <v>41588</v>
      </c>
      <c r="B338" s="1408" t="s">
        <v>489</v>
      </c>
      <c r="C338" s="1409">
        <v>20705</v>
      </c>
      <c r="D338" s="1410">
        <v>460686.25</v>
      </c>
      <c r="E338" s="1411">
        <v>26430.639999999999</v>
      </c>
      <c r="F338" s="1421">
        <f t="shared" si="13"/>
        <v>434255.61</v>
      </c>
      <c r="G338" s="1422">
        <f t="shared" si="12"/>
        <v>16.430007370233941</v>
      </c>
      <c r="H338" s="1413" t="s">
        <v>591</v>
      </c>
      <c r="I338" s="1413"/>
    </row>
    <row r="339" spans="1:9" hidden="1" outlineLevel="1">
      <c r="A339" s="1414">
        <v>41589</v>
      </c>
      <c r="B339" s="1408" t="s">
        <v>592</v>
      </c>
      <c r="C339" s="1409">
        <v>20949</v>
      </c>
      <c r="D339" s="1410">
        <v>1393693.19</v>
      </c>
      <c r="E339" s="1411">
        <v>1248547.5</v>
      </c>
      <c r="F339" s="1421">
        <f t="shared" si="13"/>
        <v>145145.68999999994</v>
      </c>
      <c r="G339" s="1422">
        <f t="shared" si="12"/>
        <v>0.11625163640149849</v>
      </c>
      <c r="H339" s="1413" t="s">
        <v>599</v>
      </c>
      <c r="I339" s="1413" t="s">
        <v>740</v>
      </c>
    </row>
    <row r="340" spans="1:9" hidden="1" outlineLevel="1">
      <c r="A340" s="1414">
        <v>41589</v>
      </c>
      <c r="B340" s="1408" t="s">
        <v>592</v>
      </c>
      <c r="C340" s="1409">
        <v>20863</v>
      </c>
      <c r="D340" s="1410">
        <v>1387971.79</v>
      </c>
      <c r="E340" s="1411">
        <v>1209020.03</v>
      </c>
      <c r="F340" s="1421">
        <f t="shared" si="13"/>
        <v>178951.76</v>
      </c>
      <c r="G340" s="1422">
        <f t="shared" si="12"/>
        <v>0.14801389187902866</v>
      </c>
      <c r="H340" s="1413" t="s">
        <v>599</v>
      </c>
      <c r="I340" s="1413" t="s">
        <v>741</v>
      </c>
    </row>
    <row r="341" spans="1:9" hidden="1" outlineLevel="1">
      <c r="A341" s="1414">
        <v>41590</v>
      </c>
      <c r="B341" s="1408" t="s">
        <v>321</v>
      </c>
      <c r="C341" s="1409">
        <v>0.4</v>
      </c>
      <c r="D341" s="1410">
        <v>22</v>
      </c>
      <c r="E341" s="1411">
        <v>20.65</v>
      </c>
      <c r="F341" s="1421">
        <f t="shared" si="13"/>
        <v>1.3500000000000014</v>
      </c>
      <c r="G341" s="1422">
        <f t="shared" si="12"/>
        <v>6.5375302663438328E-2</v>
      </c>
      <c r="H341" s="1413" t="s">
        <v>590</v>
      </c>
      <c r="I341" s="1413"/>
    </row>
    <row r="342" spans="1:9" hidden="1" outlineLevel="1">
      <c r="A342" s="1414">
        <v>41591</v>
      </c>
      <c r="B342" s="1408" t="s">
        <v>592</v>
      </c>
      <c r="C342" s="1409">
        <v>20312</v>
      </c>
      <c r="D342" s="1410">
        <v>1362096.92</v>
      </c>
      <c r="E342" s="1411">
        <v>1199138.8899999999</v>
      </c>
      <c r="F342" s="1421">
        <f t="shared" si="13"/>
        <v>162958.03000000003</v>
      </c>
      <c r="G342" s="1422">
        <f t="shared" si="12"/>
        <v>0.13589587608154385</v>
      </c>
      <c r="H342" s="1413" t="s">
        <v>599</v>
      </c>
      <c r="I342" s="1413" t="s">
        <v>742</v>
      </c>
    </row>
    <row r="343" spans="1:9" hidden="1" outlineLevel="1">
      <c r="A343" s="1414">
        <v>41591</v>
      </c>
      <c r="B343" s="1408" t="s">
        <v>592</v>
      </c>
      <c r="C343" s="1409">
        <v>20495</v>
      </c>
      <c r="D343" s="1410">
        <v>1374368.67</v>
      </c>
      <c r="E343" s="1411">
        <v>1207196.93</v>
      </c>
      <c r="F343" s="1421">
        <f t="shared" si="13"/>
        <v>167171.74</v>
      </c>
      <c r="G343" s="1422">
        <f t="shared" si="12"/>
        <v>0.13847926203722205</v>
      </c>
      <c r="H343" s="1413" t="s">
        <v>599</v>
      </c>
      <c r="I343" s="1413" t="s">
        <v>743</v>
      </c>
    </row>
    <row r="344" spans="1:9" hidden="1" outlineLevel="1">
      <c r="A344" s="1414">
        <v>41592</v>
      </c>
      <c r="B344" s="1408" t="s">
        <v>321</v>
      </c>
      <c r="C344" s="1409">
        <v>1.4</v>
      </c>
      <c r="D344" s="1410">
        <v>77</v>
      </c>
      <c r="E344" s="1411">
        <v>71.930000000000007</v>
      </c>
      <c r="F344" s="1421">
        <f t="shared" si="13"/>
        <v>5.0699999999999932</v>
      </c>
      <c r="G344" s="1422">
        <f t="shared" si="12"/>
        <v>7.0485193938551266E-2</v>
      </c>
      <c r="H344" s="1413" t="s">
        <v>590</v>
      </c>
      <c r="I344" s="1413"/>
    </row>
    <row r="345" spans="1:9" hidden="1" outlineLevel="1">
      <c r="A345" s="1414">
        <v>41592</v>
      </c>
      <c r="B345" s="1408" t="s">
        <v>592</v>
      </c>
      <c r="C345" s="1409">
        <v>20999</v>
      </c>
      <c r="D345" s="1410">
        <v>1408629.93</v>
      </c>
      <c r="E345" s="1411">
        <v>1131415.3899999999</v>
      </c>
      <c r="F345" s="1421">
        <f t="shared" si="13"/>
        <v>277214.54000000004</v>
      </c>
      <c r="G345" s="1422">
        <f t="shared" si="12"/>
        <v>0.24501570550494284</v>
      </c>
      <c r="H345" s="1413" t="s">
        <v>599</v>
      </c>
      <c r="I345" s="1413" t="s">
        <v>744</v>
      </c>
    </row>
    <row r="346" spans="1:9" hidden="1" outlineLevel="1">
      <c r="A346" s="1414">
        <v>41593</v>
      </c>
      <c r="B346" s="1408" t="s">
        <v>592</v>
      </c>
      <c r="C346" s="1409">
        <v>20732</v>
      </c>
      <c r="D346" s="1410">
        <v>1385189.3</v>
      </c>
      <c r="E346" s="1411">
        <v>1199952.98</v>
      </c>
      <c r="F346" s="1421">
        <f t="shared" si="13"/>
        <v>185236.32000000007</v>
      </c>
      <c r="G346" s="1422">
        <f t="shared" si="12"/>
        <v>0.1543696487174023</v>
      </c>
      <c r="H346" s="1413" t="s">
        <v>599</v>
      </c>
      <c r="I346" s="1413" t="s">
        <v>745</v>
      </c>
    </row>
    <row r="347" spans="1:9" hidden="1" outlineLevel="1">
      <c r="A347" s="1414">
        <v>41596</v>
      </c>
      <c r="B347" s="1408" t="s">
        <v>592</v>
      </c>
      <c r="C347" s="1409">
        <v>20213</v>
      </c>
      <c r="D347" s="1410">
        <v>1350215.26</v>
      </c>
      <c r="E347" s="1411">
        <v>1073415.6299999999</v>
      </c>
      <c r="F347" s="1421">
        <f t="shared" si="13"/>
        <v>276799.63000000012</v>
      </c>
      <c r="G347" s="1422">
        <f t="shared" si="12"/>
        <v>0.25786808228234964</v>
      </c>
      <c r="H347" s="1413" t="s">
        <v>599</v>
      </c>
      <c r="I347" s="1413" t="s">
        <v>746</v>
      </c>
    </row>
    <row r="348" spans="1:9" hidden="1" outlineLevel="1">
      <c r="A348" s="1414">
        <v>41598</v>
      </c>
      <c r="B348" s="1408" t="s">
        <v>321</v>
      </c>
      <c r="C348" s="1409">
        <f>28+0.2</f>
        <v>28.2</v>
      </c>
      <c r="D348" s="1410">
        <f>1540+11</f>
        <v>1551</v>
      </c>
      <c r="E348" s="1411">
        <f>1440.24+10.29</f>
        <v>1450.53</v>
      </c>
      <c r="F348" s="1421">
        <f t="shared" si="13"/>
        <v>100.47000000000003</v>
      </c>
      <c r="G348" s="1422">
        <f t="shared" si="12"/>
        <v>6.9264337862712272E-2</v>
      </c>
      <c r="H348" s="1413" t="s">
        <v>590</v>
      </c>
      <c r="I348" s="1413"/>
    </row>
    <row r="349" spans="1:9" hidden="1" outlineLevel="1">
      <c r="A349" s="1414">
        <v>41598</v>
      </c>
      <c r="B349" s="1408" t="s">
        <v>592</v>
      </c>
      <c r="C349" s="1409">
        <v>20478</v>
      </c>
      <c r="D349" s="1410">
        <v>1365548.71</v>
      </c>
      <c r="E349" s="1411">
        <v>1203667.3899999999</v>
      </c>
      <c r="F349" s="1421">
        <f t="shared" si="13"/>
        <v>161881.32000000007</v>
      </c>
      <c r="G349" s="1422">
        <f t="shared" si="12"/>
        <v>0.13449007703033317</v>
      </c>
      <c r="H349" s="1413" t="s">
        <v>599</v>
      </c>
      <c r="I349" s="1413" t="s">
        <v>747</v>
      </c>
    </row>
    <row r="350" spans="1:9" hidden="1" outlineLevel="1">
      <c r="A350" s="1414">
        <v>41600</v>
      </c>
      <c r="B350" s="1408" t="s">
        <v>321</v>
      </c>
      <c r="C350" s="1409">
        <v>9</v>
      </c>
      <c r="D350" s="1410">
        <v>495</v>
      </c>
      <c r="E350" s="1411">
        <v>435.87</v>
      </c>
      <c r="F350" s="1421">
        <f t="shared" si="13"/>
        <v>59.129999999999995</v>
      </c>
      <c r="G350" s="1422">
        <f t="shared" si="12"/>
        <v>0.13565971505265331</v>
      </c>
      <c r="H350" s="1413" t="s">
        <v>590</v>
      </c>
      <c r="I350" s="1413"/>
    </row>
    <row r="351" spans="1:9" hidden="1" outlineLevel="1">
      <c r="A351" s="1414">
        <v>41600</v>
      </c>
      <c r="B351" s="1408" t="s">
        <v>592</v>
      </c>
      <c r="C351" s="1409">
        <v>20954</v>
      </c>
      <c r="D351" s="1410">
        <v>1414160.11</v>
      </c>
      <c r="E351" s="1411">
        <v>1185373.21</v>
      </c>
      <c r="F351" s="1421">
        <f t="shared" si="13"/>
        <v>228786.90000000014</v>
      </c>
      <c r="G351" s="1422">
        <f t="shared" si="12"/>
        <v>0.19300832688803565</v>
      </c>
      <c r="H351" s="1413" t="s">
        <v>599</v>
      </c>
      <c r="I351" s="1413" t="s">
        <v>748</v>
      </c>
    </row>
    <row r="352" spans="1:9" hidden="1" outlineLevel="1">
      <c r="A352" s="1414">
        <v>41601</v>
      </c>
      <c r="B352" s="1408" t="s">
        <v>321</v>
      </c>
      <c r="C352" s="1409">
        <v>1.4</v>
      </c>
      <c r="D352" s="1410">
        <v>77</v>
      </c>
      <c r="E352" s="1411">
        <v>68.12</v>
      </c>
      <c r="F352" s="1421">
        <f t="shared" si="13"/>
        <v>8.8799999999999955</v>
      </c>
      <c r="G352" s="1422">
        <f t="shared" ref="G352:G415" si="14">F352/E352</f>
        <v>0.13035819142689364</v>
      </c>
      <c r="H352" s="1413" t="s">
        <v>590</v>
      </c>
      <c r="I352" s="1413"/>
    </row>
    <row r="353" spans="1:9" hidden="1" outlineLevel="1">
      <c r="A353" s="1414">
        <v>41603</v>
      </c>
      <c r="B353" s="1408" t="s">
        <v>592</v>
      </c>
      <c r="C353" s="1409">
        <v>20587</v>
      </c>
      <c r="D353" s="1410">
        <v>1384657.74</v>
      </c>
      <c r="E353" s="1411">
        <v>1153242.78</v>
      </c>
      <c r="F353" s="1421">
        <f t="shared" si="13"/>
        <v>231414.95999999996</v>
      </c>
      <c r="G353" s="1422">
        <f t="shared" si="14"/>
        <v>0.20066456431663068</v>
      </c>
      <c r="H353" s="1413" t="s">
        <v>599</v>
      </c>
      <c r="I353" s="1413" t="s">
        <v>749</v>
      </c>
    </row>
    <row r="354" spans="1:9" hidden="1" outlineLevel="1">
      <c r="A354" s="1414">
        <v>41604</v>
      </c>
      <c r="B354" s="1408" t="s">
        <v>321</v>
      </c>
      <c r="C354" s="1409">
        <v>6</v>
      </c>
      <c r="D354" s="1410">
        <v>330</v>
      </c>
      <c r="E354" s="1411">
        <v>301.27999999999997</v>
      </c>
      <c r="F354" s="1421">
        <f t="shared" si="13"/>
        <v>28.720000000000027</v>
      </c>
      <c r="G354" s="1422">
        <f t="shared" si="14"/>
        <v>9.5326606479022941E-2</v>
      </c>
      <c r="H354" s="1413" t="s">
        <v>590</v>
      </c>
      <c r="I354" s="1413"/>
    </row>
    <row r="355" spans="1:9" hidden="1" outlineLevel="1">
      <c r="A355" s="1414">
        <v>41604</v>
      </c>
      <c r="B355" s="1408" t="s">
        <v>592</v>
      </c>
      <c r="C355" s="1409">
        <v>20370</v>
      </c>
      <c r="D355" s="1410">
        <v>1364558.39</v>
      </c>
      <c r="E355" s="1411">
        <v>1199373.6399999999</v>
      </c>
      <c r="F355" s="1421">
        <f t="shared" si="13"/>
        <v>165184.75</v>
      </c>
      <c r="G355" s="1422">
        <f t="shared" si="14"/>
        <v>0.13772584663441495</v>
      </c>
      <c r="H355" s="1413" t="s">
        <v>599</v>
      </c>
      <c r="I355" s="1413" t="s">
        <v>750</v>
      </c>
    </row>
    <row r="356" spans="1:9" hidden="1" outlineLevel="1">
      <c r="A356" s="1414">
        <v>41605</v>
      </c>
      <c r="B356" s="1408" t="s">
        <v>321</v>
      </c>
      <c r="C356" s="1409">
        <v>2.4</v>
      </c>
      <c r="D356" s="1410">
        <v>132</v>
      </c>
      <c r="E356" s="1411">
        <v>121.72</v>
      </c>
      <c r="F356" s="1421">
        <f t="shared" si="13"/>
        <v>10.280000000000001</v>
      </c>
      <c r="G356" s="1422">
        <f t="shared" si="14"/>
        <v>8.4456128820243198E-2</v>
      </c>
      <c r="H356" s="1413" t="s">
        <v>590</v>
      </c>
      <c r="I356" s="1413"/>
    </row>
    <row r="357" spans="1:9" hidden="1" outlineLevel="1">
      <c r="A357" s="1414">
        <v>41605</v>
      </c>
      <c r="B357" s="1408" t="s">
        <v>592</v>
      </c>
      <c r="C357" s="1409">
        <v>20727</v>
      </c>
      <c r="D357" s="1410">
        <v>1397565.03</v>
      </c>
      <c r="E357" s="1411">
        <v>1212172.2</v>
      </c>
      <c r="F357" s="1421">
        <f t="shared" si="13"/>
        <v>185392.83000000007</v>
      </c>
      <c r="G357" s="1422">
        <f t="shared" si="14"/>
        <v>0.1529426512173766</v>
      </c>
      <c r="H357" s="1413" t="s">
        <v>599</v>
      </c>
      <c r="I357" s="1413" t="s">
        <v>751</v>
      </c>
    </row>
    <row r="358" spans="1:9" hidden="1" outlineLevel="1">
      <c r="A358" s="1414">
        <v>41605</v>
      </c>
      <c r="B358" s="1408" t="s">
        <v>592</v>
      </c>
      <c r="C358" s="1409">
        <v>20520</v>
      </c>
      <c r="D358" s="1410">
        <v>1376161.49</v>
      </c>
      <c r="E358" s="1411">
        <v>1325559.8500000001</v>
      </c>
      <c r="F358" s="1421">
        <f t="shared" si="13"/>
        <v>50601.639999999898</v>
      </c>
      <c r="G358" s="1422">
        <f t="shared" si="14"/>
        <v>3.817378747553337E-2</v>
      </c>
      <c r="H358" s="1413" t="s">
        <v>599</v>
      </c>
      <c r="I358" s="1413" t="s">
        <v>752</v>
      </c>
    </row>
    <row r="359" spans="1:9" hidden="1" outlineLevel="1">
      <c r="A359" s="1414">
        <v>41606</v>
      </c>
      <c r="B359" s="1408" t="s">
        <v>321</v>
      </c>
      <c r="C359" s="1409">
        <v>7</v>
      </c>
      <c r="D359" s="1410">
        <v>385</v>
      </c>
      <c r="E359" s="1411">
        <v>355.01</v>
      </c>
      <c r="F359" s="1421">
        <f t="shared" si="13"/>
        <v>29.990000000000009</v>
      </c>
      <c r="G359" s="1422">
        <f t="shared" si="14"/>
        <v>8.4476493619898063E-2</v>
      </c>
      <c r="H359" s="1413" t="s">
        <v>590</v>
      </c>
      <c r="I359" s="1413"/>
    </row>
    <row r="360" spans="1:9" hidden="1" outlineLevel="1">
      <c r="A360" s="1414">
        <v>41606</v>
      </c>
      <c r="B360" s="1408" t="s">
        <v>592</v>
      </c>
      <c r="C360" s="1409">
        <v>20830</v>
      </c>
      <c r="D360" s="1410">
        <v>1397650.3</v>
      </c>
      <c r="E360" s="1411">
        <v>1235820.1499999999</v>
      </c>
      <c r="F360" s="1421">
        <f t="shared" si="13"/>
        <v>161830.15000000014</v>
      </c>
      <c r="G360" s="1422">
        <f t="shared" si="14"/>
        <v>0.13094959650884488</v>
      </c>
      <c r="H360" s="1413" t="s">
        <v>599</v>
      </c>
      <c r="I360" s="1413" t="s">
        <v>753</v>
      </c>
    </row>
    <row r="361" spans="1:9" hidden="1" outlineLevel="1">
      <c r="A361" s="1414">
        <v>41606</v>
      </c>
      <c r="B361" s="1408" t="s">
        <v>592</v>
      </c>
      <c r="C361" s="1409">
        <v>20980</v>
      </c>
      <c r="D361" s="1410">
        <v>1407714.99</v>
      </c>
      <c r="E361" s="1411">
        <v>1168839.47</v>
      </c>
      <c r="F361" s="1421">
        <f t="shared" si="13"/>
        <v>238875.52000000002</v>
      </c>
      <c r="G361" s="1422">
        <f t="shared" si="14"/>
        <v>0.20436982676500479</v>
      </c>
      <c r="H361" s="1413" t="s">
        <v>599</v>
      </c>
      <c r="I361" s="1413" t="s">
        <v>754</v>
      </c>
    </row>
    <row r="362" spans="1:9" hidden="1" outlineLevel="1">
      <c r="A362" s="1414">
        <v>41608</v>
      </c>
      <c r="B362" s="1408" t="s">
        <v>321</v>
      </c>
      <c r="C362" s="1409">
        <v>5</v>
      </c>
      <c r="D362" s="1410">
        <v>275</v>
      </c>
      <c r="E362" s="1411">
        <v>258.27999999999997</v>
      </c>
      <c r="F362" s="1421">
        <f t="shared" si="13"/>
        <v>16.720000000000027</v>
      </c>
      <c r="G362" s="1422">
        <f t="shared" si="14"/>
        <v>6.4735945485519697E-2</v>
      </c>
      <c r="H362" s="1413" t="s">
        <v>590</v>
      </c>
      <c r="I362" s="1413"/>
    </row>
    <row r="363" spans="1:9">
      <c r="A363" s="1415" t="s">
        <v>11</v>
      </c>
      <c r="B363" s="1416"/>
      <c r="C363" s="1417">
        <f>SUM(C364:C396)</f>
        <v>253781.69999999998</v>
      </c>
      <c r="D363" s="1418">
        <f>SUM(D364:D396)</f>
        <v>14508125.620000003</v>
      </c>
      <c r="E363" s="1419">
        <f>SUM(E364:E396)</f>
        <v>12721494.390000001</v>
      </c>
      <c r="F363" s="1419">
        <f>SUM(F364:F396)</f>
        <v>1786631.2300000002</v>
      </c>
      <c r="G363" s="1420">
        <f t="shared" si="14"/>
        <v>0.1404419304232386</v>
      </c>
      <c r="H363" s="1423"/>
      <c r="I363" s="1423"/>
    </row>
    <row r="364" spans="1:9" hidden="1" outlineLevel="1">
      <c r="A364" s="1414">
        <v>41609</v>
      </c>
      <c r="B364" s="1408" t="s">
        <v>321</v>
      </c>
      <c r="C364" s="1409">
        <v>0.8</v>
      </c>
      <c r="D364" s="1410">
        <v>44</v>
      </c>
      <c r="E364" s="1411">
        <v>41.6</v>
      </c>
      <c r="F364" s="1421">
        <f t="shared" ref="F364:F396" si="15">D364-E364</f>
        <v>2.3999999999999986</v>
      </c>
      <c r="G364" s="1422">
        <f t="shared" si="14"/>
        <v>5.7692307692307654E-2</v>
      </c>
      <c r="H364" s="1413" t="s">
        <v>590</v>
      </c>
      <c r="I364" s="1413"/>
    </row>
    <row r="365" spans="1:9" hidden="1" outlineLevel="1">
      <c r="A365" s="1414">
        <v>41611</v>
      </c>
      <c r="B365" s="1408" t="s">
        <v>321</v>
      </c>
      <c r="C365" s="1409">
        <v>3</v>
      </c>
      <c r="D365" s="1410">
        <v>165</v>
      </c>
      <c r="E365" s="1411">
        <v>155.96</v>
      </c>
      <c r="F365" s="1421">
        <f t="shared" si="15"/>
        <v>9.039999999999992</v>
      </c>
      <c r="G365" s="1422">
        <f t="shared" si="14"/>
        <v>5.7963580405232057E-2</v>
      </c>
      <c r="H365" s="1413" t="s">
        <v>590</v>
      </c>
      <c r="I365" s="1413"/>
    </row>
    <row r="366" spans="1:9" hidden="1" outlineLevel="1">
      <c r="A366" s="1414">
        <v>41611</v>
      </c>
      <c r="B366" s="1408" t="s">
        <v>592</v>
      </c>
      <c r="C366" s="1409">
        <v>20516</v>
      </c>
      <c r="D366" s="1410">
        <v>1382579.19</v>
      </c>
      <c r="E366" s="1411">
        <v>1211488.24</v>
      </c>
      <c r="F366" s="1421">
        <f t="shared" si="15"/>
        <v>171090.94999999995</v>
      </c>
      <c r="G366" s="1422">
        <f t="shared" si="14"/>
        <v>0.1412237810909332</v>
      </c>
      <c r="H366" s="1413" t="s">
        <v>599</v>
      </c>
      <c r="I366" s="1413" t="s">
        <v>755</v>
      </c>
    </row>
    <row r="367" spans="1:9" hidden="1" outlineLevel="1">
      <c r="A367" s="1414">
        <v>41611</v>
      </c>
      <c r="B367" s="1408" t="s">
        <v>592</v>
      </c>
      <c r="C367" s="1409">
        <v>20279</v>
      </c>
      <c r="D367" s="1410">
        <v>1366607.69</v>
      </c>
      <c r="E367" s="1411">
        <v>1201471.23</v>
      </c>
      <c r="F367" s="1421">
        <f t="shared" si="15"/>
        <v>165136.45999999996</v>
      </c>
      <c r="G367" s="1422">
        <f t="shared" si="14"/>
        <v>0.13744520540870542</v>
      </c>
      <c r="H367" s="1413" t="s">
        <v>599</v>
      </c>
      <c r="I367" s="1413" t="s">
        <v>756</v>
      </c>
    </row>
    <row r="368" spans="1:9" hidden="1" outlineLevel="1">
      <c r="A368" s="1414">
        <v>41613</v>
      </c>
      <c r="B368" s="1408" t="s">
        <v>321</v>
      </c>
      <c r="C368" s="1409">
        <v>3</v>
      </c>
      <c r="D368" s="1410">
        <v>165</v>
      </c>
      <c r="E368" s="1411">
        <v>154.69999999999999</v>
      </c>
      <c r="F368" s="1421">
        <f t="shared" si="15"/>
        <v>10.300000000000011</v>
      </c>
      <c r="G368" s="1422">
        <f t="shared" si="14"/>
        <v>6.658047834518431E-2</v>
      </c>
      <c r="H368" s="1413" t="s">
        <v>590</v>
      </c>
      <c r="I368" s="1413"/>
    </row>
    <row r="369" spans="1:9" hidden="1" outlineLevel="1">
      <c r="A369" s="1414">
        <v>41614</v>
      </c>
      <c r="B369" s="1408" t="s">
        <v>592</v>
      </c>
      <c r="C369" s="1409">
        <v>20918</v>
      </c>
      <c r="D369" s="1410">
        <v>1351302.8</v>
      </c>
      <c r="E369" s="1411">
        <v>1251671.1200000001</v>
      </c>
      <c r="F369" s="1421">
        <f t="shared" si="15"/>
        <v>99631.679999999935</v>
      </c>
      <c r="G369" s="1422">
        <f t="shared" si="14"/>
        <v>7.9598928510869471E-2</v>
      </c>
      <c r="H369" s="1413" t="s">
        <v>599</v>
      </c>
      <c r="I369" s="1413" t="s">
        <v>757</v>
      </c>
    </row>
    <row r="370" spans="1:9" hidden="1" outlineLevel="1">
      <c r="A370" s="1414">
        <v>41615</v>
      </c>
      <c r="B370" s="1408" t="s">
        <v>321</v>
      </c>
      <c r="C370" s="1409">
        <v>1.6</v>
      </c>
      <c r="D370" s="1410">
        <v>88</v>
      </c>
      <c r="E370" s="1411">
        <v>82.58</v>
      </c>
      <c r="F370" s="1421">
        <f t="shared" si="15"/>
        <v>5.4200000000000017</v>
      </c>
      <c r="G370" s="1422">
        <f t="shared" si="14"/>
        <v>6.563332526035362E-2</v>
      </c>
      <c r="H370" s="1413" t="s">
        <v>590</v>
      </c>
      <c r="I370" s="1413"/>
    </row>
    <row r="371" spans="1:9" hidden="1" outlineLevel="1">
      <c r="A371" s="1414">
        <v>41616</v>
      </c>
      <c r="B371" s="1408" t="s">
        <v>321</v>
      </c>
      <c r="C371" s="1409">
        <v>1.3</v>
      </c>
      <c r="D371" s="1410">
        <v>71.5</v>
      </c>
      <c r="E371" s="1411">
        <v>67.13</v>
      </c>
      <c r="F371" s="1421">
        <f t="shared" si="15"/>
        <v>4.3700000000000045</v>
      </c>
      <c r="G371" s="1422">
        <f t="shared" si="14"/>
        <v>6.5097571875465582E-2</v>
      </c>
      <c r="H371" s="1413" t="s">
        <v>590</v>
      </c>
      <c r="I371" s="1413"/>
    </row>
    <row r="372" spans="1:9" hidden="1" outlineLevel="1">
      <c r="A372" s="1414">
        <v>41617</v>
      </c>
      <c r="B372" s="1408" t="s">
        <v>480</v>
      </c>
      <c r="C372" s="1409">
        <v>20</v>
      </c>
      <c r="D372" s="1410">
        <v>2200</v>
      </c>
      <c r="E372" s="1411">
        <v>1707.1</v>
      </c>
      <c r="F372" s="1421">
        <f t="shared" si="15"/>
        <v>492.90000000000009</v>
      </c>
      <c r="G372" s="1422">
        <f t="shared" si="14"/>
        <v>0.28873528205729021</v>
      </c>
      <c r="H372" s="1413" t="s">
        <v>646</v>
      </c>
      <c r="I372" s="1413"/>
    </row>
    <row r="373" spans="1:9" hidden="1" outlineLevel="1">
      <c r="A373" s="1414">
        <v>41618</v>
      </c>
      <c r="B373" s="1408" t="s">
        <v>480</v>
      </c>
      <c r="C373" s="1409">
        <v>20</v>
      </c>
      <c r="D373" s="1410">
        <v>2200</v>
      </c>
      <c r="E373" s="1411">
        <v>1707.1</v>
      </c>
      <c r="F373" s="1421">
        <f t="shared" si="15"/>
        <v>492.90000000000009</v>
      </c>
      <c r="G373" s="1422">
        <f t="shared" si="14"/>
        <v>0.28873528205729021</v>
      </c>
      <c r="H373" s="1413" t="s">
        <v>646</v>
      </c>
      <c r="I373" s="1413"/>
    </row>
    <row r="374" spans="1:9" hidden="1" outlineLevel="1">
      <c r="A374" s="1414">
        <v>41618</v>
      </c>
      <c r="B374" s="1408" t="s">
        <v>596</v>
      </c>
      <c r="C374" s="1409">
        <v>25191</v>
      </c>
      <c r="D374" s="1410">
        <v>1354561.06</v>
      </c>
      <c r="E374" s="1411">
        <v>1478680.15</v>
      </c>
      <c r="F374" s="1421">
        <f t="shared" si="15"/>
        <v>-124119.08999999985</v>
      </c>
      <c r="G374" s="1422">
        <f t="shared" si="14"/>
        <v>-8.3939106100802033E-2</v>
      </c>
      <c r="H374" s="1413" t="s">
        <v>611</v>
      </c>
      <c r="I374" s="1413" t="s">
        <v>693</v>
      </c>
    </row>
    <row r="375" spans="1:9" hidden="1" outlineLevel="1">
      <c r="A375" s="1414">
        <v>41619</v>
      </c>
      <c r="B375" s="1408" t="s">
        <v>596</v>
      </c>
      <c r="C375" s="1409">
        <v>25664</v>
      </c>
      <c r="D375" s="1410">
        <v>1405591.62</v>
      </c>
      <c r="E375" s="1411">
        <v>1528611.45</v>
      </c>
      <c r="F375" s="1421">
        <f t="shared" si="15"/>
        <v>-123019.82999999984</v>
      </c>
      <c r="G375" s="1422">
        <f t="shared" si="14"/>
        <v>-8.0478155518199118E-2</v>
      </c>
      <c r="H375" s="1413" t="s">
        <v>611</v>
      </c>
      <c r="I375" s="1413" t="s">
        <v>696</v>
      </c>
    </row>
    <row r="376" spans="1:9" hidden="1" outlineLevel="1">
      <c r="A376" s="1414">
        <v>41620</v>
      </c>
      <c r="B376" s="1408" t="s">
        <v>321</v>
      </c>
      <c r="C376" s="1409">
        <v>11</v>
      </c>
      <c r="D376" s="1410">
        <v>605</v>
      </c>
      <c r="E376" s="1411">
        <v>564.42999999999995</v>
      </c>
      <c r="F376" s="1421">
        <f t="shared" si="15"/>
        <v>40.57000000000005</v>
      </c>
      <c r="G376" s="1422">
        <f t="shared" si="14"/>
        <v>7.1877823645093375E-2</v>
      </c>
      <c r="H376" s="1413" t="s">
        <v>590</v>
      </c>
      <c r="I376" s="1413"/>
    </row>
    <row r="377" spans="1:9" hidden="1" outlineLevel="1">
      <c r="A377" s="1414">
        <v>41624</v>
      </c>
      <c r="B377" s="1408" t="s">
        <v>321</v>
      </c>
      <c r="C377" s="1409">
        <f>312+317+33</f>
        <v>662</v>
      </c>
      <c r="D377" s="1410">
        <f>15507.13+16143.9+1863.65</f>
        <v>33514.68</v>
      </c>
      <c r="E377" s="1411">
        <f>15507.13+16143.9+1691.66</f>
        <v>33342.69</v>
      </c>
      <c r="F377" s="1421">
        <f t="shared" si="15"/>
        <v>171.98999999999796</v>
      </c>
      <c r="G377" s="1422">
        <f t="shared" si="14"/>
        <v>5.1582520786414635E-3</v>
      </c>
      <c r="H377" s="1413" t="s">
        <v>587</v>
      </c>
      <c r="I377" s="1413"/>
    </row>
    <row r="378" spans="1:9" hidden="1" outlineLevel="1">
      <c r="A378" s="1414">
        <v>41624</v>
      </c>
      <c r="B378" s="1408" t="s">
        <v>586</v>
      </c>
      <c r="C378" s="1409">
        <v>147</v>
      </c>
      <c r="D378" s="1410">
        <v>7632.72</v>
      </c>
      <c r="E378" s="1411">
        <v>7628.86</v>
      </c>
      <c r="F378" s="1421">
        <f t="shared" si="15"/>
        <v>3.8600000000005821</v>
      </c>
      <c r="G378" s="1422">
        <f t="shared" si="14"/>
        <v>5.0597336954677139E-4</v>
      </c>
      <c r="H378" s="1413" t="s">
        <v>587</v>
      </c>
      <c r="I378" s="1413"/>
    </row>
    <row r="379" spans="1:9" hidden="1" outlineLevel="1">
      <c r="A379" s="1414">
        <v>41624</v>
      </c>
      <c r="B379" s="1408" t="s">
        <v>481</v>
      </c>
      <c r="C379" s="1409">
        <v>69</v>
      </c>
      <c r="D379" s="1410">
        <v>3582.7</v>
      </c>
      <c r="E379" s="1411">
        <v>3580.89</v>
      </c>
      <c r="F379" s="1421">
        <f t="shared" si="15"/>
        <v>1.8099999999999454</v>
      </c>
      <c r="G379" s="1422">
        <f t="shared" si="14"/>
        <v>5.0546093289655515E-4</v>
      </c>
      <c r="H379" s="1413" t="s">
        <v>587</v>
      </c>
      <c r="I379" s="1413"/>
    </row>
    <row r="380" spans="1:9" hidden="1" outlineLevel="1">
      <c r="A380" s="1414">
        <v>41624</v>
      </c>
      <c r="B380" s="1408" t="s">
        <v>588</v>
      </c>
      <c r="C380" s="1409">
        <v>545</v>
      </c>
      <c r="D380" s="1410">
        <v>15956.72</v>
      </c>
      <c r="E380" s="1411">
        <v>15956.72</v>
      </c>
      <c r="F380" s="1421">
        <f t="shared" si="15"/>
        <v>0</v>
      </c>
      <c r="G380" s="1422">
        <f t="shared" si="14"/>
        <v>0</v>
      </c>
      <c r="H380" s="1413" t="s">
        <v>587</v>
      </c>
      <c r="I380" s="1413"/>
    </row>
    <row r="381" spans="1:9" hidden="1" outlineLevel="1">
      <c r="A381" s="1414">
        <v>41625</v>
      </c>
      <c r="B381" s="1408" t="s">
        <v>321</v>
      </c>
      <c r="C381" s="1409">
        <v>2.4</v>
      </c>
      <c r="D381" s="1410">
        <v>132</v>
      </c>
      <c r="E381" s="1411">
        <v>122.47</v>
      </c>
      <c r="F381" s="1421">
        <f t="shared" si="15"/>
        <v>9.5300000000000011</v>
      </c>
      <c r="G381" s="1422">
        <f t="shared" si="14"/>
        <v>7.7814975095941874E-2</v>
      </c>
      <c r="H381" s="1413" t="s">
        <v>590</v>
      </c>
      <c r="I381" s="1413"/>
    </row>
    <row r="382" spans="1:9" hidden="1" outlineLevel="1">
      <c r="A382" s="1414">
        <v>41625</v>
      </c>
      <c r="B382" s="1408" t="s">
        <v>596</v>
      </c>
      <c r="C382" s="1409">
        <v>27663</v>
      </c>
      <c r="D382" s="1410">
        <v>1860613.38</v>
      </c>
      <c r="E382" s="1411">
        <v>1687490.83</v>
      </c>
      <c r="F382" s="1421">
        <f t="shared" si="15"/>
        <v>173122.54999999981</v>
      </c>
      <c r="G382" s="1422">
        <f t="shared" si="14"/>
        <v>0.1025916982316282</v>
      </c>
      <c r="H382" s="1413" t="s">
        <v>611</v>
      </c>
      <c r="I382" s="1413"/>
    </row>
    <row r="383" spans="1:9" hidden="1" outlineLevel="1">
      <c r="A383" s="1414">
        <v>41625</v>
      </c>
      <c r="B383" s="1408" t="s">
        <v>489</v>
      </c>
      <c r="C383" s="1409">
        <v>20503</v>
      </c>
      <c r="D383" s="1410">
        <v>456191.75</v>
      </c>
      <c r="E383" s="1411">
        <v>14433.04</v>
      </c>
      <c r="F383" s="1421">
        <f t="shared" si="15"/>
        <v>441758.71</v>
      </c>
      <c r="G383" s="1422">
        <f t="shared" si="14"/>
        <v>30.607461075421394</v>
      </c>
      <c r="H383" s="1413" t="s">
        <v>591</v>
      </c>
      <c r="I383" s="1413"/>
    </row>
    <row r="384" spans="1:9" hidden="1" outlineLevel="1">
      <c r="A384" s="1414">
        <v>41627</v>
      </c>
      <c r="B384" s="1408" t="s">
        <v>596</v>
      </c>
      <c r="C384" s="1409">
        <v>28705</v>
      </c>
      <c r="D384" s="1410">
        <v>1930698.3</v>
      </c>
      <c r="E384" s="1411">
        <v>1737041.72</v>
      </c>
      <c r="F384" s="1421">
        <f t="shared" si="15"/>
        <v>193656.58000000007</v>
      </c>
      <c r="G384" s="1422">
        <f t="shared" si="14"/>
        <v>0.11148642992869513</v>
      </c>
      <c r="H384" s="1413" t="s">
        <v>611</v>
      </c>
      <c r="I384" s="1413"/>
    </row>
    <row r="385" spans="1:9" hidden="1" outlineLevel="1">
      <c r="A385" s="1414">
        <v>41629</v>
      </c>
      <c r="B385" s="1408" t="s">
        <v>321</v>
      </c>
      <c r="C385" s="1409">
        <v>3.8</v>
      </c>
      <c r="D385" s="1410">
        <v>132</v>
      </c>
      <c r="E385" s="1411">
        <v>121.82</v>
      </c>
      <c r="F385" s="1421">
        <f t="shared" si="15"/>
        <v>10.180000000000007</v>
      </c>
      <c r="G385" s="1422">
        <f t="shared" si="14"/>
        <v>8.3565916926613096E-2</v>
      </c>
      <c r="H385" s="1413" t="s">
        <v>590</v>
      </c>
      <c r="I385" s="1413"/>
    </row>
    <row r="386" spans="1:9" hidden="1" outlineLevel="1">
      <c r="A386" s="1414">
        <v>41630</v>
      </c>
      <c r="B386" s="1408" t="s">
        <v>321</v>
      </c>
      <c r="C386" s="1409">
        <v>2.8</v>
      </c>
      <c r="D386" s="1410">
        <v>154</v>
      </c>
      <c r="E386" s="1411">
        <v>143.6</v>
      </c>
      <c r="F386" s="1421">
        <f t="shared" si="15"/>
        <v>10.400000000000006</v>
      </c>
      <c r="G386" s="1422">
        <f t="shared" si="14"/>
        <v>7.2423398328690852E-2</v>
      </c>
      <c r="H386" s="1413" t="s">
        <v>590</v>
      </c>
      <c r="I386" s="1413"/>
    </row>
    <row r="387" spans="1:9" hidden="1" outlineLevel="1">
      <c r="A387" s="1414">
        <v>41631</v>
      </c>
      <c r="B387" s="1408" t="s">
        <v>321</v>
      </c>
      <c r="C387" s="1409">
        <v>0.4</v>
      </c>
      <c r="D387" s="1410">
        <v>22</v>
      </c>
      <c r="E387" s="1411">
        <v>20.51</v>
      </c>
      <c r="F387" s="1421">
        <f t="shared" si="15"/>
        <v>1.4899999999999984</v>
      </c>
      <c r="G387" s="1422">
        <f t="shared" si="14"/>
        <v>7.264748902974151E-2</v>
      </c>
      <c r="H387" s="1413" t="s">
        <v>590</v>
      </c>
      <c r="I387" s="1413"/>
    </row>
    <row r="388" spans="1:9" hidden="1" outlineLevel="1">
      <c r="A388" s="1414">
        <v>41632</v>
      </c>
      <c r="B388" s="1408" t="s">
        <v>321</v>
      </c>
      <c r="C388" s="1409">
        <v>2.6</v>
      </c>
      <c r="D388" s="1410">
        <v>143</v>
      </c>
      <c r="E388" s="1411">
        <v>133.06</v>
      </c>
      <c r="F388" s="1421">
        <f t="shared" si="15"/>
        <v>9.9399999999999977</v>
      </c>
      <c r="G388" s="1422">
        <f t="shared" si="14"/>
        <v>7.4703141439951881E-2</v>
      </c>
      <c r="H388" s="1413" t="s">
        <v>590</v>
      </c>
      <c r="I388" s="1413"/>
    </row>
    <row r="389" spans="1:9" hidden="1" outlineLevel="1">
      <c r="A389" s="1414">
        <v>41635</v>
      </c>
      <c r="B389" s="1408" t="s">
        <v>592</v>
      </c>
      <c r="C389" s="1409">
        <v>20271</v>
      </c>
      <c r="D389" s="1410">
        <v>1395630</v>
      </c>
      <c r="E389" s="1411">
        <v>1213012.18</v>
      </c>
      <c r="F389" s="1421">
        <f t="shared" si="15"/>
        <v>182617.82000000007</v>
      </c>
      <c r="G389" s="1422">
        <f t="shared" si="14"/>
        <v>0.15054904065349128</v>
      </c>
      <c r="H389" s="1413" t="s">
        <v>584</v>
      </c>
      <c r="I389" s="1413"/>
    </row>
    <row r="390" spans="1:9" hidden="1" outlineLevel="1">
      <c r="A390" s="1414">
        <v>41635</v>
      </c>
      <c r="B390" s="1408" t="s">
        <v>489</v>
      </c>
      <c r="C390" s="1409">
        <v>20271</v>
      </c>
      <c r="D390" s="1410">
        <v>451029.75</v>
      </c>
      <c r="E390" s="1411">
        <v>15983.15</v>
      </c>
      <c r="F390" s="1421">
        <f t="shared" si="15"/>
        <v>435046.6</v>
      </c>
      <c r="G390" s="1422">
        <f t="shared" si="14"/>
        <v>27.219077591088112</v>
      </c>
      <c r="H390" s="1413" t="s">
        <v>591</v>
      </c>
      <c r="I390" s="1413"/>
    </row>
    <row r="391" spans="1:9" hidden="1" outlineLevel="1">
      <c r="A391" s="1414">
        <v>41638</v>
      </c>
      <c r="B391" s="1408" t="s">
        <v>592</v>
      </c>
      <c r="C391" s="1409">
        <v>21408</v>
      </c>
      <c r="D391" s="1410">
        <v>1445040</v>
      </c>
      <c r="E391" s="1411">
        <v>1270827.95</v>
      </c>
      <c r="F391" s="1421">
        <f t="shared" si="15"/>
        <v>174212.05000000005</v>
      </c>
      <c r="G391" s="1422">
        <f t="shared" si="14"/>
        <v>0.13708547250632949</v>
      </c>
      <c r="H391" s="1413" t="s">
        <v>584</v>
      </c>
      <c r="I391" s="1413"/>
    </row>
    <row r="392" spans="1:9" hidden="1" outlineLevel="1">
      <c r="A392" s="1414">
        <v>41639</v>
      </c>
      <c r="B392" s="1408" t="s">
        <v>321</v>
      </c>
      <c r="C392" s="1409">
        <v>334</v>
      </c>
      <c r="D392" s="1410">
        <v>17139.3</v>
      </c>
      <c r="E392" s="1411">
        <v>17141.04</v>
      </c>
      <c r="F392" s="1421">
        <f t="shared" si="15"/>
        <v>-1.7400000000016007</v>
      </c>
      <c r="G392" s="1422">
        <f t="shared" si="14"/>
        <v>-1.0151076014066827E-4</v>
      </c>
      <c r="H392" s="1413" t="s">
        <v>587</v>
      </c>
      <c r="I392" s="1413"/>
    </row>
    <row r="393" spans="1:9" hidden="1" outlineLevel="1">
      <c r="A393" s="1414">
        <v>41639</v>
      </c>
      <c r="B393" s="1408" t="s">
        <v>586</v>
      </c>
      <c r="C393" s="1409">
        <v>174</v>
      </c>
      <c r="D393" s="1410">
        <v>8936.39</v>
      </c>
      <c r="E393" s="1411">
        <v>8857.24</v>
      </c>
      <c r="F393" s="1421">
        <f t="shared" si="15"/>
        <v>79.149999999999636</v>
      </c>
      <c r="G393" s="1422">
        <f t="shared" si="14"/>
        <v>8.9361923127294317E-3</v>
      </c>
      <c r="H393" s="1413" t="s">
        <v>587</v>
      </c>
      <c r="I393" s="1413"/>
    </row>
    <row r="394" spans="1:9" hidden="1" outlineLevel="1">
      <c r="A394" s="1414">
        <v>41639</v>
      </c>
      <c r="B394" s="1408" t="s">
        <v>481</v>
      </c>
      <c r="C394" s="1409">
        <v>37</v>
      </c>
      <c r="D394" s="1410">
        <v>1900.65</v>
      </c>
      <c r="E394" s="1411">
        <v>1864.22</v>
      </c>
      <c r="F394" s="1421">
        <f t="shared" si="15"/>
        <v>36.430000000000064</v>
      </c>
      <c r="G394" s="1422">
        <f t="shared" si="14"/>
        <v>1.9541684994260369E-2</v>
      </c>
      <c r="H394" s="1413" t="s">
        <v>587</v>
      </c>
      <c r="I394" s="1413"/>
    </row>
    <row r="395" spans="1:9" hidden="1" outlineLevel="1">
      <c r="A395" s="1414">
        <v>41639</v>
      </c>
      <c r="B395" s="1408" t="s">
        <v>588</v>
      </c>
      <c r="C395" s="1409">
        <v>292</v>
      </c>
      <c r="D395" s="1410">
        <v>10635.71</v>
      </c>
      <c r="E395" s="1411">
        <v>14529.9</v>
      </c>
      <c r="F395" s="1421">
        <f t="shared" si="15"/>
        <v>-3894.1900000000005</v>
      </c>
      <c r="G395" s="1422">
        <f t="shared" si="14"/>
        <v>-0.26801216801216804</v>
      </c>
      <c r="H395" s="1413" t="s">
        <v>587</v>
      </c>
      <c r="I395" s="1413"/>
    </row>
    <row r="396" spans="1:9" hidden="1" outlineLevel="1">
      <c r="A396" s="1414">
        <v>41639</v>
      </c>
      <c r="B396" s="1408" t="s">
        <v>589</v>
      </c>
      <c r="C396" s="1409">
        <v>60</v>
      </c>
      <c r="D396" s="1410">
        <v>2859.71</v>
      </c>
      <c r="E396" s="1411">
        <v>2859.71</v>
      </c>
      <c r="F396" s="1421">
        <f t="shared" si="15"/>
        <v>0</v>
      </c>
      <c r="G396" s="1422">
        <f t="shared" si="14"/>
        <v>0</v>
      </c>
      <c r="H396" s="1413" t="s">
        <v>587</v>
      </c>
      <c r="I396" s="1413"/>
    </row>
    <row r="397" spans="1:9">
      <c r="A397" s="1415" t="s">
        <v>0</v>
      </c>
      <c r="B397" s="1416"/>
      <c r="C397" s="1417">
        <f>SUM(C398:C417)</f>
        <v>188141.94000000003</v>
      </c>
      <c r="D397" s="1417">
        <f>SUM(D398:D417)</f>
        <v>12774009.390000001</v>
      </c>
      <c r="E397" s="1417">
        <f>SUM(E398:E417)</f>
        <v>11316742.560000001</v>
      </c>
      <c r="F397" s="1433">
        <f>SUM(F398:F417)</f>
        <v>1457266.8300000005</v>
      </c>
      <c r="G397" s="1420">
        <f t="shared" si="14"/>
        <v>0.12877087397488704</v>
      </c>
      <c r="H397" s="1423"/>
      <c r="I397" s="1423"/>
    </row>
    <row r="398" spans="1:9" hidden="1" outlineLevel="1">
      <c r="A398" s="1414">
        <v>41644</v>
      </c>
      <c r="B398" s="1408" t="s">
        <v>592</v>
      </c>
      <c r="C398" s="1409">
        <v>20602</v>
      </c>
      <c r="D398" s="1410">
        <v>1390635</v>
      </c>
      <c r="E398" s="1411">
        <v>1240545.95</v>
      </c>
      <c r="F398" s="1421">
        <f t="shared" ref="F398:F417" si="16">D398-E398</f>
        <v>150089.05000000005</v>
      </c>
      <c r="G398" s="1422">
        <f t="shared" si="14"/>
        <v>0.1209862883353898</v>
      </c>
      <c r="H398" s="1413" t="s">
        <v>584</v>
      </c>
      <c r="I398" s="1413"/>
    </row>
    <row r="399" spans="1:9" hidden="1" outlineLevel="1">
      <c r="A399" s="1414">
        <v>41647</v>
      </c>
      <c r="B399" s="1408" t="s">
        <v>321</v>
      </c>
      <c r="C399" s="1409">
        <v>3.9</v>
      </c>
      <c r="D399" s="1410">
        <v>214.5</v>
      </c>
      <c r="E399" s="1411">
        <v>199.12</v>
      </c>
      <c r="F399" s="1421">
        <f t="shared" si="16"/>
        <v>15.379999999999995</v>
      </c>
      <c r="G399" s="1422">
        <f t="shared" si="14"/>
        <v>7.7239855363599813E-2</v>
      </c>
      <c r="H399" s="1413" t="s">
        <v>590</v>
      </c>
      <c r="I399" s="1413"/>
    </row>
    <row r="400" spans="1:9" hidden="1" outlineLevel="1">
      <c r="A400" s="1414">
        <v>41649</v>
      </c>
      <c r="B400" s="1408" t="s">
        <v>321</v>
      </c>
      <c r="C400" s="1409">
        <v>1</v>
      </c>
      <c r="D400" s="1410">
        <v>55</v>
      </c>
      <c r="E400" s="1411">
        <v>51.04</v>
      </c>
      <c r="F400" s="1421">
        <f t="shared" si="16"/>
        <v>3.9600000000000009</v>
      </c>
      <c r="G400" s="1422">
        <f t="shared" si="14"/>
        <v>7.758620689655174E-2</v>
      </c>
      <c r="H400" s="1413" t="s">
        <v>590</v>
      </c>
      <c r="I400" s="1413"/>
    </row>
    <row r="401" spans="1:9" hidden="1" outlineLevel="1">
      <c r="A401" s="1414">
        <v>41651</v>
      </c>
      <c r="B401" s="1408" t="s">
        <v>321</v>
      </c>
      <c r="C401" s="1409">
        <v>0.8</v>
      </c>
      <c r="D401" s="1410">
        <v>44</v>
      </c>
      <c r="E401" s="1411">
        <v>40.83</v>
      </c>
      <c r="F401" s="1421">
        <f t="shared" si="16"/>
        <v>3.1700000000000017</v>
      </c>
      <c r="G401" s="1422">
        <f t="shared" si="14"/>
        <v>7.7638990938035807E-2</v>
      </c>
      <c r="H401" s="1413" t="s">
        <v>590</v>
      </c>
      <c r="I401" s="1413"/>
    </row>
    <row r="402" spans="1:9" hidden="1" outlineLevel="1">
      <c r="A402" s="1414">
        <v>41657</v>
      </c>
      <c r="B402" s="1408" t="s">
        <v>321</v>
      </c>
      <c r="C402" s="1409">
        <v>0.4</v>
      </c>
      <c r="D402" s="1410">
        <v>22</v>
      </c>
      <c r="E402" s="1411">
        <v>20.78</v>
      </c>
      <c r="F402" s="1421">
        <f t="shared" si="16"/>
        <v>1.2199999999999989</v>
      </c>
      <c r="G402" s="1422">
        <f t="shared" si="14"/>
        <v>5.8710298363811302E-2</v>
      </c>
      <c r="H402" s="1413" t="s">
        <v>590</v>
      </c>
      <c r="I402" s="1413"/>
    </row>
    <row r="403" spans="1:9" hidden="1" outlineLevel="1">
      <c r="A403" s="1414">
        <v>41658</v>
      </c>
      <c r="B403" s="1408" t="s">
        <v>592</v>
      </c>
      <c r="C403" s="1409">
        <v>20985</v>
      </c>
      <c r="D403" s="1410">
        <v>1411393.89</v>
      </c>
      <c r="E403" s="1411">
        <v>1266057.45</v>
      </c>
      <c r="F403" s="1421">
        <f t="shared" si="16"/>
        <v>145336.43999999994</v>
      </c>
      <c r="G403" s="1422">
        <f t="shared" si="14"/>
        <v>0.11479450636304059</v>
      </c>
      <c r="H403" s="1413" t="s">
        <v>758</v>
      </c>
      <c r="I403" s="1413" t="s">
        <v>759</v>
      </c>
    </row>
    <row r="404" spans="1:9" hidden="1" outlineLevel="1">
      <c r="A404" s="1414">
        <v>41660</v>
      </c>
      <c r="B404" s="1408" t="s">
        <v>592</v>
      </c>
      <c r="C404" s="1409">
        <v>20731</v>
      </c>
      <c r="D404" s="1410">
        <v>1410232.75</v>
      </c>
      <c r="E404" s="1411">
        <v>1228598.3799999999</v>
      </c>
      <c r="F404" s="1421">
        <f t="shared" si="16"/>
        <v>181634.37000000011</v>
      </c>
      <c r="G404" s="1422">
        <f t="shared" si="14"/>
        <v>0.14783868590157195</v>
      </c>
      <c r="H404" s="1413" t="s">
        <v>758</v>
      </c>
      <c r="I404" s="1413" t="s">
        <v>760</v>
      </c>
    </row>
    <row r="405" spans="1:9" hidden="1" outlineLevel="1">
      <c r="A405" s="1414">
        <v>41660</v>
      </c>
      <c r="B405" s="1408" t="s">
        <v>592</v>
      </c>
      <c r="C405" s="1409">
        <v>20940</v>
      </c>
      <c r="D405" s="1410">
        <v>1413450</v>
      </c>
      <c r="E405" s="1411">
        <v>1284234.8899999999</v>
      </c>
      <c r="F405" s="1421">
        <f t="shared" si="16"/>
        <v>129215.1100000001</v>
      </c>
      <c r="G405" s="1422">
        <f t="shared" si="14"/>
        <v>0.10061641449408068</v>
      </c>
      <c r="H405" s="1413" t="s">
        <v>584</v>
      </c>
      <c r="I405" s="1413"/>
    </row>
    <row r="406" spans="1:9" hidden="1" outlineLevel="1">
      <c r="A406" s="1414">
        <v>41661</v>
      </c>
      <c r="B406" s="1408" t="s">
        <v>592</v>
      </c>
      <c r="C406" s="1409">
        <v>20829</v>
      </c>
      <c r="D406" s="1410">
        <v>1422793.36</v>
      </c>
      <c r="E406" s="1411">
        <v>1251140.95</v>
      </c>
      <c r="F406" s="1421">
        <f t="shared" si="16"/>
        <v>171652.41000000015</v>
      </c>
      <c r="G406" s="1422">
        <f t="shared" si="14"/>
        <v>0.13719670033979797</v>
      </c>
      <c r="H406" s="1413" t="s">
        <v>758</v>
      </c>
      <c r="I406" s="1413" t="s">
        <v>761</v>
      </c>
    </row>
    <row r="407" spans="1:9" hidden="1" outlineLevel="1">
      <c r="A407" s="1414">
        <v>41661</v>
      </c>
      <c r="B407" s="1408" t="s">
        <v>592</v>
      </c>
      <c r="C407" s="1409">
        <v>20335</v>
      </c>
      <c r="D407" s="1410">
        <v>1389049.06</v>
      </c>
      <c r="E407" s="1411">
        <v>1203622.8500000001</v>
      </c>
      <c r="F407" s="1421">
        <f t="shared" si="16"/>
        <v>185426.20999999996</v>
      </c>
      <c r="G407" s="1422">
        <f t="shared" si="14"/>
        <v>0.15405673795574748</v>
      </c>
      <c r="H407" s="1413" t="s">
        <v>758</v>
      </c>
      <c r="I407" s="1413" t="s">
        <v>762</v>
      </c>
    </row>
    <row r="408" spans="1:9" hidden="1" outlineLevel="1">
      <c r="A408" s="1414">
        <v>41662</v>
      </c>
      <c r="B408" s="1408" t="s">
        <v>321</v>
      </c>
      <c r="C408" s="1409">
        <v>3.04</v>
      </c>
      <c r="D408" s="1410">
        <v>187</v>
      </c>
      <c r="E408" s="1411">
        <f>52.79+105.58+21.12</f>
        <v>179.49</v>
      </c>
      <c r="F408" s="1421">
        <f t="shared" si="16"/>
        <v>7.5099999999999909</v>
      </c>
      <c r="G408" s="1422">
        <f t="shared" si="14"/>
        <v>4.1840771073597363E-2</v>
      </c>
      <c r="H408" s="1413" t="s">
        <v>590</v>
      </c>
      <c r="I408" s="1413"/>
    </row>
    <row r="409" spans="1:9" hidden="1" outlineLevel="1">
      <c r="A409" s="1414">
        <v>41662</v>
      </c>
      <c r="B409" s="1408" t="s">
        <v>592</v>
      </c>
      <c r="C409" s="1409">
        <v>20738</v>
      </c>
      <c r="D409" s="1410">
        <v>1423457.59</v>
      </c>
      <c r="E409" s="1411">
        <v>1266421.18</v>
      </c>
      <c r="F409" s="1421">
        <f t="shared" si="16"/>
        <v>157036.41000000015</v>
      </c>
      <c r="G409" s="1422">
        <f t="shared" si="14"/>
        <v>0.12400014503863568</v>
      </c>
      <c r="H409" s="1413" t="s">
        <v>758</v>
      </c>
      <c r="I409" s="1413" t="s">
        <v>763</v>
      </c>
    </row>
    <row r="410" spans="1:9" hidden="1" outlineLevel="1">
      <c r="A410" s="1414">
        <v>41662</v>
      </c>
      <c r="B410" s="1408" t="s">
        <v>592</v>
      </c>
      <c r="C410" s="1409">
        <v>20557</v>
      </c>
      <c r="D410" s="1410">
        <v>1411033.74</v>
      </c>
      <c r="E410" s="1411">
        <v>1232811.08</v>
      </c>
      <c r="F410" s="1421">
        <f t="shared" si="16"/>
        <v>178222.65999999992</v>
      </c>
      <c r="G410" s="1422">
        <f t="shared" si="14"/>
        <v>0.14456607576888417</v>
      </c>
      <c r="H410" s="1413" t="s">
        <v>758</v>
      </c>
      <c r="I410" s="1413" t="s">
        <v>764</v>
      </c>
    </row>
    <row r="411" spans="1:9" hidden="1" outlineLevel="1">
      <c r="A411" s="1414">
        <v>41664</v>
      </c>
      <c r="B411" s="1408" t="s">
        <v>321</v>
      </c>
      <c r="C411" s="1409">
        <v>6</v>
      </c>
      <c r="D411" s="1410">
        <v>330</v>
      </c>
      <c r="E411" s="1411">
        <v>317.14999999999998</v>
      </c>
      <c r="F411" s="1421">
        <f t="shared" si="16"/>
        <v>12.850000000000023</v>
      </c>
      <c r="G411" s="1422">
        <f t="shared" si="14"/>
        <v>4.0517105470597586E-2</v>
      </c>
      <c r="H411" s="1413" t="s">
        <v>590</v>
      </c>
      <c r="I411" s="1413"/>
    </row>
    <row r="412" spans="1:9" hidden="1" outlineLevel="1">
      <c r="A412" s="1414">
        <v>41665</v>
      </c>
      <c r="B412" s="1408" t="s">
        <v>321</v>
      </c>
      <c r="C412" s="1409">
        <v>2.2000000000000002</v>
      </c>
      <c r="D412" s="1410">
        <v>121</v>
      </c>
      <c r="E412" s="1411">
        <v>116.62</v>
      </c>
      <c r="F412" s="1421">
        <f t="shared" si="16"/>
        <v>4.3799999999999955</v>
      </c>
      <c r="G412" s="1422">
        <f t="shared" si="14"/>
        <v>3.7557880294975095E-2</v>
      </c>
      <c r="H412" s="1413" t="s">
        <v>590</v>
      </c>
      <c r="I412" s="1413"/>
    </row>
    <row r="413" spans="1:9" hidden="1" outlineLevel="1">
      <c r="A413" s="1414">
        <v>41666</v>
      </c>
      <c r="B413" s="1408" t="s">
        <v>321</v>
      </c>
      <c r="C413" s="1409">
        <v>4.5999999999999996</v>
      </c>
      <c r="D413" s="1410">
        <v>253</v>
      </c>
      <c r="E413" s="1411">
        <v>246.78</v>
      </c>
      <c r="F413" s="1421">
        <f t="shared" si="16"/>
        <v>6.2199999999999989</v>
      </c>
      <c r="G413" s="1422">
        <f t="shared" si="14"/>
        <v>2.5204635707917977E-2</v>
      </c>
      <c r="H413" s="1413" t="s">
        <v>590</v>
      </c>
      <c r="I413" s="1413"/>
    </row>
    <row r="414" spans="1:9" hidden="1" outlineLevel="1">
      <c r="A414" s="1414">
        <v>41666</v>
      </c>
      <c r="B414" s="1408" t="s">
        <v>592</v>
      </c>
      <c r="C414" s="1409">
        <v>21687</v>
      </c>
      <c r="D414" s="1410">
        <v>1463872.5</v>
      </c>
      <c r="E414" s="1411">
        <v>1305397.1399999999</v>
      </c>
      <c r="F414" s="1421">
        <f t="shared" si="16"/>
        <v>158475.3600000001</v>
      </c>
      <c r="G414" s="1422">
        <f t="shared" si="14"/>
        <v>0.12140011276568302</v>
      </c>
      <c r="H414" s="1413" t="s">
        <v>584</v>
      </c>
      <c r="I414" s="1413"/>
    </row>
    <row r="415" spans="1:9" hidden="1" outlineLevel="1">
      <c r="A415" s="1414">
        <v>41669</v>
      </c>
      <c r="B415" s="1408" t="s">
        <v>586</v>
      </c>
      <c r="C415" s="1409">
        <v>453</v>
      </c>
      <c r="D415" s="1410">
        <v>23300</v>
      </c>
      <c r="E415" s="1411">
        <v>23256.71</v>
      </c>
      <c r="F415" s="1421">
        <f t="shared" si="16"/>
        <v>43.290000000000873</v>
      </c>
      <c r="G415" s="1422">
        <f t="shared" si="14"/>
        <v>1.8613982803242968E-3</v>
      </c>
      <c r="H415" s="1413"/>
      <c r="I415" s="1413"/>
    </row>
    <row r="416" spans="1:9" hidden="1" outlineLevel="1">
      <c r="A416" s="1414">
        <v>41669</v>
      </c>
      <c r="B416" s="1408" t="s">
        <v>481</v>
      </c>
      <c r="C416" s="1409">
        <v>260</v>
      </c>
      <c r="D416" s="1410">
        <v>13400</v>
      </c>
      <c r="E416" s="1411">
        <v>13328.72</v>
      </c>
      <c r="F416" s="1421">
        <f t="shared" si="16"/>
        <v>71.280000000000655</v>
      </c>
      <c r="G416" s="1422">
        <f t="shared" ref="G416:G479" si="17">F416/E416</f>
        <v>5.3478503562233029E-3</v>
      </c>
      <c r="H416" s="1413"/>
      <c r="I416" s="1413"/>
    </row>
    <row r="417" spans="1:9" hidden="1" outlineLevel="1">
      <c r="A417" s="1414">
        <v>41670</v>
      </c>
      <c r="B417" s="1408" t="s">
        <v>321</v>
      </c>
      <c r="C417" s="1409">
        <v>3</v>
      </c>
      <c r="D417" s="1410">
        <v>165</v>
      </c>
      <c r="E417" s="1411">
        <v>155.44999999999999</v>
      </c>
      <c r="F417" s="1421">
        <f t="shared" si="16"/>
        <v>9.5500000000000114</v>
      </c>
      <c r="G417" s="1422">
        <f t="shared" si="17"/>
        <v>6.1434544869733113E-2</v>
      </c>
      <c r="H417" s="1413" t="s">
        <v>590</v>
      </c>
      <c r="I417" s="1413"/>
    </row>
    <row r="418" spans="1:9">
      <c r="A418" s="1415" t="s">
        <v>1</v>
      </c>
      <c r="B418" s="1416"/>
      <c r="C418" s="1417">
        <f>SUM(C419:C449)</f>
        <v>339936.66</v>
      </c>
      <c r="D418" s="1417">
        <f>SUM(D419:D449)</f>
        <v>21862603.439999998</v>
      </c>
      <c r="E418" s="1417">
        <f>SUM(E419:E449)</f>
        <v>18215061.879999999</v>
      </c>
      <c r="F418" s="1433">
        <f>SUM(F419:F449)</f>
        <v>3647541.560000001</v>
      </c>
      <c r="G418" s="1420">
        <f t="shared" si="17"/>
        <v>0.20024865048660495</v>
      </c>
      <c r="H418" s="1423"/>
      <c r="I418" s="1423"/>
    </row>
    <row r="419" spans="1:9" hidden="1" outlineLevel="1">
      <c r="A419" s="1414">
        <v>41672</v>
      </c>
      <c r="B419" s="1408" t="s">
        <v>321</v>
      </c>
      <c r="C419" s="1409">
        <v>0.4</v>
      </c>
      <c r="D419" s="1410">
        <v>22</v>
      </c>
      <c r="E419" s="1411">
        <v>21.9</v>
      </c>
      <c r="F419" s="1421">
        <f t="shared" ref="F419:F449" si="18">D419-E419</f>
        <v>0.10000000000000142</v>
      </c>
      <c r="G419" s="1422">
        <f t="shared" si="17"/>
        <v>4.5662100456621653E-3</v>
      </c>
      <c r="H419" s="1413" t="s">
        <v>590</v>
      </c>
      <c r="I419" s="1413"/>
    </row>
    <row r="420" spans="1:9" hidden="1" outlineLevel="1">
      <c r="A420" s="1414">
        <v>41672</v>
      </c>
      <c r="B420" s="1408" t="s">
        <v>592</v>
      </c>
      <c r="C420" s="1409">
        <v>20747</v>
      </c>
      <c r="D420" s="1410">
        <v>1472057.39</v>
      </c>
      <c r="E420" s="1411">
        <v>1234103.92</v>
      </c>
      <c r="F420" s="1421">
        <f t="shared" si="18"/>
        <v>237953.46999999997</v>
      </c>
      <c r="G420" s="1422">
        <f t="shared" si="17"/>
        <v>0.19281477527435451</v>
      </c>
      <c r="H420" s="1413" t="s">
        <v>758</v>
      </c>
      <c r="I420" s="1413" t="s">
        <v>765</v>
      </c>
    </row>
    <row r="421" spans="1:9" hidden="1" outlineLevel="1">
      <c r="A421" s="1414">
        <v>41672</v>
      </c>
      <c r="B421" s="1408" t="s">
        <v>321</v>
      </c>
      <c r="C421" s="1409">
        <v>1.2</v>
      </c>
      <c r="D421" s="1410">
        <v>66</v>
      </c>
      <c r="E421" s="1411">
        <v>66.010000000000005</v>
      </c>
      <c r="F421" s="1421">
        <f t="shared" si="18"/>
        <v>-1.0000000000005116E-2</v>
      </c>
      <c r="G421" s="1422">
        <f t="shared" si="17"/>
        <v>-1.5149219815187268E-4</v>
      </c>
      <c r="H421" s="1413" t="s">
        <v>590</v>
      </c>
      <c r="I421" s="1413"/>
    </row>
    <row r="422" spans="1:9" hidden="1" outlineLevel="1">
      <c r="A422" s="1414">
        <v>41674</v>
      </c>
      <c r="B422" s="1408" t="s">
        <v>321</v>
      </c>
      <c r="C422" s="1409">
        <v>0.2</v>
      </c>
      <c r="D422" s="1410">
        <v>11</v>
      </c>
      <c r="E422" s="1411">
        <v>11.07</v>
      </c>
      <c r="F422" s="1421">
        <f t="shared" si="18"/>
        <v>-7.0000000000000284E-2</v>
      </c>
      <c r="G422" s="1422">
        <f t="shared" si="17"/>
        <v>-6.3233965672990318E-3</v>
      </c>
      <c r="H422" s="1413" t="s">
        <v>590</v>
      </c>
      <c r="I422" s="1413"/>
    </row>
    <row r="423" spans="1:9" hidden="1" outlineLevel="1">
      <c r="A423" s="1414">
        <v>41674</v>
      </c>
      <c r="B423" s="1408" t="s">
        <v>592</v>
      </c>
      <c r="C423" s="1409">
        <v>20898</v>
      </c>
      <c r="D423" s="1410">
        <v>1485076.76</v>
      </c>
      <c r="E423" s="1411">
        <v>1235359.23</v>
      </c>
      <c r="F423" s="1421">
        <f t="shared" si="18"/>
        <v>249717.53000000003</v>
      </c>
      <c r="G423" s="1422">
        <f t="shared" si="17"/>
        <v>0.20214163130509014</v>
      </c>
      <c r="H423" s="1413" t="s">
        <v>758</v>
      </c>
      <c r="I423" s="1413" t="s">
        <v>766</v>
      </c>
    </row>
    <row r="424" spans="1:9" hidden="1" outlineLevel="1">
      <c r="A424" s="1414">
        <v>41675</v>
      </c>
      <c r="B424" s="1408" t="s">
        <v>592</v>
      </c>
      <c r="C424" s="1409">
        <v>20716</v>
      </c>
      <c r="D424" s="1410">
        <v>1481147.1</v>
      </c>
      <c r="E424" s="1411">
        <v>1255666.76</v>
      </c>
      <c r="F424" s="1421">
        <f t="shared" si="18"/>
        <v>225480.34000000008</v>
      </c>
      <c r="G424" s="1422">
        <f t="shared" si="17"/>
        <v>0.17957020698708318</v>
      </c>
      <c r="H424" s="1413" t="s">
        <v>758</v>
      </c>
      <c r="I424" s="1413" t="s">
        <v>767</v>
      </c>
    </row>
    <row r="425" spans="1:9" hidden="1" outlineLevel="1">
      <c r="A425" s="1414">
        <v>41675</v>
      </c>
      <c r="B425" s="1408" t="s">
        <v>592</v>
      </c>
      <c r="C425" s="1409">
        <v>20676</v>
      </c>
      <c r="D425" s="1410">
        <v>1478287.19</v>
      </c>
      <c r="E425" s="1411">
        <v>1213180.1499999999</v>
      </c>
      <c r="F425" s="1421">
        <f t="shared" si="18"/>
        <v>265107.04000000004</v>
      </c>
      <c r="G425" s="1422">
        <f t="shared" si="17"/>
        <v>0.21852240164002029</v>
      </c>
      <c r="H425" s="1413" t="s">
        <v>758</v>
      </c>
      <c r="I425" s="1413" t="s">
        <v>768</v>
      </c>
    </row>
    <row r="426" spans="1:9" hidden="1" outlineLevel="1">
      <c r="A426" s="1414">
        <v>41675</v>
      </c>
      <c r="B426" s="1408" t="s">
        <v>592</v>
      </c>
      <c r="C426" s="1409">
        <v>20237</v>
      </c>
      <c r="D426" s="1410">
        <v>1446899.68</v>
      </c>
      <c r="E426" s="1411">
        <v>1254945.17</v>
      </c>
      <c r="F426" s="1421">
        <f t="shared" si="18"/>
        <v>191954.51</v>
      </c>
      <c r="G426" s="1422">
        <f t="shared" si="17"/>
        <v>0.15295848343716884</v>
      </c>
      <c r="H426" s="1413" t="s">
        <v>758</v>
      </c>
      <c r="I426" s="1413" t="s">
        <v>769</v>
      </c>
    </row>
    <row r="427" spans="1:9" hidden="1" outlineLevel="1">
      <c r="A427" s="1414">
        <v>41675</v>
      </c>
      <c r="B427" s="1408" t="s">
        <v>489</v>
      </c>
      <c r="C427" s="1409">
        <v>22002</v>
      </c>
      <c r="D427" s="1410">
        <v>517047</v>
      </c>
      <c r="E427" s="1411">
        <v>21470.05</v>
      </c>
      <c r="F427" s="1421">
        <f t="shared" si="18"/>
        <v>495576.95</v>
      </c>
      <c r="G427" s="1422">
        <f t="shared" si="17"/>
        <v>23.08224480147927</v>
      </c>
      <c r="H427" s="1413" t="s">
        <v>591</v>
      </c>
      <c r="I427" s="1413"/>
    </row>
    <row r="428" spans="1:9" hidden="1" outlineLevel="1">
      <c r="A428" s="1414">
        <v>41676</v>
      </c>
      <c r="B428" s="1408" t="s">
        <v>592</v>
      </c>
      <c r="C428" s="1409">
        <v>20713</v>
      </c>
      <c r="D428" s="1410">
        <v>1460421.07</v>
      </c>
      <c r="E428" s="1411">
        <v>1257754.83</v>
      </c>
      <c r="F428" s="1421">
        <f t="shared" si="18"/>
        <v>202666.23999999999</v>
      </c>
      <c r="G428" s="1422">
        <f t="shared" si="17"/>
        <v>0.16113334265629492</v>
      </c>
      <c r="H428" s="1413" t="s">
        <v>758</v>
      </c>
      <c r="I428" s="1413" t="s">
        <v>770</v>
      </c>
    </row>
    <row r="429" spans="1:9" hidden="1" outlineLevel="1">
      <c r="A429" s="1414">
        <v>41679</v>
      </c>
      <c r="B429" s="1408" t="s">
        <v>321</v>
      </c>
      <c r="C429" s="1409">
        <v>1.2</v>
      </c>
      <c r="D429" s="1410">
        <v>78</v>
      </c>
      <c r="E429" s="1411">
        <v>66.56</v>
      </c>
      <c r="F429" s="1421">
        <f t="shared" si="18"/>
        <v>11.439999999999998</v>
      </c>
      <c r="G429" s="1422">
        <f t="shared" si="17"/>
        <v>0.17187499999999997</v>
      </c>
      <c r="H429" s="1413" t="s">
        <v>590</v>
      </c>
      <c r="I429" s="1413"/>
    </row>
    <row r="430" spans="1:9" hidden="1" outlineLevel="1">
      <c r="A430" s="1414">
        <v>41681</v>
      </c>
      <c r="B430" s="1408" t="s">
        <v>596</v>
      </c>
      <c r="C430" s="1409">
        <v>18423</v>
      </c>
      <c r="D430" s="1410">
        <v>1289610</v>
      </c>
      <c r="E430" s="1411">
        <f>1145840.14+2437.96</f>
        <v>1148278.0999999999</v>
      </c>
      <c r="F430" s="1421">
        <f t="shared" si="18"/>
        <v>141331.90000000014</v>
      </c>
      <c r="G430" s="1422">
        <f t="shared" si="17"/>
        <v>0.12308159495508984</v>
      </c>
      <c r="H430" s="1413" t="s">
        <v>771</v>
      </c>
      <c r="I430" s="1413"/>
    </row>
    <row r="431" spans="1:9" hidden="1" outlineLevel="1">
      <c r="A431" s="1414">
        <v>41682</v>
      </c>
      <c r="B431" s="1408" t="s">
        <v>772</v>
      </c>
      <c r="C431" s="1409">
        <v>3226</v>
      </c>
      <c r="D431" s="1410">
        <v>70000</v>
      </c>
      <c r="E431" s="1411">
        <f>70319.31+1301.01</f>
        <v>71620.319999999992</v>
      </c>
      <c r="F431" s="1421">
        <f t="shared" si="18"/>
        <v>-1620.3199999999924</v>
      </c>
      <c r="G431" s="1422">
        <f t="shared" si="17"/>
        <v>-2.2623747003643554E-2</v>
      </c>
      <c r="H431" s="1413" t="s">
        <v>587</v>
      </c>
      <c r="I431" s="1413"/>
    </row>
    <row r="432" spans="1:9" hidden="1" outlineLevel="1">
      <c r="A432" s="1414">
        <v>41682</v>
      </c>
      <c r="B432" s="1408" t="s">
        <v>321</v>
      </c>
      <c r="C432" s="1409">
        <f>6.8+1.8</f>
        <v>8.6</v>
      </c>
      <c r="D432" s="1410">
        <f>330+44+99</f>
        <v>473</v>
      </c>
      <c r="E432" s="1411">
        <f>330.21+44.03+99.06</f>
        <v>473.3</v>
      </c>
      <c r="F432" s="1421">
        <f t="shared" si="18"/>
        <v>-0.30000000000001137</v>
      </c>
      <c r="G432" s="1422">
        <f t="shared" si="17"/>
        <v>-6.338474540460836E-4</v>
      </c>
      <c r="H432" s="1413" t="s">
        <v>590</v>
      </c>
      <c r="I432" s="1413"/>
    </row>
    <row r="433" spans="1:9" hidden="1" outlineLevel="1">
      <c r="A433" s="1414">
        <v>41682</v>
      </c>
      <c r="B433" s="1408" t="s">
        <v>592</v>
      </c>
      <c r="C433" s="1409">
        <v>20969</v>
      </c>
      <c r="D433" s="1410">
        <v>1460148.78</v>
      </c>
      <c r="E433" s="1411">
        <v>1314160.46</v>
      </c>
      <c r="F433" s="1421">
        <f t="shared" si="18"/>
        <v>145988.32000000007</v>
      </c>
      <c r="G433" s="1422">
        <f t="shared" si="17"/>
        <v>0.11108865655568428</v>
      </c>
      <c r="H433" s="1413" t="s">
        <v>758</v>
      </c>
      <c r="I433" s="1413" t="s">
        <v>773</v>
      </c>
    </row>
    <row r="434" spans="1:9" hidden="1" outlineLevel="1">
      <c r="A434" s="1414">
        <v>41682</v>
      </c>
      <c r="B434" s="1408" t="s">
        <v>592</v>
      </c>
      <c r="C434" s="1409">
        <v>21486</v>
      </c>
      <c r="D434" s="1410">
        <v>1525506</v>
      </c>
      <c r="E434" s="1411">
        <f>1311160.46+13210.5</f>
        <v>1324370.96</v>
      </c>
      <c r="F434" s="1421">
        <f t="shared" si="18"/>
        <v>201135.04000000004</v>
      </c>
      <c r="G434" s="1422">
        <f t="shared" si="17"/>
        <v>0.15187213105306993</v>
      </c>
      <c r="H434" s="1413" t="s">
        <v>584</v>
      </c>
      <c r="I434" s="1413"/>
    </row>
    <row r="435" spans="1:9" hidden="1" outlineLevel="1">
      <c r="A435" s="1414">
        <v>41686</v>
      </c>
      <c r="B435" s="1408" t="s">
        <v>592</v>
      </c>
      <c r="C435" s="1409">
        <v>20713</v>
      </c>
      <c r="D435" s="1410">
        <v>1461368.96</v>
      </c>
      <c r="E435" s="1411">
        <v>1288943.52</v>
      </c>
      <c r="F435" s="1421">
        <f t="shared" si="18"/>
        <v>172425.43999999994</v>
      </c>
      <c r="G435" s="1422">
        <f t="shared" si="17"/>
        <v>0.13377268850383758</v>
      </c>
      <c r="H435" s="1413" t="s">
        <v>758</v>
      </c>
      <c r="I435" s="1413" t="s">
        <v>774</v>
      </c>
    </row>
    <row r="436" spans="1:9" hidden="1" outlineLevel="1">
      <c r="A436" s="1414">
        <v>41687</v>
      </c>
      <c r="B436" s="1408" t="s">
        <v>321</v>
      </c>
      <c r="C436" s="1409">
        <f>7.06</f>
        <v>7.06</v>
      </c>
      <c r="D436" s="1410">
        <v>494</v>
      </c>
      <c r="E436" s="1411">
        <f>332.3+11.08+77.53</f>
        <v>420.90999999999997</v>
      </c>
      <c r="F436" s="1421">
        <f t="shared" si="18"/>
        <v>73.090000000000032</v>
      </c>
      <c r="G436" s="1422">
        <f t="shared" si="17"/>
        <v>0.17364757311539292</v>
      </c>
      <c r="H436" s="1413" t="s">
        <v>590</v>
      </c>
      <c r="I436" s="1413"/>
    </row>
    <row r="437" spans="1:9" hidden="1" outlineLevel="1">
      <c r="A437" s="1414">
        <v>41687</v>
      </c>
      <c r="B437" s="1408" t="s">
        <v>592</v>
      </c>
      <c r="C437" s="1409">
        <v>20777</v>
      </c>
      <c r="D437" s="1410">
        <v>1465884.37</v>
      </c>
      <c r="E437" s="1411">
        <v>1271161.58</v>
      </c>
      <c r="F437" s="1421">
        <f t="shared" si="18"/>
        <v>194722.79000000004</v>
      </c>
      <c r="G437" s="1422">
        <f t="shared" si="17"/>
        <v>0.15318492398110398</v>
      </c>
      <c r="H437" s="1413" t="s">
        <v>758</v>
      </c>
      <c r="I437" s="1413" t="s">
        <v>775</v>
      </c>
    </row>
    <row r="438" spans="1:9" hidden="1" outlineLevel="1">
      <c r="A438" s="1414">
        <v>41688</v>
      </c>
      <c r="B438" s="1408" t="s">
        <v>592</v>
      </c>
      <c r="C438" s="1409">
        <v>20857</v>
      </c>
      <c r="D438" s="1410">
        <v>1480847</v>
      </c>
      <c r="E438" s="1411">
        <v>1349250.43</v>
      </c>
      <c r="F438" s="1421">
        <f t="shared" si="18"/>
        <v>131596.57000000007</v>
      </c>
      <c r="G438" s="1422">
        <f t="shared" si="17"/>
        <v>9.7533094727270217E-2</v>
      </c>
      <c r="H438" s="1413" t="s">
        <v>584</v>
      </c>
      <c r="I438" s="1413"/>
    </row>
    <row r="439" spans="1:9" hidden="1" outlineLevel="1">
      <c r="A439" s="1414">
        <v>41689</v>
      </c>
      <c r="B439" s="1408" t="s">
        <v>321</v>
      </c>
      <c r="C439" s="1409">
        <v>0.8</v>
      </c>
      <c r="D439" s="1410">
        <v>52</v>
      </c>
      <c r="E439" s="1411">
        <v>44.26</v>
      </c>
      <c r="F439" s="1421">
        <f t="shared" si="18"/>
        <v>7.740000000000002</v>
      </c>
      <c r="G439" s="1422">
        <f t="shared" si="17"/>
        <v>0.174875734297334</v>
      </c>
      <c r="H439" s="1413" t="s">
        <v>590</v>
      </c>
      <c r="I439" s="1413"/>
    </row>
    <row r="440" spans="1:9" hidden="1" outlineLevel="1">
      <c r="A440" s="1414">
        <v>41691</v>
      </c>
      <c r="B440" s="1408" t="s">
        <v>489</v>
      </c>
      <c r="C440" s="1409">
        <v>20089</v>
      </c>
      <c r="D440" s="1410">
        <v>482136</v>
      </c>
      <c r="E440" s="1411">
        <f>31351.96+7566.24</f>
        <v>38918.199999999997</v>
      </c>
      <c r="F440" s="1421">
        <f t="shared" si="18"/>
        <v>443217.8</v>
      </c>
      <c r="G440" s="1422">
        <f t="shared" si="17"/>
        <v>11.388445508785093</v>
      </c>
      <c r="H440" s="1413" t="s">
        <v>591</v>
      </c>
      <c r="I440" s="1413"/>
    </row>
    <row r="441" spans="1:9" hidden="1" outlineLevel="1">
      <c r="A441" s="1414">
        <v>41693</v>
      </c>
      <c r="B441" s="1408" t="s">
        <v>321</v>
      </c>
      <c r="C441" s="1409">
        <v>0.60000000000000009</v>
      </c>
      <c r="D441" s="1410">
        <v>39</v>
      </c>
      <c r="E441" s="1411">
        <v>33.42</v>
      </c>
      <c r="F441" s="1421">
        <f t="shared" si="18"/>
        <v>5.5799999999999983</v>
      </c>
      <c r="G441" s="1422">
        <f t="shared" si="17"/>
        <v>0.16696588868940748</v>
      </c>
      <c r="H441" s="1413" t="s">
        <v>590</v>
      </c>
      <c r="I441" s="1413"/>
    </row>
    <row r="442" spans="1:9" hidden="1" outlineLevel="1">
      <c r="A442" s="1414">
        <v>41693</v>
      </c>
      <c r="B442" s="1408" t="s">
        <v>592</v>
      </c>
      <c r="C442" s="1409">
        <v>20661</v>
      </c>
      <c r="D442" s="1410">
        <v>1475355.06</v>
      </c>
      <c r="E442" s="1411">
        <v>1270461.25</v>
      </c>
      <c r="F442" s="1421">
        <f t="shared" si="18"/>
        <v>204893.81000000006</v>
      </c>
      <c r="G442" s="1422">
        <f t="shared" si="17"/>
        <v>0.16127513531010887</v>
      </c>
      <c r="H442" s="1413" t="s">
        <v>758</v>
      </c>
      <c r="I442" s="1413" t="s">
        <v>776</v>
      </c>
    </row>
    <row r="443" spans="1:9" hidden="1" outlineLevel="1">
      <c r="A443" s="1414">
        <v>41694</v>
      </c>
      <c r="B443" s="1408" t="s">
        <v>321</v>
      </c>
      <c r="C443" s="1409">
        <v>13.2</v>
      </c>
      <c r="D443" s="1410">
        <f>78+845</f>
        <v>923</v>
      </c>
      <c r="E443" s="1411">
        <f>67.1+726.97</f>
        <v>794.07</v>
      </c>
      <c r="F443" s="1421">
        <f t="shared" si="18"/>
        <v>128.92999999999995</v>
      </c>
      <c r="G443" s="1422">
        <f t="shared" si="17"/>
        <v>0.16236603825859175</v>
      </c>
      <c r="H443" s="1413" t="s">
        <v>590</v>
      </c>
      <c r="I443" s="1413"/>
    </row>
    <row r="444" spans="1:9" hidden="1" outlineLevel="1">
      <c r="A444" s="1414">
        <v>41694</v>
      </c>
      <c r="B444" s="1408" t="s">
        <v>592</v>
      </c>
      <c r="C444" s="1409">
        <v>20768</v>
      </c>
      <c r="D444" s="1410">
        <v>1479119.49</v>
      </c>
      <c r="E444" s="1411">
        <f>1318395.38+17492.2</f>
        <v>1335887.5799999998</v>
      </c>
      <c r="F444" s="1421">
        <f t="shared" si="18"/>
        <v>143231.91000000015</v>
      </c>
      <c r="G444" s="1422">
        <f t="shared" si="17"/>
        <v>0.10721853555970642</v>
      </c>
      <c r="H444" s="1413" t="s">
        <v>758</v>
      </c>
      <c r="I444" s="1413" t="s">
        <v>777</v>
      </c>
    </row>
    <row r="445" spans="1:9" hidden="1" outlineLevel="1">
      <c r="A445" s="1414">
        <v>41695</v>
      </c>
      <c r="B445" s="1408" t="s">
        <v>321</v>
      </c>
      <c r="C445" s="1409">
        <v>1.8</v>
      </c>
      <c r="D445" s="1410">
        <v>117</v>
      </c>
      <c r="E445" s="1411">
        <f>100.59+46.42</f>
        <v>147.01</v>
      </c>
      <c r="F445" s="1421">
        <f t="shared" si="18"/>
        <v>-30.009999999999991</v>
      </c>
      <c r="G445" s="1422">
        <f t="shared" si="17"/>
        <v>-0.20413577307666139</v>
      </c>
      <c r="H445" s="1413" t="s">
        <v>590</v>
      </c>
      <c r="I445" s="1413"/>
    </row>
    <row r="446" spans="1:9" hidden="1" outlineLevel="1">
      <c r="A446" s="1414">
        <v>41695</v>
      </c>
      <c r="B446" s="1408" t="s">
        <v>475</v>
      </c>
      <c r="C446" s="1409">
        <v>358</v>
      </c>
      <c r="D446" s="1410">
        <v>19800</v>
      </c>
      <c r="E446" s="1411">
        <f>19985.11-121.08</f>
        <v>19864.03</v>
      </c>
      <c r="F446" s="1421">
        <f t="shared" si="18"/>
        <v>-64.029999999998836</v>
      </c>
      <c r="G446" s="1422">
        <f t="shared" si="17"/>
        <v>-3.2234143826805959E-3</v>
      </c>
      <c r="H446" s="1413" t="s">
        <v>587</v>
      </c>
      <c r="I446" s="1413"/>
    </row>
    <row r="447" spans="1:9" hidden="1" outlineLevel="1">
      <c r="A447" s="1414">
        <v>41695</v>
      </c>
      <c r="B447" s="1408" t="s">
        <v>321</v>
      </c>
      <c r="C447" s="1409">
        <v>4891</v>
      </c>
      <c r="D447" s="1410">
        <v>273000</v>
      </c>
      <c r="E447" s="1411">
        <f>273718.79-2627.65</f>
        <v>271091.13999999996</v>
      </c>
      <c r="F447" s="1421">
        <f t="shared" si="18"/>
        <v>1908.8600000000442</v>
      </c>
      <c r="G447" s="1422">
        <f t="shared" si="17"/>
        <v>7.0413957460950015E-3</v>
      </c>
      <c r="H447" s="1413" t="s">
        <v>587</v>
      </c>
      <c r="I447" s="1413"/>
    </row>
    <row r="448" spans="1:9" hidden="1" outlineLevel="1">
      <c r="A448" s="1414">
        <v>41695</v>
      </c>
      <c r="B448" s="1408" t="s">
        <v>588</v>
      </c>
      <c r="C448" s="1409">
        <v>693</v>
      </c>
      <c r="D448" s="1410">
        <v>36512.589999999997</v>
      </c>
      <c r="E448" s="1411">
        <v>36406.99</v>
      </c>
      <c r="F448" s="1421">
        <f t="shared" si="18"/>
        <v>105.59999999999854</v>
      </c>
      <c r="G448" s="1422">
        <f t="shared" si="17"/>
        <v>2.9005419014315257E-3</v>
      </c>
      <c r="H448" s="1413" t="s">
        <v>587</v>
      </c>
      <c r="I448" s="1413"/>
    </row>
    <row r="449" spans="1:9" hidden="1" outlineLevel="1">
      <c r="A449" s="1414">
        <v>41698</v>
      </c>
      <c r="B449" s="1408" t="s">
        <v>321</v>
      </c>
      <c r="C449" s="1409">
        <v>1.6</v>
      </c>
      <c r="D449" s="1410">
        <v>104</v>
      </c>
      <c r="E449" s="1411">
        <v>88.7</v>
      </c>
      <c r="F449" s="1421">
        <f t="shared" si="18"/>
        <v>15.299999999999997</v>
      </c>
      <c r="G449" s="1422">
        <f t="shared" si="17"/>
        <v>0.17249154453213075</v>
      </c>
      <c r="H449" s="1413" t="s">
        <v>590</v>
      </c>
      <c r="I449" s="1413"/>
    </row>
    <row r="450" spans="1:9">
      <c r="A450" s="1415" t="s">
        <v>2</v>
      </c>
      <c r="B450" s="1416"/>
      <c r="C450" s="1417">
        <f>SUM(C451:C488)</f>
        <v>365058.4</v>
      </c>
      <c r="D450" s="1417">
        <f>SUM(D451:D488)</f>
        <v>25498906.050000001</v>
      </c>
      <c r="E450" s="1417">
        <f>SUM(E451:E488)</f>
        <v>22425701.330000006</v>
      </c>
      <c r="F450" s="1433">
        <f>SUM(F451:F488)</f>
        <v>3073204.72</v>
      </c>
      <c r="G450" s="1420">
        <f t="shared" si="17"/>
        <v>0.13703940290548761</v>
      </c>
      <c r="H450" s="1423"/>
      <c r="I450" s="1423"/>
    </row>
    <row r="451" spans="1:9" hidden="1" outlineLevel="1">
      <c r="A451" s="1414">
        <v>41699</v>
      </c>
      <c r="B451" s="1408" t="s">
        <v>592</v>
      </c>
      <c r="C451" s="1409">
        <v>20324</v>
      </c>
      <c r="D451" s="1410">
        <v>1467857.24</v>
      </c>
      <c r="E451" s="1411">
        <v>1328787.96</v>
      </c>
      <c r="F451" s="1421">
        <f t="shared" ref="F451:F488" si="19">D451-E451</f>
        <v>139069.28000000003</v>
      </c>
      <c r="G451" s="1422">
        <f t="shared" si="17"/>
        <v>0.10465874480078825</v>
      </c>
      <c r="H451" s="1413" t="s">
        <v>758</v>
      </c>
      <c r="I451" s="1413" t="s">
        <v>778</v>
      </c>
    </row>
    <row r="452" spans="1:9" hidden="1" outlineLevel="1">
      <c r="A452" s="1414">
        <v>41700</v>
      </c>
      <c r="B452" s="1408" t="s">
        <v>592</v>
      </c>
      <c r="C452" s="1409">
        <v>20935</v>
      </c>
      <c r="D452" s="1410">
        <v>1514152.09</v>
      </c>
      <c r="E452" s="1411">
        <v>1368141.69</v>
      </c>
      <c r="F452" s="1421">
        <f t="shared" si="19"/>
        <v>146010.40000000014</v>
      </c>
      <c r="G452" s="1422">
        <f t="shared" si="17"/>
        <v>0.10672169488527182</v>
      </c>
      <c r="H452" s="1413" t="s">
        <v>758</v>
      </c>
      <c r="I452" s="1413" t="s">
        <v>779</v>
      </c>
    </row>
    <row r="453" spans="1:9" hidden="1" outlineLevel="1">
      <c r="A453" s="1414">
        <v>41701</v>
      </c>
      <c r="B453" s="1408" t="s">
        <v>321</v>
      </c>
      <c r="C453" s="1409">
        <v>4</v>
      </c>
      <c r="D453" s="1410">
        <v>260</v>
      </c>
      <c r="E453" s="1411">
        <v>226.23</v>
      </c>
      <c r="F453" s="1421">
        <f t="shared" si="19"/>
        <v>33.77000000000001</v>
      </c>
      <c r="G453" s="1422">
        <f t="shared" si="17"/>
        <v>0.14927286389957128</v>
      </c>
      <c r="H453" s="1413" t="s">
        <v>590</v>
      </c>
      <c r="I453" s="1413"/>
    </row>
    <row r="454" spans="1:9" hidden="1" outlineLevel="1">
      <c r="A454" s="1414">
        <v>41702</v>
      </c>
      <c r="B454" s="1408" t="s">
        <v>321</v>
      </c>
      <c r="C454" s="1409">
        <f>4+17</f>
        <v>21</v>
      </c>
      <c r="D454" s="1410">
        <f>260+1105</f>
        <v>1365</v>
      </c>
      <c r="E454" s="1411">
        <f>226.13+961.06</f>
        <v>1187.19</v>
      </c>
      <c r="F454" s="1421">
        <f t="shared" si="19"/>
        <v>177.80999999999995</v>
      </c>
      <c r="G454" s="1422">
        <f t="shared" si="17"/>
        <v>0.14977383569605535</v>
      </c>
      <c r="H454" s="1413" t="s">
        <v>590</v>
      </c>
      <c r="I454" s="1413"/>
    </row>
    <row r="455" spans="1:9" hidden="1" outlineLevel="1">
      <c r="A455" s="1414">
        <v>41702</v>
      </c>
      <c r="B455" s="1408" t="s">
        <v>592</v>
      </c>
      <c r="C455" s="1409">
        <v>21070</v>
      </c>
      <c r="D455" s="1410">
        <v>1552520</v>
      </c>
      <c r="E455" s="1411">
        <v>1371869.08</v>
      </c>
      <c r="F455" s="1421">
        <f t="shared" si="19"/>
        <v>180650.91999999993</v>
      </c>
      <c r="G455" s="1422">
        <f t="shared" si="17"/>
        <v>0.1316823322528706</v>
      </c>
      <c r="H455" s="1413" t="s">
        <v>584</v>
      </c>
      <c r="I455" s="1413" t="s">
        <v>780</v>
      </c>
    </row>
    <row r="456" spans="1:9" hidden="1" outlineLevel="1">
      <c r="A456" s="1414">
        <v>41703</v>
      </c>
      <c r="B456" s="1408" t="s">
        <v>321</v>
      </c>
      <c r="C456" s="1409">
        <v>1.4</v>
      </c>
      <c r="D456" s="1410">
        <v>91</v>
      </c>
      <c r="E456" s="1411">
        <v>76.23</v>
      </c>
      <c r="F456" s="1421">
        <f t="shared" si="19"/>
        <v>14.769999999999996</v>
      </c>
      <c r="G456" s="1422">
        <f t="shared" si="17"/>
        <v>0.19375573921028461</v>
      </c>
      <c r="H456" s="1413" t="s">
        <v>590</v>
      </c>
      <c r="I456" s="1413"/>
    </row>
    <row r="457" spans="1:9" hidden="1" outlineLevel="1">
      <c r="A457" s="1414">
        <v>41703</v>
      </c>
      <c r="B457" s="1408" t="s">
        <v>592</v>
      </c>
      <c r="C457" s="1409">
        <v>20489</v>
      </c>
      <c r="D457" s="1410">
        <v>1485339.83</v>
      </c>
      <c r="E457" s="1411">
        <v>1315635.3</v>
      </c>
      <c r="F457" s="1421">
        <f t="shared" si="19"/>
        <v>169704.53000000003</v>
      </c>
      <c r="G457" s="1422">
        <f t="shared" si="17"/>
        <v>0.12899055688153094</v>
      </c>
      <c r="H457" s="1413" t="s">
        <v>758</v>
      </c>
      <c r="I457" s="1413" t="s">
        <v>781</v>
      </c>
    </row>
    <row r="458" spans="1:9" hidden="1" outlineLevel="1">
      <c r="A458" s="1414">
        <v>41704</v>
      </c>
      <c r="B458" s="1408" t="s">
        <v>321</v>
      </c>
      <c r="C458" s="1409">
        <v>7</v>
      </c>
      <c r="D458" s="1410">
        <v>455</v>
      </c>
      <c r="E458" s="1411">
        <v>393.49</v>
      </c>
      <c r="F458" s="1421">
        <f t="shared" si="19"/>
        <v>61.509999999999991</v>
      </c>
      <c r="G458" s="1422">
        <f t="shared" si="17"/>
        <v>0.15631909324252202</v>
      </c>
      <c r="H458" s="1413" t="s">
        <v>590</v>
      </c>
      <c r="I458" s="1413"/>
    </row>
    <row r="459" spans="1:9" hidden="1" outlineLevel="1">
      <c r="A459" s="1414">
        <v>41705</v>
      </c>
      <c r="B459" s="1408" t="s">
        <v>321</v>
      </c>
      <c r="C459" s="1409">
        <v>0.2</v>
      </c>
      <c r="D459" s="1410">
        <v>13</v>
      </c>
      <c r="E459" s="1411">
        <v>11.28</v>
      </c>
      <c r="F459" s="1421">
        <f t="shared" si="19"/>
        <v>1.7200000000000006</v>
      </c>
      <c r="G459" s="1422">
        <f t="shared" si="17"/>
        <v>0.15248226950354615</v>
      </c>
      <c r="H459" s="1413" t="s">
        <v>590</v>
      </c>
      <c r="I459" s="1413"/>
    </row>
    <row r="460" spans="1:9" hidden="1" outlineLevel="1">
      <c r="A460" s="1414">
        <v>41706</v>
      </c>
      <c r="B460" s="1408" t="s">
        <v>321</v>
      </c>
      <c r="C460" s="1409">
        <v>0.60000000000000009</v>
      </c>
      <c r="D460" s="1410">
        <v>39</v>
      </c>
      <c r="E460" s="1411">
        <v>34.32</v>
      </c>
      <c r="F460" s="1421">
        <f t="shared" si="19"/>
        <v>4.68</v>
      </c>
      <c r="G460" s="1422">
        <f t="shared" si="17"/>
        <v>0.13636363636363635</v>
      </c>
      <c r="H460" s="1413" t="s">
        <v>590</v>
      </c>
      <c r="I460" s="1413"/>
    </row>
    <row r="461" spans="1:9" hidden="1" outlineLevel="1">
      <c r="A461" s="1414">
        <v>41707</v>
      </c>
      <c r="B461" s="1408" t="s">
        <v>321</v>
      </c>
      <c r="C461" s="1409">
        <v>0.2</v>
      </c>
      <c r="D461" s="1410">
        <v>13</v>
      </c>
      <c r="E461" s="1411">
        <v>11.44</v>
      </c>
      <c r="F461" s="1421">
        <f t="shared" si="19"/>
        <v>1.5600000000000005</v>
      </c>
      <c r="G461" s="1422">
        <f t="shared" si="17"/>
        <v>0.13636363636363641</v>
      </c>
      <c r="H461" s="1413" t="s">
        <v>590</v>
      </c>
      <c r="I461" s="1413"/>
    </row>
    <row r="462" spans="1:9" hidden="1" outlineLevel="1">
      <c r="A462" s="1414">
        <v>41710</v>
      </c>
      <c r="B462" s="1408" t="s">
        <v>592</v>
      </c>
      <c r="C462" s="1409">
        <v>20511</v>
      </c>
      <c r="D462" s="1410">
        <v>1517814</v>
      </c>
      <c r="E462" s="1411">
        <v>1344305.31</v>
      </c>
      <c r="F462" s="1421">
        <f t="shared" si="19"/>
        <v>173508.68999999994</v>
      </c>
      <c r="G462" s="1422">
        <f t="shared" si="17"/>
        <v>0.12906940760354502</v>
      </c>
      <c r="H462" s="1413" t="s">
        <v>584</v>
      </c>
      <c r="I462" s="1413" t="s">
        <v>782</v>
      </c>
    </row>
    <row r="463" spans="1:9" hidden="1" outlineLevel="1">
      <c r="A463" s="1414">
        <v>41710</v>
      </c>
      <c r="B463" s="1408" t="s">
        <v>489</v>
      </c>
      <c r="C463" s="1409">
        <v>20342</v>
      </c>
      <c r="D463" s="1410">
        <v>490242.2</v>
      </c>
      <c r="E463" s="1411">
        <v>23497.75</v>
      </c>
      <c r="F463" s="1421">
        <f t="shared" si="19"/>
        <v>466744.45</v>
      </c>
      <c r="G463" s="1422">
        <f t="shared" si="17"/>
        <v>19.863367769254502</v>
      </c>
      <c r="H463" s="1413" t="s">
        <v>591</v>
      </c>
      <c r="I463" s="1413"/>
    </row>
    <row r="464" spans="1:9" hidden="1" outlineLevel="1">
      <c r="A464" s="1414">
        <v>41711</v>
      </c>
      <c r="B464" s="1408" t="s">
        <v>321</v>
      </c>
      <c r="C464" s="1409">
        <v>0.8</v>
      </c>
      <c r="D464" s="1410">
        <v>52</v>
      </c>
      <c r="E464" s="1411">
        <v>45.05</v>
      </c>
      <c r="F464" s="1421">
        <f t="shared" si="19"/>
        <v>6.9500000000000028</v>
      </c>
      <c r="G464" s="1422">
        <f t="shared" si="17"/>
        <v>0.15427302996670372</v>
      </c>
      <c r="H464" s="1413" t="s">
        <v>590</v>
      </c>
      <c r="I464" s="1413"/>
    </row>
    <row r="465" spans="1:9" hidden="1" outlineLevel="1">
      <c r="A465" s="1414">
        <v>41711</v>
      </c>
      <c r="B465" s="1408" t="s">
        <v>596</v>
      </c>
      <c r="C465" s="1409">
        <v>24201</v>
      </c>
      <c r="D465" s="1410">
        <v>1741987.98</v>
      </c>
      <c r="E465" s="1411">
        <v>1558300</v>
      </c>
      <c r="F465" s="1421">
        <f t="shared" si="19"/>
        <v>183687.97999999998</v>
      </c>
      <c r="G465" s="1422">
        <f t="shared" si="17"/>
        <v>0.11787716100879161</v>
      </c>
      <c r="H465" s="1413" t="s">
        <v>611</v>
      </c>
      <c r="I465" s="1413" t="s">
        <v>780</v>
      </c>
    </row>
    <row r="466" spans="1:9" hidden="1" outlineLevel="1">
      <c r="A466" s="1414">
        <v>41712</v>
      </c>
      <c r="B466" s="1408" t="s">
        <v>321</v>
      </c>
      <c r="C466" s="1409">
        <v>132</v>
      </c>
      <c r="D466" s="1410">
        <v>9600</v>
      </c>
      <c r="E466" s="1411">
        <v>7456.43</v>
      </c>
      <c r="F466" s="1421">
        <f t="shared" si="19"/>
        <v>2143.5699999999997</v>
      </c>
      <c r="G466" s="1422">
        <f t="shared" si="17"/>
        <v>0.28747939697683739</v>
      </c>
      <c r="H466" s="1413"/>
      <c r="I466" s="1413"/>
    </row>
    <row r="467" spans="1:9" hidden="1" outlineLevel="1">
      <c r="A467" s="1414">
        <v>41712</v>
      </c>
      <c r="B467" s="1408" t="s">
        <v>586</v>
      </c>
      <c r="C467" s="1409">
        <v>490</v>
      </c>
      <c r="D467" s="1410">
        <v>27600</v>
      </c>
      <c r="E467" s="1411">
        <v>27696.36</v>
      </c>
      <c r="F467" s="1421">
        <f t="shared" si="19"/>
        <v>-96.360000000000582</v>
      </c>
      <c r="G467" s="1422">
        <f t="shared" si="17"/>
        <v>-3.4791575499452123E-3</v>
      </c>
      <c r="H467" s="1413"/>
      <c r="I467" s="1413"/>
    </row>
    <row r="468" spans="1:9" hidden="1" outlineLevel="1">
      <c r="A468" s="1414">
        <v>41712</v>
      </c>
      <c r="B468" s="1408" t="s">
        <v>481</v>
      </c>
      <c r="C468" s="1409">
        <v>209</v>
      </c>
      <c r="D468" s="1410">
        <v>11900</v>
      </c>
      <c r="E468" s="1411">
        <v>11813.34</v>
      </c>
      <c r="F468" s="1421">
        <f t="shared" si="19"/>
        <v>86.659999999999854</v>
      </c>
      <c r="G468" s="1422">
        <f t="shared" si="17"/>
        <v>7.3357746412106867E-3</v>
      </c>
      <c r="H468" s="1413"/>
      <c r="I468" s="1413"/>
    </row>
    <row r="469" spans="1:9" hidden="1" outlineLevel="1">
      <c r="A469" s="1414">
        <v>41712</v>
      </c>
      <c r="B469" s="1408" t="s">
        <v>588</v>
      </c>
      <c r="C469" s="1409">
        <v>366</v>
      </c>
      <c r="D469" s="1410">
        <v>17300</v>
      </c>
      <c r="E469" s="1411">
        <v>16726.919999999998</v>
      </c>
      <c r="F469" s="1421">
        <f t="shared" si="19"/>
        <v>573.08000000000175</v>
      </c>
      <c r="G469" s="1422">
        <f t="shared" si="17"/>
        <v>3.4260939850253469E-2</v>
      </c>
      <c r="H469" s="1413"/>
      <c r="I469" s="1413"/>
    </row>
    <row r="470" spans="1:9" hidden="1" outlineLevel="1">
      <c r="A470" s="1414">
        <v>41712</v>
      </c>
      <c r="B470" s="1408" t="s">
        <v>589</v>
      </c>
      <c r="C470" s="1409">
        <v>172</v>
      </c>
      <c r="D470" s="1410">
        <v>8200</v>
      </c>
      <c r="E470" s="1411">
        <v>7984.47</v>
      </c>
      <c r="F470" s="1421">
        <f t="shared" si="19"/>
        <v>215.52999999999975</v>
      </c>
      <c r="G470" s="1422">
        <f t="shared" si="17"/>
        <v>2.6993651425830361E-2</v>
      </c>
      <c r="H470" s="1413"/>
      <c r="I470" s="1413"/>
    </row>
    <row r="471" spans="1:9" hidden="1" outlineLevel="1">
      <c r="A471" s="1414">
        <v>41713</v>
      </c>
      <c r="B471" s="1408" t="s">
        <v>321</v>
      </c>
      <c r="C471" s="1409">
        <v>2.8</v>
      </c>
      <c r="D471" s="1410">
        <v>182</v>
      </c>
      <c r="E471" s="1411">
        <v>160.05000000000001</v>
      </c>
      <c r="F471" s="1421">
        <f t="shared" si="19"/>
        <v>21.949999999999989</v>
      </c>
      <c r="G471" s="1422">
        <f t="shared" si="17"/>
        <v>0.13714464229928139</v>
      </c>
      <c r="H471" s="1413" t="s">
        <v>590</v>
      </c>
      <c r="I471" s="1413"/>
    </row>
    <row r="472" spans="1:9" hidden="1" outlineLevel="1">
      <c r="A472" s="1414">
        <v>41714</v>
      </c>
      <c r="B472" s="1408" t="s">
        <v>321</v>
      </c>
      <c r="C472" s="1409">
        <v>3</v>
      </c>
      <c r="D472" s="1410">
        <v>195</v>
      </c>
      <c r="E472" s="1411">
        <v>171.75</v>
      </c>
      <c r="F472" s="1421">
        <f t="shared" si="19"/>
        <v>23.25</v>
      </c>
      <c r="G472" s="1422">
        <f t="shared" si="17"/>
        <v>0.13537117903930132</v>
      </c>
      <c r="H472" s="1413" t="s">
        <v>590</v>
      </c>
      <c r="I472" s="1413"/>
    </row>
    <row r="473" spans="1:9" hidden="1" outlineLevel="1">
      <c r="A473" s="1414">
        <v>41715</v>
      </c>
      <c r="B473" s="1408" t="s">
        <v>592</v>
      </c>
      <c r="C473" s="1409">
        <v>20399</v>
      </c>
      <c r="D473" s="1410">
        <v>1483964.69</v>
      </c>
      <c r="E473" s="1411">
        <v>1329919.24</v>
      </c>
      <c r="F473" s="1421">
        <f t="shared" si="19"/>
        <v>154045.44999999995</v>
      </c>
      <c r="G473" s="1422">
        <f t="shared" si="17"/>
        <v>0.1158306800644526</v>
      </c>
      <c r="H473" s="1413" t="s">
        <v>758</v>
      </c>
      <c r="I473" s="1413" t="s">
        <v>783</v>
      </c>
    </row>
    <row r="474" spans="1:9" hidden="1" outlineLevel="1">
      <c r="A474" s="1414">
        <v>41716</v>
      </c>
      <c r="B474" s="1408" t="s">
        <v>592</v>
      </c>
      <c r="C474" s="1409">
        <v>20884</v>
      </c>
      <c r="D474" s="1410">
        <v>1519719.65</v>
      </c>
      <c r="E474" s="1411">
        <v>1346954.6</v>
      </c>
      <c r="F474" s="1421">
        <f t="shared" si="19"/>
        <v>172765.04999999981</v>
      </c>
      <c r="G474" s="1422">
        <f t="shared" si="17"/>
        <v>0.12826345446238485</v>
      </c>
      <c r="H474" s="1413" t="s">
        <v>758</v>
      </c>
      <c r="I474" s="1413" t="s">
        <v>784</v>
      </c>
    </row>
    <row r="475" spans="1:9" hidden="1" outlineLevel="1">
      <c r="A475" s="1414">
        <v>41717</v>
      </c>
      <c r="B475" s="1408" t="s">
        <v>592</v>
      </c>
      <c r="C475" s="1409">
        <v>20959</v>
      </c>
      <c r="D475" s="1410">
        <v>1516779.65</v>
      </c>
      <c r="E475" s="1411">
        <v>1333098.1000000001</v>
      </c>
      <c r="F475" s="1421">
        <f t="shared" si="19"/>
        <v>183681.54999999981</v>
      </c>
      <c r="G475" s="1422">
        <f t="shared" si="17"/>
        <v>0.13778547130177426</v>
      </c>
      <c r="H475" s="1413" t="s">
        <v>758</v>
      </c>
      <c r="I475" s="1413" t="s">
        <v>785</v>
      </c>
    </row>
    <row r="476" spans="1:9" hidden="1" outlineLevel="1">
      <c r="A476" s="1414">
        <v>41718</v>
      </c>
      <c r="B476" s="1408" t="s">
        <v>321</v>
      </c>
      <c r="C476" s="1409">
        <v>23.4</v>
      </c>
      <c r="D476" s="1410">
        <v>1521</v>
      </c>
      <c r="E476" s="1411">
        <v>2043.37</v>
      </c>
      <c r="F476" s="1421">
        <f t="shared" si="19"/>
        <v>-522.36999999999989</v>
      </c>
      <c r="G476" s="1422">
        <f t="shared" si="17"/>
        <v>-0.25564141589628891</v>
      </c>
      <c r="H476" s="1413" t="s">
        <v>590</v>
      </c>
      <c r="I476" s="1413"/>
    </row>
    <row r="477" spans="1:9" hidden="1" outlineLevel="1">
      <c r="A477" s="1414">
        <v>41719</v>
      </c>
      <c r="B477" s="1408" t="s">
        <v>592</v>
      </c>
      <c r="C477" s="1409">
        <v>21990</v>
      </c>
      <c r="D477" s="1410">
        <v>1627260</v>
      </c>
      <c r="E477" s="1411">
        <v>1437698.29</v>
      </c>
      <c r="F477" s="1421">
        <f t="shared" si="19"/>
        <v>189561.70999999996</v>
      </c>
      <c r="G477" s="1422">
        <f t="shared" si="17"/>
        <v>0.13185082803430193</v>
      </c>
      <c r="H477" s="1413" t="s">
        <v>584</v>
      </c>
      <c r="I477" s="1413" t="s">
        <v>786</v>
      </c>
    </row>
    <row r="478" spans="1:9" hidden="1" outlineLevel="1">
      <c r="A478" s="1414">
        <v>41721</v>
      </c>
      <c r="B478" s="1408" t="s">
        <v>592</v>
      </c>
      <c r="C478" s="1409">
        <v>20498</v>
      </c>
      <c r="D478" s="1410">
        <v>1481525.09</v>
      </c>
      <c r="E478" s="1411">
        <v>1332938.48</v>
      </c>
      <c r="F478" s="1421">
        <f t="shared" si="19"/>
        <v>148586.6100000001</v>
      </c>
      <c r="G478" s="1422">
        <f t="shared" si="17"/>
        <v>0.11147296910507086</v>
      </c>
      <c r="H478" s="1413" t="s">
        <v>758</v>
      </c>
      <c r="I478" s="1413" t="s">
        <v>787</v>
      </c>
    </row>
    <row r="479" spans="1:9" hidden="1" outlineLevel="1">
      <c r="A479" s="1414">
        <v>41722</v>
      </c>
      <c r="B479" s="1408" t="s">
        <v>321</v>
      </c>
      <c r="C479" s="1409">
        <v>2.6</v>
      </c>
      <c r="D479" s="1410">
        <v>169</v>
      </c>
      <c r="E479" s="1411">
        <v>168.21</v>
      </c>
      <c r="F479" s="1421">
        <f t="shared" si="19"/>
        <v>0.78999999999999204</v>
      </c>
      <c r="G479" s="1422">
        <f t="shared" si="17"/>
        <v>4.6965103144877953E-3</v>
      </c>
      <c r="H479" s="1413" t="s">
        <v>590</v>
      </c>
      <c r="I479" s="1413"/>
    </row>
    <row r="480" spans="1:9" hidden="1" outlineLevel="1">
      <c r="A480" s="1414">
        <v>41722</v>
      </c>
      <c r="B480" s="1408" t="s">
        <v>592</v>
      </c>
      <c r="C480" s="1409">
        <v>20734</v>
      </c>
      <c r="D480" s="1410">
        <v>1494638.73</v>
      </c>
      <c r="E480" s="1411">
        <v>1334184.95</v>
      </c>
      <c r="F480" s="1421">
        <f t="shared" si="19"/>
        <v>160453.78000000003</v>
      </c>
      <c r="G480" s="1422">
        <f t="shared" ref="G480:G543" si="20">F480/E480</f>
        <v>0.12026352118572468</v>
      </c>
      <c r="H480" s="1413" t="s">
        <v>758</v>
      </c>
      <c r="I480" s="1413" t="s">
        <v>788</v>
      </c>
    </row>
    <row r="481" spans="1:9" hidden="1" outlineLevel="1">
      <c r="A481" s="1414">
        <v>41723</v>
      </c>
      <c r="B481" s="1408" t="s">
        <v>321</v>
      </c>
      <c r="C481" s="1409">
        <v>7</v>
      </c>
      <c r="D481" s="1410">
        <v>455</v>
      </c>
      <c r="E481" s="1411">
        <v>414.9</v>
      </c>
      <c r="F481" s="1421">
        <f t="shared" si="19"/>
        <v>40.100000000000023</v>
      </c>
      <c r="G481" s="1422">
        <f t="shared" si="20"/>
        <v>9.6649795131357019E-2</v>
      </c>
      <c r="H481" s="1413" t="s">
        <v>590</v>
      </c>
      <c r="I481" s="1413"/>
    </row>
    <row r="482" spans="1:9" hidden="1" outlineLevel="1">
      <c r="A482" s="1414">
        <v>41723</v>
      </c>
      <c r="B482" s="1408" t="s">
        <v>592</v>
      </c>
      <c r="C482" s="1409">
        <v>20930</v>
      </c>
      <c r="D482" s="1410">
        <v>1498990.27</v>
      </c>
      <c r="E482" s="1411">
        <v>1305653.75</v>
      </c>
      <c r="F482" s="1421">
        <f t="shared" si="19"/>
        <v>193336.52000000002</v>
      </c>
      <c r="G482" s="1422">
        <f t="shared" si="20"/>
        <v>0.1480764099976736</v>
      </c>
      <c r="H482" s="1413" t="s">
        <v>758</v>
      </c>
      <c r="I482" s="1413" t="s">
        <v>789</v>
      </c>
    </row>
    <row r="483" spans="1:9" hidden="1" outlineLevel="1">
      <c r="A483" s="1414">
        <v>41723</v>
      </c>
      <c r="B483" s="1408" t="s">
        <v>596</v>
      </c>
      <c r="C483" s="1409">
        <v>24443</v>
      </c>
      <c r="D483" s="1410">
        <v>1759407.14</v>
      </c>
      <c r="E483" s="1411">
        <v>1650182.67</v>
      </c>
      <c r="F483" s="1421">
        <f t="shared" si="19"/>
        <v>109224.46999999997</v>
      </c>
      <c r="G483" s="1422">
        <f t="shared" si="20"/>
        <v>6.6189320725323075E-2</v>
      </c>
      <c r="H483" s="1413" t="s">
        <v>611</v>
      </c>
      <c r="I483" s="1413" t="s">
        <v>782</v>
      </c>
    </row>
    <row r="484" spans="1:9" hidden="1" outlineLevel="1">
      <c r="A484" s="1414">
        <v>41724</v>
      </c>
      <c r="B484" s="1408" t="s">
        <v>321</v>
      </c>
      <c r="C484" s="1409">
        <v>6</v>
      </c>
      <c r="D484" s="1410">
        <v>390</v>
      </c>
      <c r="E484" s="1411">
        <v>348.98</v>
      </c>
      <c r="F484" s="1421">
        <f t="shared" si="19"/>
        <v>41.019999999999982</v>
      </c>
      <c r="G484" s="1422">
        <f t="shared" si="20"/>
        <v>0.11754255258180979</v>
      </c>
      <c r="H484" s="1413" t="s">
        <v>590</v>
      </c>
      <c r="I484" s="1413"/>
    </row>
    <row r="485" spans="1:9" hidden="1" outlineLevel="1">
      <c r="A485" s="1414">
        <v>41725</v>
      </c>
      <c r="B485" s="1408" t="s">
        <v>592</v>
      </c>
      <c r="C485" s="1409">
        <v>20010</v>
      </c>
      <c r="D485" s="1410">
        <v>1431313.99</v>
      </c>
      <c r="E485" s="1411">
        <v>1301192.96</v>
      </c>
      <c r="F485" s="1421">
        <f t="shared" si="19"/>
        <v>130121.03000000003</v>
      </c>
      <c r="G485" s="1422">
        <f t="shared" si="20"/>
        <v>0.10000133262325676</v>
      </c>
      <c r="H485" s="1413" t="s">
        <v>758</v>
      </c>
      <c r="I485" s="1413" t="s">
        <v>790</v>
      </c>
    </row>
    <row r="486" spans="1:9" hidden="1" outlineLevel="1">
      <c r="A486" s="1414">
        <v>41726</v>
      </c>
      <c r="B486" s="1408" t="s">
        <v>321</v>
      </c>
      <c r="C486" s="1409">
        <v>8</v>
      </c>
      <c r="D486" s="1410">
        <v>520</v>
      </c>
      <c r="E486" s="1411">
        <v>455.59</v>
      </c>
      <c r="F486" s="1421">
        <f t="shared" si="19"/>
        <v>64.410000000000025</v>
      </c>
      <c r="G486" s="1422">
        <f t="shared" si="20"/>
        <v>0.14137711538883652</v>
      </c>
      <c r="H486" s="1413" t="s">
        <v>590</v>
      </c>
      <c r="I486" s="1413"/>
    </row>
    <row r="487" spans="1:9" hidden="1" outlineLevel="1">
      <c r="A487" s="1414">
        <v>41728</v>
      </c>
      <c r="B487" s="1408" t="s">
        <v>321</v>
      </c>
      <c r="C487" s="1409">
        <v>0.4</v>
      </c>
      <c r="D487" s="1410">
        <v>26</v>
      </c>
      <c r="E487" s="1411">
        <v>22.48</v>
      </c>
      <c r="F487" s="1421">
        <f t="shared" si="19"/>
        <v>3.5199999999999996</v>
      </c>
      <c r="G487" s="1422">
        <f t="shared" si="20"/>
        <v>0.1565836298932384</v>
      </c>
      <c r="H487" s="1413" t="s">
        <v>590</v>
      </c>
      <c r="I487" s="1413"/>
    </row>
    <row r="488" spans="1:9" hidden="1" outlineLevel="1">
      <c r="A488" s="1414">
        <v>41729</v>
      </c>
      <c r="B488" s="1408" t="s">
        <v>596</v>
      </c>
      <c r="C488" s="1409">
        <v>24882</v>
      </c>
      <c r="D488" s="1410">
        <v>1835047.5</v>
      </c>
      <c r="E488" s="1411">
        <v>1665893.12</v>
      </c>
      <c r="F488" s="1421">
        <f t="shared" si="19"/>
        <v>169154.37999999989</v>
      </c>
      <c r="G488" s="1422">
        <f t="shared" si="20"/>
        <v>0.10153975544361446</v>
      </c>
      <c r="H488" s="1413" t="s">
        <v>611</v>
      </c>
      <c r="I488" s="1413" t="s">
        <v>786</v>
      </c>
    </row>
    <row r="489" spans="1:9">
      <c r="A489" s="1415" t="s">
        <v>3</v>
      </c>
      <c r="B489" s="1416"/>
      <c r="C489" s="1417">
        <f>SUM(C490:C528)</f>
        <v>542665.69999999995</v>
      </c>
      <c r="D489" s="1417">
        <f>SUM(D490:D528)</f>
        <v>33212620.07</v>
      </c>
      <c r="E489" s="1417">
        <f>SUM(E490:E528)</f>
        <v>28790720.989999998</v>
      </c>
      <c r="F489" s="1433">
        <f>SUM(F490:F528)</f>
        <v>4421899.08</v>
      </c>
      <c r="G489" s="1420">
        <f t="shared" si="20"/>
        <v>0.15358764657320936</v>
      </c>
      <c r="H489" s="1423"/>
      <c r="I489" s="1423"/>
    </row>
    <row r="490" spans="1:9" hidden="1" outlineLevel="1">
      <c r="A490" s="1414">
        <v>41730</v>
      </c>
      <c r="B490" s="1408" t="s">
        <v>592</v>
      </c>
      <c r="C490" s="1409">
        <v>19731</v>
      </c>
      <c r="D490" s="1410">
        <v>1398540.4</v>
      </c>
      <c r="E490" s="1411">
        <v>1271297.3400000001</v>
      </c>
      <c r="F490" s="1421">
        <f t="shared" ref="F490:F528" si="21">D490-E490</f>
        <v>127243.05999999982</v>
      </c>
      <c r="G490" s="1422">
        <f t="shared" si="20"/>
        <v>0.10008914200984627</v>
      </c>
      <c r="H490" s="1413" t="s">
        <v>758</v>
      </c>
      <c r="I490" s="1413" t="s">
        <v>791</v>
      </c>
    </row>
    <row r="491" spans="1:9" hidden="1" outlineLevel="1">
      <c r="A491" s="1414">
        <v>41731</v>
      </c>
      <c r="B491" s="1408" t="s">
        <v>489</v>
      </c>
      <c r="C491" s="1409">
        <v>19878</v>
      </c>
      <c r="D491" s="1410">
        <v>481047.6</v>
      </c>
      <c r="E491" s="1411">
        <v>0</v>
      </c>
      <c r="F491" s="1421">
        <f t="shared" si="21"/>
        <v>481047.6</v>
      </c>
      <c r="G491" s="1422" t="e">
        <f t="shared" si="20"/>
        <v>#DIV/0!</v>
      </c>
      <c r="H491" s="1413" t="s">
        <v>591</v>
      </c>
      <c r="I491" s="1413"/>
    </row>
    <row r="492" spans="1:9" hidden="1" outlineLevel="1">
      <c r="A492" s="1414">
        <v>41732</v>
      </c>
      <c r="B492" s="1408" t="s">
        <v>586</v>
      </c>
      <c r="C492" s="1409">
        <v>203</v>
      </c>
      <c r="D492" s="1410">
        <v>11500</v>
      </c>
      <c r="E492" s="1411">
        <v>11246.29</v>
      </c>
      <c r="F492" s="1421">
        <f t="shared" si="21"/>
        <v>253.70999999999913</v>
      </c>
      <c r="G492" s="1422">
        <f t="shared" si="20"/>
        <v>2.2559439601859733E-2</v>
      </c>
      <c r="H492" s="1413"/>
      <c r="I492" s="1413"/>
    </row>
    <row r="493" spans="1:9" hidden="1" outlineLevel="1">
      <c r="A493" s="1414">
        <v>41732</v>
      </c>
      <c r="B493" s="1408" t="s">
        <v>481</v>
      </c>
      <c r="C493" s="1409">
        <v>128</v>
      </c>
      <c r="D493" s="1410">
        <v>7300</v>
      </c>
      <c r="E493" s="1411">
        <v>7091.25</v>
      </c>
      <c r="F493" s="1421">
        <f t="shared" si="21"/>
        <v>208.75</v>
      </c>
      <c r="G493" s="1422">
        <f t="shared" si="20"/>
        <v>2.9437687290675127E-2</v>
      </c>
      <c r="H493" s="1413"/>
      <c r="I493" s="1413"/>
    </row>
    <row r="494" spans="1:9" hidden="1" outlineLevel="1">
      <c r="A494" s="1414">
        <v>41732</v>
      </c>
      <c r="B494" s="1408" t="s">
        <v>588</v>
      </c>
      <c r="C494" s="1409">
        <v>196</v>
      </c>
      <c r="D494" s="1410">
        <v>13600</v>
      </c>
      <c r="E494" s="1411">
        <v>13390.37</v>
      </c>
      <c r="F494" s="1421">
        <f t="shared" si="21"/>
        <v>209.6299999999992</v>
      </c>
      <c r="G494" s="1422">
        <f t="shared" si="20"/>
        <v>1.5655280623313561E-2</v>
      </c>
      <c r="H494" s="1413"/>
      <c r="I494" s="1413"/>
    </row>
    <row r="495" spans="1:9" hidden="1" outlineLevel="1">
      <c r="A495" s="1414">
        <v>41732</v>
      </c>
      <c r="B495" s="1408" t="s">
        <v>592</v>
      </c>
      <c r="C495" s="1409">
        <v>19716</v>
      </c>
      <c r="D495" s="1410">
        <v>1382972.72</v>
      </c>
      <c r="E495" s="1411">
        <v>1274737.56</v>
      </c>
      <c r="F495" s="1421">
        <f t="shared" si="21"/>
        <v>108235.15999999992</v>
      </c>
      <c r="G495" s="1422">
        <f t="shared" si="20"/>
        <v>8.4907798590323103E-2</v>
      </c>
      <c r="H495" s="1413" t="s">
        <v>758</v>
      </c>
      <c r="I495" s="1413" t="s">
        <v>792</v>
      </c>
    </row>
    <row r="496" spans="1:9" hidden="1" outlineLevel="1">
      <c r="A496" s="1414">
        <v>41733</v>
      </c>
      <c r="B496" s="1408" t="s">
        <v>321</v>
      </c>
      <c r="C496" s="1409">
        <v>7.6</v>
      </c>
      <c r="D496" s="1410">
        <v>494</v>
      </c>
      <c r="E496" s="1411">
        <v>422.05</v>
      </c>
      <c r="F496" s="1421">
        <f t="shared" si="21"/>
        <v>71.949999999999989</v>
      </c>
      <c r="G496" s="1422">
        <f t="shared" si="20"/>
        <v>0.17047743158393552</v>
      </c>
      <c r="H496" s="1413" t="s">
        <v>590</v>
      </c>
      <c r="I496" s="1413"/>
    </row>
    <row r="497" spans="1:9" hidden="1" outlineLevel="1">
      <c r="A497" s="1414">
        <v>41734</v>
      </c>
      <c r="B497" s="1408" t="s">
        <v>321</v>
      </c>
      <c r="C497" s="1409">
        <v>13.4</v>
      </c>
      <c r="D497" s="1410">
        <v>791</v>
      </c>
      <c r="E497" s="1411">
        <v>1448.53</v>
      </c>
      <c r="F497" s="1421">
        <f t="shared" si="21"/>
        <v>-657.53</v>
      </c>
      <c r="G497" s="1422">
        <f t="shared" si="20"/>
        <v>-0.45392915576480986</v>
      </c>
      <c r="H497" s="1413" t="s">
        <v>590</v>
      </c>
      <c r="I497" s="1413"/>
    </row>
    <row r="498" spans="1:9" hidden="1" outlineLevel="1">
      <c r="A498" s="1414">
        <v>41735</v>
      </c>
      <c r="B498" s="1408" t="s">
        <v>321</v>
      </c>
      <c r="C498" s="1409">
        <v>3.6</v>
      </c>
      <c r="D498" s="1410">
        <v>234</v>
      </c>
      <c r="E498" s="1411">
        <v>341.01</v>
      </c>
      <c r="F498" s="1421">
        <f t="shared" si="21"/>
        <v>-107.00999999999999</v>
      </c>
      <c r="G498" s="1422">
        <f t="shared" si="20"/>
        <v>-0.31380311427817364</v>
      </c>
      <c r="H498" s="1413" t="s">
        <v>590</v>
      </c>
      <c r="I498" s="1413"/>
    </row>
    <row r="499" spans="1:9" hidden="1" outlineLevel="1">
      <c r="A499" s="1414">
        <v>41736</v>
      </c>
      <c r="B499" s="1408" t="s">
        <v>321</v>
      </c>
      <c r="C499" s="1409">
        <v>0.2</v>
      </c>
      <c r="D499" s="1410">
        <v>13</v>
      </c>
      <c r="E499" s="1411">
        <v>11.1</v>
      </c>
      <c r="F499" s="1421">
        <f t="shared" si="21"/>
        <v>1.9000000000000004</v>
      </c>
      <c r="G499" s="1422">
        <f t="shared" si="20"/>
        <v>0.1711711711711712</v>
      </c>
      <c r="H499" s="1413" t="s">
        <v>590</v>
      </c>
      <c r="I499" s="1413"/>
    </row>
    <row r="500" spans="1:9" hidden="1" outlineLevel="1">
      <c r="A500" s="1414">
        <v>41736</v>
      </c>
      <c r="B500" s="1408" t="s">
        <v>592</v>
      </c>
      <c r="C500" s="1409">
        <v>19654</v>
      </c>
      <c r="D500" s="1410">
        <v>1378064.78</v>
      </c>
      <c r="E500" s="1411">
        <v>1274453.6499999999</v>
      </c>
      <c r="F500" s="1421">
        <f t="shared" si="21"/>
        <v>103611.13000000012</v>
      </c>
      <c r="G500" s="1422">
        <f t="shared" si="20"/>
        <v>8.1298468563372334E-2</v>
      </c>
      <c r="H500" s="1413" t="s">
        <v>758</v>
      </c>
      <c r="I500" s="1413" t="s">
        <v>793</v>
      </c>
    </row>
    <row r="501" spans="1:9" hidden="1" outlineLevel="1">
      <c r="A501" s="1414">
        <v>41736</v>
      </c>
      <c r="B501" s="1408" t="s">
        <v>596</v>
      </c>
      <c r="C501" s="1409">
        <v>25509</v>
      </c>
      <c r="D501" s="1410">
        <v>1881288.75</v>
      </c>
      <c r="E501" s="1411">
        <v>1613324.72</v>
      </c>
      <c r="F501" s="1421">
        <f t="shared" si="21"/>
        <v>267964.03000000003</v>
      </c>
      <c r="G501" s="1422">
        <f t="shared" si="20"/>
        <v>0.16609429377614696</v>
      </c>
      <c r="H501" s="1413" t="s">
        <v>611</v>
      </c>
      <c r="I501" s="1413" t="s">
        <v>794</v>
      </c>
    </row>
    <row r="502" spans="1:9" hidden="1" outlineLevel="1">
      <c r="A502" s="1414">
        <v>41737</v>
      </c>
      <c r="B502" s="1408" t="s">
        <v>592</v>
      </c>
      <c r="C502" s="1409">
        <v>19977</v>
      </c>
      <c r="D502" s="1410">
        <v>1391415.69</v>
      </c>
      <c r="E502" s="1411">
        <v>1248339.1399999999</v>
      </c>
      <c r="F502" s="1421">
        <f t="shared" si="21"/>
        <v>143076.55000000005</v>
      </c>
      <c r="G502" s="1422">
        <f t="shared" si="20"/>
        <v>0.11461352561612388</v>
      </c>
      <c r="H502" s="1413" t="s">
        <v>758</v>
      </c>
      <c r="I502" s="1413" t="s">
        <v>795</v>
      </c>
    </row>
    <row r="503" spans="1:9" hidden="1" outlineLevel="1">
      <c r="A503" s="1414">
        <v>41739</v>
      </c>
      <c r="B503" s="1408" t="s">
        <v>592</v>
      </c>
      <c r="C503" s="1409">
        <v>19826</v>
      </c>
      <c r="D503" s="1410">
        <v>1388737.64</v>
      </c>
      <c r="E503" s="1411">
        <v>1314291.31</v>
      </c>
      <c r="F503" s="1421">
        <f t="shared" si="21"/>
        <v>74446.329999999842</v>
      </c>
      <c r="G503" s="1422">
        <f t="shared" si="20"/>
        <v>5.664370557239691E-2</v>
      </c>
      <c r="H503" s="1413" t="s">
        <v>758</v>
      </c>
      <c r="I503" s="1413" t="s">
        <v>796</v>
      </c>
    </row>
    <row r="504" spans="1:9" hidden="1" outlineLevel="1">
      <c r="A504" s="1414">
        <v>41741</v>
      </c>
      <c r="B504" s="1408" t="s">
        <v>321</v>
      </c>
      <c r="C504" s="1409">
        <v>1.4</v>
      </c>
      <c r="D504" s="1410">
        <v>91</v>
      </c>
      <c r="E504" s="1411">
        <v>78.34</v>
      </c>
      <c r="F504" s="1421">
        <f t="shared" si="21"/>
        <v>12.659999999999997</v>
      </c>
      <c r="G504" s="1422">
        <f t="shared" si="20"/>
        <v>0.1616032678069951</v>
      </c>
      <c r="H504" s="1413" t="s">
        <v>590</v>
      </c>
      <c r="I504" s="1413"/>
    </row>
    <row r="505" spans="1:9" hidden="1" outlineLevel="1">
      <c r="A505" s="1414">
        <v>41742</v>
      </c>
      <c r="B505" s="1408" t="s">
        <v>592</v>
      </c>
      <c r="C505" s="1409">
        <v>19628</v>
      </c>
      <c r="D505" s="1410">
        <v>1366392.31</v>
      </c>
      <c r="E505" s="1411">
        <v>1302863.06</v>
      </c>
      <c r="F505" s="1421">
        <f t="shared" si="21"/>
        <v>63529.25</v>
      </c>
      <c r="G505" s="1422">
        <f t="shared" si="20"/>
        <v>4.8761264288205389E-2</v>
      </c>
      <c r="H505" s="1413" t="s">
        <v>758</v>
      </c>
      <c r="I505" s="1413" t="s">
        <v>797</v>
      </c>
    </row>
    <row r="506" spans="1:9" hidden="1" outlineLevel="1">
      <c r="A506" s="1414">
        <v>41743</v>
      </c>
      <c r="B506" s="1408" t="s">
        <v>321</v>
      </c>
      <c r="C506" s="1409">
        <v>2.2000000000000002</v>
      </c>
      <c r="D506" s="1410">
        <v>143</v>
      </c>
      <c r="E506" s="1411">
        <v>123.09</v>
      </c>
      <c r="F506" s="1421">
        <f t="shared" si="21"/>
        <v>19.909999999999997</v>
      </c>
      <c r="G506" s="1422">
        <f t="shared" si="20"/>
        <v>0.16175156389633599</v>
      </c>
      <c r="H506" s="1413" t="s">
        <v>590</v>
      </c>
      <c r="I506" s="1413"/>
    </row>
    <row r="507" spans="1:9" hidden="1" outlineLevel="1">
      <c r="A507" s="1414">
        <v>41744</v>
      </c>
      <c r="B507" s="1408" t="s">
        <v>321</v>
      </c>
      <c r="C507" s="1409">
        <v>1</v>
      </c>
      <c r="D507" s="1410">
        <v>65</v>
      </c>
      <c r="E507" s="1411">
        <v>56.15</v>
      </c>
      <c r="F507" s="1421">
        <f t="shared" si="21"/>
        <v>8.8500000000000014</v>
      </c>
      <c r="G507" s="1422">
        <f t="shared" si="20"/>
        <v>0.15761353517364207</v>
      </c>
      <c r="H507" s="1413" t="s">
        <v>590</v>
      </c>
      <c r="I507" s="1413"/>
    </row>
    <row r="508" spans="1:9" hidden="1" outlineLevel="1">
      <c r="A508" s="1414">
        <v>41744</v>
      </c>
      <c r="B508" s="1408" t="s">
        <v>592</v>
      </c>
      <c r="C508" s="1409">
        <v>19769</v>
      </c>
      <c r="D508" s="1410">
        <v>1390312.34</v>
      </c>
      <c r="E508" s="1411">
        <v>1267245.3799999999</v>
      </c>
      <c r="F508" s="1421">
        <f t="shared" si="21"/>
        <v>123066.9600000002</v>
      </c>
      <c r="G508" s="1422">
        <f t="shared" si="20"/>
        <v>9.7113757084677801E-2</v>
      </c>
      <c r="H508" s="1413" t="s">
        <v>758</v>
      </c>
      <c r="I508" s="1413" t="s">
        <v>798</v>
      </c>
    </row>
    <row r="509" spans="1:9" hidden="1" outlineLevel="1">
      <c r="A509" s="1414">
        <v>41745</v>
      </c>
      <c r="B509" s="1408" t="s">
        <v>592</v>
      </c>
      <c r="C509" s="1409">
        <v>19266</v>
      </c>
      <c r="D509" s="1410">
        <v>1358412.38</v>
      </c>
      <c r="E509" s="1411">
        <v>1270379.2</v>
      </c>
      <c r="F509" s="1421">
        <f t="shared" si="21"/>
        <v>88033.179999999935</v>
      </c>
      <c r="G509" s="1422">
        <f t="shared" si="20"/>
        <v>6.9296773750703672E-2</v>
      </c>
      <c r="H509" s="1413" t="s">
        <v>758</v>
      </c>
      <c r="I509" s="1413" t="s">
        <v>799</v>
      </c>
    </row>
    <row r="510" spans="1:9" hidden="1" outlineLevel="1">
      <c r="A510" s="1414">
        <v>41746</v>
      </c>
      <c r="B510" s="1408" t="s">
        <v>321</v>
      </c>
      <c r="C510" s="1409">
        <v>1.2</v>
      </c>
      <c r="D510" s="1410">
        <v>78</v>
      </c>
      <c r="E510" s="1411">
        <v>67.63</v>
      </c>
      <c r="F510" s="1421">
        <f t="shared" si="21"/>
        <v>10.370000000000005</v>
      </c>
      <c r="G510" s="1422">
        <f t="shared" si="20"/>
        <v>0.1533343190891617</v>
      </c>
      <c r="H510" s="1413" t="s">
        <v>590</v>
      </c>
      <c r="I510" s="1413"/>
    </row>
    <row r="511" spans="1:9" hidden="1" outlineLevel="1">
      <c r="A511" s="1414">
        <v>41746</v>
      </c>
      <c r="B511" s="1408" t="s">
        <v>320</v>
      </c>
      <c r="C511" s="1409">
        <v>27830</v>
      </c>
      <c r="D511" s="1410">
        <v>185568.6</v>
      </c>
      <c r="E511" s="1411">
        <v>16961.439999999999</v>
      </c>
      <c r="F511" s="1421">
        <f t="shared" si="21"/>
        <v>168607.16</v>
      </c>
      <c r="G511" s="1422">
        <f t="shared" si="20"/>
        <v>9.9406158911035867</v>
      </c>
      <c r="H511" s="1413" t="s">
        <v>599</v>
      </c>
      <c r="I511" s="1413"/>
    </row>
    <row r="512" spans="1:9" hidden="1" outlineLevel="1">
      <c r="A512" s="1414">
        <v>41746</v>
      </c>
      <c r="B512" s="1408" t="s">
        <v>592</v>
      </c>
      <c r="C512" s="1409">
        <v>19691</v>
      </c>
      <c r="D512" s="1410">
        <v>1388378.39</v>
      </c>
      <c r="E512" s="1411">
        <v>1285703.1000000001</v>
      </c>
      <c r="F512" s="1421">
        <f t="shared" si="21"/>
        <v>102675.2899999998</v>
      </c>
      <c r="G512" s="1422">
        <f t="shared" si="20"/>
        <v>7.9859253664395613E-2</v>
      </c>
      <c r="H512" s="1413" t="s">
        <v>758</v>
      </c>
      <c r="I512" s="1413" t="s">
        <v>800</v>
      </c>
    </row>
    <row r="513" spans="1:9" hidden="1" outlineLevel="1">
      <c r="A513" s="1414">
        <v>41747</v>
      </c>
      <c r="B513" s="1408" t="s">
        <v>592</v>
      </c>
      <c r="C513" s="1409">
        <v>19368</v>
      </c>
      <c r="D513" s="1410">
        <v>1359828.62</v>
      </c>
      <c r="E513" s="1411">
        <v>1253484.07</v>
      </c>
      <c r="F513" s="1421">
        <f t="shared" si="21"/>
        <v>106344.55000000005</v>
      </c>
      <c r="G513" s="1422">
        <f t="shared" si="20"/>
        <v>8.483917151017327E-2</v>
      </c>
      <c r="H513" s="1413" t="s">
        <v>758</v>
      </c>
      <c r="I513" s="1413" t="s">
        <v>801</v>
      </c>
    </row>
    <row r="514" spans="1:9" hidden="1" outlineLevel="1">
      <c r="A514" s="1414">
        <v>41747</v>
      </c>
      <c r="B514" s="1408" t="s">
        <v>592</v>
      </c>
      <c r="C514" s="1409">
        <v>19691</v>
      </c>
      <c r="D514" s="1410">
        <v>1388378.39</v>
      </c>
      <c r="E514" s="1411">
        <v>1285703.1000000001</v>
      </c>
      <c r="F514" s="1421">
        <f t="shared" si="21"/>
        <v>102675.2899999998</v>
      </c>
      <c r="G514" s="1422">
        <f t="shared" si="20"/>
        <v>7.9859253664395613E-2</v>
      </c>
      <c r="H514" s="1413" t="s">
        <v>758</v>
      </c>
      <c r="I514" s="1413" t="s">
        <v>802</v>
      </c>
    </row>
    <row r="515" spans="1:9" hidden="1" outlineLevel="1">
      <c r="A515" s="1414">
        <v>41750</v>
      </c>
      <c r="B515" s="1408" t="s">
        <v>321</v>
      </c>
      <c r="C515" s="1409">
        <v>9</v>
      </c>
      <c r="D515" s="1410">
        <v>585</v>
      </c>
      <c r="E515" s="1411">
        <v>505.99</v>
      </c>
      <c r="F515" s="1421">
        <f t="shared" si="21"/>
        <v>79.009999999999991</v>
      </c>
      <c r="G515" s="1422">
        <f t="shared" si="20"/>
        <v>0.15614933101444692</v>
      </c>
      <c r="H515" s="1413" t="s">
        <v>590</v>
      </c>
      <c r="I515" s="1413"/>
    </row>
    <row r="516" spans="1:9" hidden="1" outlineLevel="1">
      <c r="A516" s="1414">
        <v>41750</v>
      </c>
      <c r="B516" s="1408" t="s">
        <v>592</v>
      </c>
      <c r="C516" s="1409">
        <v>20023</v>
      </c>
      <c r="D516" s="1410">
        <v>1391915.18</v>
      </c>
      <c r="E516" s="1411">
        <v>1192009.3600000001</v>
      </c>
      <c r="F516" s="1421">
        <f t="shared" si="21"/>
        <v>199905.81999999983</v>
      </c>
      <c r="G516" s="1422">
        <f t="shared" si="20"/>
        <v>0.16770490795474946</v>
      </c>
      <c r="H516" s="1413" t="s">
        <v>758</v>
      </c>
      <c r="I516" s="1413" t="s">
        <v>803</v>
      </c>
    </row>
    <row r="517" spans="1:9" hidden="1" outlineLevel="1">
      <c r="A517" s="1414">
        <v>41750</v>
      </c>
      <c r="B517" s="1408" t="s">
        <v>596</v>
      </c>
      <c r="C517" s="1409">
        <v>25906</v>
      </c>
      <c r="D517" s="1410">
        <v>1910567.5</v>
      </c>
      <c r="E517" s="1411">
        <v>1541876.07</v>
      </c>
      <c r="F517" s="1421">
        <f t="shared" si="21"/>
        <v>368691.42999999993</v>
      </c>
      <c r="G517" s="1422">
        <f t="shared" si="20"/>
        <v>0.23911871853617905</v>
      </c>
      <c r="H517" s="1413" t="s">
        <v>611</v>
      </c>
      <c r="I517" s="1413" t="s">
        <v>804</v>
      </c>
    </row>
    <row r="518" spans="1:9" hidden="1" outlineLevel="1">
      <c r="A518" s="1414">
        <v>41750</v>
      </c>
      <c r="B518" s="1408" t="s">
        <v>489</v>
      </c>
      <c r="C518" s="1409">
        <v>20070</v>
      </c>
      <c r="D518" s="1410">
        <v>485694</v>
      </c>
      <c r="E518" s="1411">
        <v>0</v>
      </c>
      <c r="F518" s="1421">
        <f t="shared" si="21"/>
        <v>485694</v>
      </c>
      <c r="G518" s="1422" t="e">
        <f t="shared" si="20"/>
        <v>#DIV/0!</v>
      </c>
      <c r="H518" s="1413" t="s">
        <v>591</v>
      </c>
      <c r="I518" s="1413"/>
    </row>
    <row r="519" spans="1:9" hidden="1" outlineLevel="1">
      <c r="A519" s="1414">
        <v>41751</v>
      </c>
      <c r="B519" s="1408" t="s">
        <v>321</v>
      </c>
      <c r="C519" s="1409">
        <v>0.1</v>
      </c>
      <c r="D519" s="1410">
        <v>6.5</v>
      </c>
      <c r="E519" s="1411">
        <v>5.62</v>
      </c>
      <c r="F519" s="1421">
        <f t="shared" si="21"/>
        <v>0.87999999999999989</v>
      </c>
      <c r="G519" s="1422">
        <f t="shared" si="20"/>
        <v>0.1565836298932384</v>
      </c>
      <c r="H519" s="1413" t="s">
        <v>590</v>
      </c>
      <c r="I519" s="1413"/>
    </row>
    <row r="520" spans="1:9" hidden="1" outlineLevel="1">
      <c r="A520" s="1414">
        <v>41752</v>
      </c>
      <c r="B520" s="1408" t="s">
        <v>592</v>
      </c>
      <c r="C520" s="1409">
        <v>19057</v>
      </c>
      <c r="D520" s="1410">
        <v>1325123.17</v>
      </c>
      <c r="E520" s="1411">
        <v>1179970.83</v>
      </c>
      <c r="F520" s="1421">
        <f t="shared" si="21"/>
        <v>145152.33999999985</v>
      </c>
      <c r="G520" s="1422">
        <f t="shared" si="20"/>
        <v>0.12301349856250246</v>
      </c>
      <c r="H520" s="1413" t="s">
        <v>758</v>
      </c>
      <c r="I520" s="1413" t="s">
        <v>805</v>
      </c>
    </row>
    <row r="521" spans="1:9" hidden="1" outlineLevel="1">
      <c r="A521" s="1414">
        <v>41753</v>
      </c>
      <c r="B521" s="1408" t="s">
        <v>321</v>
      </c>
      <c r="C521" s="1409">
        <v>3</v>
      </c>
      <c r="D521" s="1410">
        <v>195</v>
      </c>
      <c r="E521" s="1411">
        <v>168.36</v>
      </c>
      <c r="F521" s="1421">
        <f t="shared" si="21"/>
        <v>26.639999999999986</v>
      </c>
      <c r="G521" s="1422">
        <f t="shared" si="20"/>
        <v>0.15823235923022086</v>
      </c>
      <c r="H521" s="1413" t="s">
        <v>590</v>
      </c>
      <c r="I521" s="1413"/>
    </row>
    <row r="522" spans="1:9" hidden="1" outlineLevel="1">
      <c r="A522" s="1414">
        <v>41753</v>
      </c>
      <c r="B522" s="1408" t="s">
        <v>592</v>
      </c>
      <c r="C522" s="1409">
        <v>19584</v>
      </c>
      <c r="D522" s="1410">
        <v>1375754.15</v>
      </c>
      <c r="E522" s="1411">
        <v>1240142.7</v>
      </c>
      <c r="F522" s="1421">
        <f t="shared" si="21"/>
        <v>135611.44999999995</v>
      </c>
      <c r="G522" s="1422">
        <f t="shared" si="20"/>
        <v>0.10935148834081752</v>
      </c>
      <c r="H522" s="1413" t="s">
        <v>758</v>
      </c>
      <c r="I522" s="1413" t="s">
        <v>806</v>
      </c>
    </row>
    <row r="523" spans="1:9" hidden="1" outlineLevel="1">
      <c r="A523" s="1414">
        <v>41756</v>
      </c>
      <c r="B523" s="1408" t="s">
        <v>596</v>
      </c>
      <c r="C523" s="1409">
        <v>25704</v>
      </c>
      <c r="D523" s="1410">
        <v>1895670</v>
      </c>
      <c r="E523" s="1411">
        <v>1712465.77</v>
      </c>
      <c r="F523" s="1421">
        <f t="shared" si="21"/>
        <v>183204.22999999998</v>
      </c>
      <c r="G523" s="1422">
        <f t="shared" si="20"/>
        <v>0.10698271066755395</v>
      </c>
      <c r="H523" s="1413" t="s">
        <v>611</v>
      </c>
      <c r="I523" s="1413" t="s">
        <v>807</v>
      </c>
    </row>
    <row r="524" spans="1:9" hidden="1" outlineLevel="1">
      <c r="A524" s="1414">
        <v>41758</v>
      </c>
      <c r="B524" s="1408" t="s">
        <v>320</v>
      </c>
      <c r="C524" s="1409">
        <v>26240</v>
      </c>
      <c r="D524" s="1410">
        <v>163451.6</v>
      </c>
      <c r="E524" s="1411">
        <v>13753.17</v>
      </c>
      <c r="F524" s="1421">
        <f t="shared" si="21"/>
        <v>149698.43</v>
      </c>
      <c r="G524" s="1422">
        <f t="shared" si="20"/>
        <v>10.884649139071209</v>
      </c>
      <c r="H524" s="1413" t="s">
        <v>599</v>
      </c>
      <c r="I524" s="1413"/>
    </row>
    <row r="525" spans="1:9" hidden="1" outlineLevel="1">
      <c r="A525" s="1414">
        <v>41758</v>
      </c>
      <c r="B525" s="1408" t="s">
        <v>592</v>
      </c>
      <c r="C525" s="1409">
        <v>19346</v>
      </c>
      <c r="D525" s="1410">
        <v>1372830.09</v>
      </c>
      <c r="E525" s="1411">
        <v>1230370.4099999999</v>
      </c>
      <c r="F525" s="1421">
        <f t="shared" si="21"/>
        <v>142459.68000000017</v>
      </c>
      <c r="G525" s="1422">
        <f t="shared" si="20"/>
        <v>0.11578600951562236</v>
      </c>
      <c r="H525" s="1413" t="s">
        <v>758</v>
      </c>
      <c r="I525" s="1413" t="s">
        <v>808</v>
      </c>
    </row>
    <row r="526" spans="1:9" hidden="1" outlineLevel="1">
      <c r="A526" s="1414">
        <v>41758</v>
      </c>
      <c r="B526" s="1408" t="s">
        <v>592</v>
      </c>
      <c r="C526" s="1409">
        <v>26837</v>
      </c>
      <c r="D526" s="1410">
        <v>1909457.61</v>
      </c>
      <c r="E526" s="1411">
        <v>1753540.56</v>
      </c>
      <c r="F526" s="1421">
        <f t="shared" si="21"/>
        <v>155917.05000000005</v>
      </c>
      <c r="G526" s="1422">
        <f t="shared" si="20"/>
        <v>8.8915565203692828E-2</v>
      </c>
      <c r="H526" s="1413" t="s">
        <v>758</v>
      </c>
      <c r="I526" s="1413" t="s">
        <v>809</v>
      </c>
    </row>
    <row r="527" spans="1:9" hidden="1" outlineLevel="1">
      <c r="A527" s="1414">
        <v>41758</v>
      </c>
      <c r="B527" s="1408" t="s">
        <v>592</v>
      </c>
      <c r="C527" s="1409">
        <v>27057</v>
      </c>
      <c r="D527" s="1410">
        <v>1925110.66</v>
      </c>
      <c r="E527" s="1411">
        <v>1708780.38</v>
      </c>
      <c r="F527" s="1421">
        <f t="shared" si="21"/>
        <v>216330.28000000003</v>
      </c>
      <c r="G527" s="1422">
        <f t="shared" si="20"/>
        <v>0.12659922979686836</v>
      </c>
      <c r="H527" s="1413" t="s">
        <v>758</v>
      </c>
      <c r="I527" s="1413" t="s">
        <v>810</v>
      </c>
    </row>
    <row r="528" spans="1:9" hidden="1" outlineLevel="1">
      <c r="A528" s="1414">
        <v>41759</v>
      </c>
      <c r="B528" s="1408" t="s">
        <v>592</v>
      </c>
      <c r="C528" s="1409">
        <v>22738</v>
      </c>
      <c r="D528" s="1410">
        <v>1682612</v>
      </c>
      <c r="E528" s="1411">
        <v>1504072.89</v>
      </c>
      <c r="F528" s="1421">
        <f t="shared" si="21"/>
        <v>178539.1100000001</v>
      </c>
      <c r="G528" s="1422">
        <f t="shared" si="20"/>
        <v>0.1187037617571846</v>
      </c>
      <c r="H528" s="1413" t="s">
        <v>584</v>
      </c>
      <c r="I528" s="1413"/>
    </row>
    <row r="529" spans="1:9">
      <c r="A529" s="1415" t="s">
        <v>4</v>
      </c>
      <c r="B529" s="1416"/>
      <c r="C529" s="1417">
        <f>SUM(C530:C566)</f>
        <v>452989.10000000003</v>
      </c>
      <c r="D529" s="1417">
        <f>SUM(D530:D566)</f>
        <v>30747605.060000006</v>
      </c>
      <c r="E529" s="1417">
        <f>SUM(E530:E566)</f>
        <v>27723179.709999997</v>
      </c>
      <c r="F529" s="1433">
        <f>SUM(F530:F566)</f>
        <v>3024425.3499999996</v>
      </c>
      <c r="G529" s="1420">
        <f t="shared" si="20"/>
        <v>0.1090937396661272</v>
      </c>
      <c r="H529" s="1423"/>
      <c r="I529" s="1423"/>
    </row>
    <row r="530" spans="1:9" hidden="1" outlineLevel="1">
      <c r="A530" s="1414">
        <v>41760</v>
      </c>
      <c r="B530" s="1408" t="s">
        <v>321</v>
      </c>
      <c r="C530" s="1409">
        <v>10</v>
      </c>
      <c r="D530" s="1410">
        <v>650</v>
      </c>
      <c r="E530" s="1411">
        <v>563.1</v>
      </c>
      <c r="F530" s="1421">
        <f t="shared" ref="F530:F566" si="22">D530-E530</f>
        <v>86.899999999999977</v>
      </c>
      <c r="G530" s="1422">
        <f t="shared" si="20"/>
        <v>0.15432427632747286</v>
      </c>
      <c r="H530" s="1413" t="s">
        <v>590</v>
      </c>
      <c r="I530" s="1413"/>
    </row>
    <row r="531" spans="1:9" hidden="1" outlineLevel="1">
      <c r="A531" s="1414">
        <v>41761</v>
      </c>
      <c r="B531" s="1408" t="s">
        <v>321</v>
      </c>
      <c r="C531" s="1409">
        <v>0.4</v>
      </c>
      <c r="D531" s="1410">
        <v>26</v>
      </c>
      <c r="E531" s="1411">
        <v>22.52</v>
      </c>
      <c r="F531" s="1421">
        <f t="shared" si="22"/>
        <v>3.4800000000000004</v>
      </c>
      <c r="G531" s="1422">
        <f t="shared" si="20"/>
        <v>0.15452930728241565</v>
      </c>
      <c r="H531" s="1413" t="s">
        <v>590</v>
      </c>
      <c r="I531" s="1413"/>
    </row>
    <row r="532" spans="1:9" hidden="1" outlineLevel="1">
      <c r="A532" s="1414">
        <v>41762</v>
      </c>
      <c r="B532" s="1408" t="s">
        <v>592</v>
      </c>
      <c r="C532" s="1409">
        <v>19688</v>
      </c>
      <c r="D532" s="1410">
        <v>1385394.7</v>
      </c>
      <c r="E532" s="1411">
        <v>1255172.51</v>
      </c>
      <c r="F532" s="1421">
        <f t="shared" si="22"/>
        <v>130222.18999999994</v>
      </c>
      <c r="G532" s="1422">
        <f t="shared" si="20"/>
        <v>0.1037484401247761</v>
      </c>
      <c r="H532" s="1413" t="s">
        <v>758</v>
      </c>
      <c r="I532" s="1413" t="s">
        <v>811</v>
      </c>
    </row>
    <row r="533" spans="1:9" hidden="1" outlineLevel="1">
      <c r="A533" s="1414">
        <v>41764</v>
      </c>
      <c r="B533" s="1408" t="s">
        <v>592</v>
      </c>
      <c r="C533" s="1409">
        <v>26635</v>
      </c>
      <c r="D533" s="1410">
        <v>1889151.85</v>
      </c>
      <c r="E533" s="1411">
        <v>1727431.43</v>
      </c>
      <c r="F533" s="1421">
        <f t="shared" si="22"/>
        <v>161720.42000000016</v>
      </c>
      <c r="G533" s="1422">
        <f t="shared" si="20"/>
        <v>9.3619009815052487E-2</v>
      </c>
      <c r="H533" s="1413" t="s">
        <v>758</v>
      </c>
      <c r="I533" s="1413" t="s">
        <v>812</v>
      </c>
    </row>
    <row r="534" spans="1:9" hidden="1" outlineLevel="1">
      <c r="A534" s="1414">
        <v>41764</v>
      </c>
      <c r="B534" s="1408" t="s">
        <v>592</v>
      </c>
      <c r="C534" s="1409">
        <v>26963</v>
      </c>
      <c r="D534" s="1410">
        <v>1912416.05</v>
      </c>
      <c r="E534" s="1411">
        <v>1725727.02</v>
      </c>
      <c r="F534" s="1421">
        <f t="shared" si="22"/>
        <v>186689.03000000003</v>
      </c>
      <c r="G534" s="1422">
        <f t="shared" si="20"/>
        <v>0.10817993102987981</v>
      </c>
      <c r="H534" s="1413" t="s">
        <v>758</v>
      </c>
      <c r="I534" s="1413" t="s">
        <v>813</v>
      </c>
    </row>
    <row r="535" spans="1:9" hidden="1" outlineLevel="1">
      <c r="A535" s="1414">
        <v>41764</v>
      </c>
      <c r="B535" s="1408" t="s">
        <v>596</v>
      </c>
      <c r="C535" s="1409">
        <v>26596</v>
      </c>
      <c r="D535" s="1410">
        <v>1945763.36</v>
      </c>
      <c r="E535" s="1411">
        <v>1721584.97</v>
      </c>
      <c r="F535" s="1421">
        <f t="shared" si="22"/>
        <v>224178.39000000013</v>
      </c>
      <c r="G535" s="1422">
        <f t="shared" si="20"/>
        <v>0.13021627971113162</v>
      </c>
      <c r="H535" s="1413" t="s">
        <v>611</v>
      </c>
      <c r="I535" s="1413" t="s">
        <v>814</v>
      </c>
    </row>
    <row r="536" spans="1:9" hidden="1" outlineLevel="1">
      <c r="A536" s="1414">
        <v>41765</v>
      </c>
      <c r="B536" s="1408" t="s">
        <v>592</v>
      </c>
      <c r="C536" s="1409">
        <v>20050</v>
      </c>
      <c r="D536" s="1410">
        <v>1415425.45</v>
      </c>
      <c r="E536" s="1411">
        <v>1306939.8500000001</v>
      </c>
      <c r="F536" s="1421">
        <f t="shared" si="22"/>
        <v>108485.59999999986</v>
      </c>
      <c r="G536" s="1422">
        <f t="shared" si="20"/>
        <v>8.300733962622675E-2</v>
      </c>
      <c r="H536" s="1413" t="s">
        <v>758</v>
      </c>
      <c r="I536" s="1413" t="s">
        <v>815</v>
      </c>
    </row>
    <row r="537" spans="1:9" hidden="1" outlineLevel="1">
      <c r="A537" s="1414">
        <v>41766</v>
      </c>
      <c r="B537" s="1408" t="s">
        <v>321</v>
      </c>
      <c r="C537" s="1409">
        <v>2</v>
      </c>
      <c r="D537" s="1410">
        <v>130</v>
      </c>
      <c r="E537" s="1411">
        <v>112.26</v>
      </c>
      <c r="F537" s="1421">
        <f t="shared" si="22"/>
        <v>17.739999999999995</v>
      </c>
      <c r="G537" s="1422">
        <f t="shared" si="20"/>
        <v>0.15802601104578651</v>
      </c>
      <c r="H537" s="1413" t="s">
        <v>590</v>
      </c>
      <c r="I537" s="1413"/>
    </row>
    <row r="538" spans="1:9" hidden="1" outlineLevel="1">
      <c r="A538" s="1414">
        <v>41767</v>
      </c>
      <c r="B538" s="1408" t="s">
        <v>321</v>
      </c>
      <c r="C538" s="1409">
        <v>13</v>
      </c>
      <c r="D538" s="1410">
        <v>845</v>
      </c>
      <c r="E538" s="1411">
        <v>728.77</v>
      </c>
      <c r="F538" s="1421">
        <f t="shared" si="22"/>
        <v>116.23000000000002</v>
      </c>
      <c r="G538" s="1422">
        <f t="shared" si="20"/>
        <v>0.1594879042770696</v>
      </c>
      <c r="H538" s="1413" t="s">
        <v>590</v>
      </c>
      <c r="I538" s="1413"/>
    </row>
    <row r="539" spans="1:9" hidden="1" outlineLevel="1">
      <c r="A539" s="1414">
        <v>41767</v>
      </c>
      <c r="B539" s="1408" t="s">
        <v>592</v>
      </c>
      <c r="C539" s="1409">
        <v>19673</v>
      </c>
      <c r="D539" s="1410">
        <v>1375596.65</v>
      </c>
      <c r="E539" s="1411">
        <v>1273210.5</v>
      </c>
      <c r="F539" s="1421">
        <f t="shared" si="22"/>
        <v>102386.14999999991</v>
      </c>
      <c r="G539" s="1422">
        <f t="shared" si="20"/>
        <v>8.041572858533598E-2</v>
      </c>
      <c r="H539" s="1413" t="s">
        <v>758</v>
      </c>
      <c r="I539" s="1413" t="s">
        <v>816</v>
      </c>
    </row>
    <row r="540" spans="1:9" hidden="1" outlineLevel="1">
      <c r="A540" s="1414">
        <v>41767</v>
      </c>
      <c r="B540" s="1408" t="s">
        <v>489</v>
      </c>
      <c r="C540" s="1409">
        <v>19745</v>
      </c>
      <c r="D540" s="1410">
        <v>477829</v>
      </c>
      <c r="E540" s="1411">
        <v>0</v>
      </c>
      <c r="F540" s="1421">
        <f t="shared" si="22"/>
        <v>477829</v>
      </c>
      <c r="G540" s="1422" t="e">
        <f t="shared" si="20"/>
        <v>#DIV/0!</v>
      </c>
      <c r="H540" s="1413" t="s">
        <v>591</v>
      </c>
      <c r="I540" s="1413"/>
    </row>
    <row r="541" spans="1:9" hidden="1" outlineLevel="1">
      <c r="A541" s="1414">
        <v>41770</v>
      </c>
      <c r="B541" s="1408" t="s">
        <v>321</v>
      </c>
      <c r="C541" s="1409">
        <v>4.4000000000000004</v>
      </c>
      <c r="D541" s="1410">
        <v>286</v>
      </c>
      <c r="E541" s="1411">
        <v>246.91</v>
      </c>
      <c r="F541" s="1421">
        <f t="shared" si="22"/>
        <v>39.090000000000003</v>
      </c>
      <c r="G541" s="1422">
        <f t="shared" si="20"/>
        <v>0.15831679559353612</v>
      </c>
      <c r="H541" s="1413" t="s">
        <v>590</v>
      </c>
      <c r="I541" s="1413"/>
    </row>
    <row r="542" spans="1:9" hidden="1" outlineLevel="1">
      <c r="A542" s="1414">
        <v>41771</v>
      </c>
      <c r="B542" s="1408" t="s">
        <v>321</v>
      </c>
      <c r="C542" s="1409">
        <v>10</v>
      </c>
      <c r="D542" s="1410">
        <v>650</v>
      </c>
      <c r="E542" s="1411">
        <v>561.15</v>
      </c>
      <c r="F542" s="1421">
        <f t="shared" si="22"/>
        <v>88.850000000000023</v>
      </c>
      <c r="G542" s="1422">
        <f t="shared" si="20"/>
        <v>0.15833556090171974</v>
      </c>
      <c r="H542" s="1413" t="s">
        <v>590</v>
      </c>
      <c r="I542" s="1413"/>
    </row>
    <row r="543" spans="1:9" hidden="1" outlineLevel="1">
      <c r="A543" s="1414">
        <v>41771</v>
      </c>
      <c r="B543" s="1408" t="s">
        <v>592</v>
      </c>
      <c r="C543" s="1409">
        <v>19573</v>
      </c>
      <c r="D543" s="1410">
        <v>1375500.4</v>
      </c>
      <c r="E543" s="1411">
        <v>1281175.3899999999</v>
      </c>
      <c r="F543" s="1421">
        <f t="shared" si="22"/>
        <v>94325.010000000009</v>
      </c>
      <c r="G543" s="1422">
        <f t="shared" si="20"/>
        <v>7.3623807275910919E-2</v>
      </c>
      <c r="H543" s="1413" t="s">
        <v>758</v>
      </c>
      <c r="I543" s="1413" t="s">
        <v>817</v>
      </c>
    </row>
    <row r="544" spans="1:9" hidden="1" outlineLevel="1">
      <c r="A544" s="1414">
        <v>41772</v>
      </c>
      <c r="B544" s="1408" t="s">
        <v>592</v>
      </c>
      <c r="C544" s="1409">
        <v>19767</v>
      </c>
      <c r="D544" s="1410">
        <v>1370955.41</v>
      </c>
      <c r="E544" s="1411">
        <v>1289133.47</v>
      </c>
      <c r="F544" s="1421">
        <f t="shared" si="22"/>
        <v>81821.939999999944</v>
      </c>
      <c r="G544" s="1422">
        <f t="shared" ref="G544:G607" si="23">F544/E544</f>
        <v>6.3470495417359649E-2</v>
      </c>
      <c r="H544" s="1413" t="s">
        <v>758</v>
      </c>
      <c r="I544" s="1413" t="s">
        <v>818</v>
      </c>
    </row>
    <row r="545" spans="1:9" hidden="1" outlineLevel="1">
      <c r="A545" s="1414">
        <v>41773</v>
      </c>
      <c r="B545" s="1408" t="s">
        <v>592</v>
      </c>
      <c r="C545" s="1409">
        <v>20922</v>
      </c>
      <c r="D545" s="1410">
        <v>1437452.9</v>
      </c>
      <c r="E545" s="1411">
        <v>1358964.39</v>
      </c>
      <c r="F545" s="1421">
        <f t="shared" si="22"/>
        <v>78488.510000000009</v>
      </c>
      <c r="G545" s="1422">
        <f t="shared" si="23"/>
        <v>5.7756119717014817E-2</v>
      </c>
      <c r="H545" s="1413" t="s">
        <v>758</v>
      </c>
      <c r="I545" s="1413" t="s">
        <v>819</v>
      </c>
    </row>
    <row r="546" spans="1:9" hidden="1" outlineLevel="1">
      <c r="A546" s="1414">
        <v>41774</v>
      </c>
      <c r="B546" s="1408" t="s">
        <v>321</v>
      </c>
      <c r="C546" s="1409">
        <v>1.4</v>
      </c>
      <c r="D546" s="1410">
        <v>91</v>
      </c>
      <c r="E546" s="1411">
        <v>77.55</v>
      </c>
      <c r="F546" s="1421">
        <f t="shared" si="22"/>
        <v>13.450000000000003</v>
      </c>
      <c r="G546" s="1422">
        <f t="shared" si="23"/>
        <v>0.17343649258542879</v>
      </c>
      <c r="H546" s="1413" t="s">
        <v>590</v>
      </c>
      <c r="I546" s="1413"/>
    </row>
    <row r="547" spans="1:9" hidden="1" outlineLevel="1">
      <c r="A547" s="1414">
        <v>41774</v>
      </c>
      <c r="B547" s="1408" t="s">
        <v>592</v>
      </c>
      <c r="C547" s="1409">
        <v>27017</v>
      </c>
      <c r="D547" s="1410">
        <v>1861598.53</v>
      </c>
      <c r="E547" s="1411">
        <v>1749002.52</v>
      </c>
      <c r="F547" s="1421">
        <f t="shared" si="22"/>
        <v>112596.01000000001</v>
      </c>
      <c r="G547" s="1422">
        <f t="shared" si="23"/>
        <v>6.4377271451844451E-2</v>
      </c>
      <c r="H547" s="1413" t="s">
        <v>758</v>
      </c>
      <c r="I547" s="1413" t="s">
        <v>820</v>
      </c>
    </row>
    <row r="548" spans="1:9" hidden="1" outlineLevel="1">
      <c r="A548" s="1414">
        <v>41774</v>
      </c>
      <c r="B548" s="1408" t="s">
        <v>592</v>
      </c>
      <c r="C548" s="1409">
        <v>26918</v>
      </c>
      <c r="D548" s="1410">
        <v>1854776.96</v>
      </c>
      <c r="E548" s="1411">
        <v>1754959.7</v>
      </c>
      <c r="F548" s="1421">
        <f t="shared" si="22"/>
        <v>99817.260000000009</v>
      </c>
      <c r="G548" s="1422">
        <f t="shared" si="23"/>
        <v>5.687723769383423E-2</v>
      </c>
      <c r="H548" s="1413" t="s">
        <v>758</v>
      </c>
      <c r="I548" s="1413" t="s">
        <v>821</v>
      </c>
    </row>
    <row r="549" spans="1:9" hidden="1" outlineLevel="1">
      <c r="A549" s="1414">
        <v>41775</v>
      </c>
      <c r="B549" s="1408" t="s">
        <v>321</v>
      </c>
      <c r="C549" s="1409">
        <v>5</v>
      </c>
      <c r="D549" s="1410">
        <v>325</v>
      </c>
      <c r="E549" s="1411">
        <v>276.87</v>
      </c>
      <c r="F549" s="1421">
        <f t="shared" si="22"/>
        <v>48.129999999999995</v>
      </c>
      <c r="G549" s="1422">
        <f t="shared" si="23"/>
        <v>0.17383609636291397</v>
      </c>
      <c r="H549" s="1413" t="s">
        <v>590</v>
      </c>
      <c r="I549" s="1413"/>
    </row>
    <row r="550" spans="1:9" hidden="1" outlineLevel="1">
      <c r="A550" s="1414">
        <v>41777</v>
      </c>
      <c r="B550" s="1408" t="s">
        <v>592</v>
      </c>
      <c r="C550" s="1409">
        <v>20993</v>
      </c>
      <c r="D550" s="1410">
        <v>1438219.91</v>
      </c>
      <c r="E550" s="1411">
        <v>1351507.98</v>
      </c>
      <c r="F550" s="1421">
        <f t="shared" si="22"/>
        <v>86711.929999999935</v>
      </c>
      <c r="G550" s="1422">
        <f t="shared" si="23"/>
        <v>6.4159391792862328E-2</v>
      </c>
      <c r="H550" s="1413" t="s">
        <v>758</v>
      </c>
      <c r="I550" s="1413" t="s">
        <v>822</v>
      </c>
    </row>
    <row r="551" spans="1:9" hidden="1" outlineLevel="1">
      <c r="A551" s="1414">
        <v>41777</v>
      </c>
      <c r="B551" s="1408" t="s">
        <v>596</v>
      </c>
      <c r="C551" s="1409">
        <v>27733</v>
      </c>
      <c r="D551" s="1410">
        <v>2028946.28</v>
      </c>
      <c r="E551" s="1411">
        <v>1793039.49</v>
      </c>
      <c r="F551" s="1421">
        <f t="shared" si="22"/>
        <v>235906.79000000004</v>
      </c>
      <c r="G551" s="1422">
        <f t="shared" si="23"/>
        <v>0.13156809502282632</v>
      </c>
      <c r="H551" s="1413" t="s">
        <v>611</v>
      </c>
      <c r="I551" s="1413" t="s">
        <v>823</v>
      </c>
    </row>
    <row r="552" spans="1:9" hidden="1" outlineLevel="1">
      <c r="A552" s="1414">
        <v>41778</v>
      </c>
      <c r="B552" s="1408" t="s">
        <v>321</v>
      </c>
      <c r="C552" s="1409">
        <v>2</v>
      </c>
      <c r="D552" s="1410">
        <v>130</v>
      </c>
      <c r="E552" s="1411">
        <v>110.02</v>
      </c>
      <c r="F552" s="1421">
        <f t="shared" si="22"/>
        <v>19.980000000000004</v>
      </c>
      <c r="G552" s="1422">
        <f t="shared" si="23"/>
        <v>0.1816033448463916</v>
      </c>
      <c r="H552" s="1413" t="s">
        <v>590</v>
      </c>
      <c r="I552" s="1413"/>
    </row>
    <row r="553" spans="1:9" hidden="1" outlineLevel="1">
      <c r="A553" s="1414">
        <v>41779</v>
      </c>
      <c r="B553" s="1408" t="s">
        <v>321</v>
      </c>
      <c r="C553" s="1409">
        <v>1.5</v>
      </c>
      <c r="D553" s="1410">
        <v>97.5</v>
      </c>
      <c r="E553" s="1411">
        <v>82.31</v>
      </c>
      <c r="F553" s="1421">
        <f t="shared" si="22"/>
        <v>15.189999999999998</v>
      </c>
      <c r="G553" s="1422">
        <f t="shared" si="23"/>
        <v>0.18454622767585951</v>
      </c>
      <c r="H553" s="1413" t="s">
        <v>590</v>
      </c>
      <c r="I553" s="1413"/>
    </row>
    <row r="554" spans="1:9" hidden="1" outlineLevel="1">
      <c r="A554" s="1414">
        <v>41779</v>
      </c>
      <c r="B554" s="1408" t="s">
        <v>592</v>
      </c>
      <c r="C554" s="1409">
        <v>20649</v>
      </c>
      <c r="D554" s="1410">
        <v>1413025.64</v>
      </c>
      <c r="E554" s="1411">
        <v>1311202.7</v>
      </c>
      <c r="F554" s="1421">
        <f t="shared" si="22"/>
        <v>101822.93999999994</v>
      </c>
      <c r="G554" s="1422">
        <f t="shared" si="23"/>
        <v>7.7656139664752016E-2</v>
      </c>
      <c r="H554" s="1413" t="s">
        <v>758</v>
      </c>
      <c r="I554" s="1413" t="s">
        <v>824</v>
      </c>
    </row>
    <row r="555" spans="1:9" hidden="1" outlineLevel="1">
      <c r="A555" s="1414">
        <v>41780</v>
      </c>
      <c r="B555" s="1408" t="s">
        <v>321</v>
      </c>
      <c r="C555" s="1409">
        <v>5</v>
      </c>
      <c r="D555" s="1410">
        <v>325</v>
      </c>
      <c r="E555" s="1411">
        <v>274</v>
      </c>
      <c r="F555" s="1421">
        <f t="shared" si="22"/>
        <v>51</v>
      </c>
      <c r="G555" s="1422">
        <f t="shared" si="23"/>
        <v>0.18613138686131386</v>
      </c>
      <c r="H555" s="1413" t="s">
        <v>590</v>
      </c>
      <c r="I555" s="1413"/>
    </row>
    <row r="556" spans="1:9" hidden="1" outlineLevel="1">
      <c r="A556" s="1414">
        <v>41781</v>
      </c>
      <c r="B556" s="1408" t="s">
        <v>592</v>
      </c>
      <c r="C556" s="1409">
        <v>27333</v>
      </c>
      <c r="D556" s="1410">
        <v>1867494.67</v>
      </c>
      <c r="E556" s="1411">
        <v>1760318.91</v>
      </c>
      <c r="F556" s="1421">
        <f t="shared" si="22"/>
        <v>107175.76000000001</v>
      </c>
      <c r="G556" s="1422">
        <f t="shared" si="23"/>
        <v>6.088428601837835E-2</v>
      </c>
      <c r="H556" s="1413" t="s">
        <v>758</v>
      </c>
      <c r="I556" s="1413" t="s">
        <v>825</v>
      </c>
    </row>
    <row r="557" spans="1:9" hidden="1" outlineLevel="1">
      <c r="A557" s="1414">
        <v>41781</v>
      </c>
      <c r="B557" s="1408" t="s">
        <v>592</v>
      </c>
      <c r="C557" s="1409">
        <v>27272</v>
      </c>
      <c r="D557" s="1410">
        <v>1863326.92</v>
      </c>
      <c r="E557" s="1411">
        <v>1741140.66</v>
      </c>
      <c r="F557" s="1421">
        <f t="shared" si="22"/>
        <v>122186.26000000001</v>
      </c>
      <c r="G557" s="1422">
        <f t="shared" si="23"/>
        <v>7.017598451810321E-2</v>
      </c>
      <c r="H557" s="1413" t="s">
        <v>758</v>
      </c>
      <c r="I557" s="1413" t="s">
        <v>826</v>
      </c>
    </row>
    <row r="558" spans="1:9" hidden="1" outlineLevel="1">
      <c r="A558" s="1414">
        <v>41783</v>
      </c>
      <c r="B558" s="1408" t="s">
        <v>321</v>
      </c>
      <c r="C558" s="1409">
        <v>7</v>
      </c>
      <c r="D558" s="1410">
        <v>385</v>
      </c>
      <c r="E558" s="1411">
        <v>382.76</v>
      </c>
      <c r="F558" s="1421">
        <f t="shared" si="22"/>
        <v>2.2400000000000091</v>
      </c>
      <c r="G558" s="1422">
        <f t="shared" si="23"/>
        <v>5.8522311631309673E-3</v>
      </c>
      <c r="H558" s="1413" t="s">
        <v>590</v>
      </c>
      <c r="I558" s="1413"/>
    </row>
    <row r="559" spans="1:9" hidden="1" outlineLevel="1">
      <c r="A559" s="1414">
        <v>41784</v>
      </c>
      <c r="B559" s="1408" t="s">
        <v>321</v>
      </c>
      <c r="C559" s="1409">
        <v>1.4</v>
      </c>
      <c r="D559" s="1410">
        <v>91</v>
      </c>
      <c r="E559" s="1411">
        <v>76.3</v>
      </c>
      <c r="F559" s="1421">
        <f t="shared" si="22"/>
        <v>14.700000000000003</v>
      </c>
      <c r="G559" s="1422">
        <f t="shared" si="23"/>
        <v>0.19266055045871563</v>
      </c>
      <c r="H559" s="1413" t="s">
        <v>590</v>
      </c>
      <c r="I559" s="1413"/>
    </row>
    <row r="560" spans="1:9" hidden="1" outlineLevel="1">
      <c r="A560" s="1414">
        <v>41785</v>
      </c>
      <c r="B560" s="1408" t="s">
        <v>321</v>
      </c>
      <c r="C560" s="1409">
        <v>11</v>
      </c>
      <c r="D560" s="1410">
        <v>715</v>
      </c>
      <c r="E560" s="1411">
        <v>599.72</v>
      </c>
      <c r="F560" s="1421">
        <f t="shared" si="22"/>
        <v>115.27999999999997</v>
      </c>
      <c r="G560" s="1422">
        <f t="shared" si="23"/>
        <v>0.19222303741746144</v>
      </c>
      <c r="H560" s="1413" t="s">
        <v>590</v>
      </c>
      <c r="I560" s="1413"/>
    </row>
    <row r="561" spans="1:9" hidden="1" outlineLevel="1">
      <c r="A561" s="1414">
        <v>41785</v>
      </c>
      <c r="B561" s="1408" t="s">
        <v>592</v>
      </c>
      <c r="C561" s="1409">
        <v>20750</v>
      </c>
      <c r="D561" s="1410">
        <v>1535538</v>
      </c>
      <c r="E561" s="1411">
        <v>1293258.18</v>
      </c>
      <c r="F561" s="1421">
        <f t="shared" si="22"/>
        <v>242279.82000000007</v>
      </c>
      <c r="G561" s="1422">
        <f t="shared" si="23"/>
        <v>0.18734064376843923</v>
      </c>
      <c r="H561" s="1413" t="s">
        <v>584</v>
      </c>
      <c r="I561" s="1413"/>
    </row>
    <row r="562" spans="1:9" hidden="1" outlineLevel="1">
      <c r="A562" s="1414">
        <v>41785</v>
      </c>
      <c r="B562" s="1408" t="s">
        <v>596</v>
      </c>
      <c r="C562" s="1409">
        <v>27668</v>
      </c>
      <c r="D562" s="1410">
        <v>2024190.88</v>
      </c>
      <c r="E562" s="1411">
        <v>1735807.82</v>
      </c>
      <c r="F562" s="1421">
        <f t="shared" si="22"/>
        <v>288383.05999999982</v>
      </c>
      <c r="G562" s="1422">
        <f t="shared" si="23"/>
        <v>0.16613766609255154</v>
      </c>
      <c r="H562" s="1413" t="s">
        <v>611</v>
      </c>
      <c r="I562" s="1413" t="s">
        <v>827</v>
      </c>
    </row>
    <row r="563" spans="1:9" hidden="1" outlineLevel="1">
      <c r="A563" s="1414">
        <v>41786</v>
      </c>
      <c r="B563" s="1408" t="s">
        <v>321</v>
      </c>
      <c r="C563" s="1409">
        <v>3.4</v>
      </c>
      <c r="D563" s="1410">
        <v>221</v>
      </c>
      <c r="E563" s="1411">
        <v>185.61</v>
      </c>
      <c r="F563" s="1421">
        <f t="shared" si="22"/>
        <v>35.389999999999986</v>
      </c>
      <c r="G563" s="1422">
        <f t="shared" si="23"/>
        <v>0.19066860621733733</v>
      </c>
      <c r="H563" s="1413" t="s">
        <v>590</v>
      </c>
      <c r="I563" s="1413"/>
    </row>
    <row r="564" spans="1:9" hidden="1" outlineLevel="1">
      <c r="A564" s="1414">
        <v>41787</v>
      </c>
      <c r="B564" s="1408" t="s">
        <v>321</v>
      </c>
      <c r="C564" s="1409">
        <v>0.4</v>
      </c>
      <c r="D564" s="1410">
        <v>26</v>
      </c>
      <c r="E564" s="1411">
        <v>21.8</v>
      </c>
      <c r="F564" s="1421">
        <f t="shared" si="22"/>
        <v>4.1999999999999993</v>
      </c>
      <c r="G564" s="1422">
        <f t="shared" si="23"/>
        <v>0.19266055045871555</v>
      </c>
      <c r="H564" s="1413" t="s">
        <v>590</v>
      </c>
      <c r="I564" s="1413"/>
    </row>
    <row r="565" spans="1:9" ht="22.5" hidden="1" outlineLevel="1">
      <c r="A565" s="1414">
        <v>41788</v>
      </c>
      <c r="B565" s="1408" t="s">
        <v>828</v>
      </c>
      <c r="C565" s="1409">
        <v>6963</v>
      </c>
      <c r="D565" s="1410">
        <v>269800</v>
      </c>
      <c r="E565" s="1411">
        <v>289106.32</v>
      </c>
      <c r="F565" s="1421">
        <f t="shared" si="22"/>
        <v>-19306.320000000007</v>
      </c>
      <c r="G565" s="1422">
        <f t="shared" si="23"/>
        <v>-6.6779308041415381E-2</v>
      </c>
      <c r="H565" s="1413" t="s">
        <v>829</v>
      </c>
      <c r="I565" s="1413"/>
    </row>
    <row r="566" spans="1:9" hidden="1" outlineLevel="1">
      <c r="A566" s="1414">
        <v>41789</v>
      </c>
      <c r="B566" s="1408" t="s">
        <v>321</v>
      </c>
      <c r="C566" s="1409">
        <v>3.2</v>
      </c>
      <c r="D566" s="1410">
        <v>208</v>
      </c>
      <c r="E566" s="1411">
        <v>174.25</v>
      </c>
      <c r="F566" s="1421">
        <f t="shared" si="22"/>
        <v>33.75</v>
      </c>
      <c r="G566" s="1422">
        <f t="shared" si="23"/>
        <v>0.19368723098995697</v>
      </c>
      <c r="H566" s="1413" t="s">
        <v>590</v>
      </c>
      <c r="I566" s="1413"/>
    </row>
    <row r="567" spans="1:9" hidden="1" outlineLevel="1">
      <c r="A567" s="1415" t="s">
        <v>5</v>
      </c>
      <c r="B567" s="1416"/>
      <c r="C567" s="1417">
        <f>SUM(C568:C606)</f>
        <v>1017751.8</v>
      </c>
      <c r="D567" s="1417">
        <f>SUM(D568:D606)</f>
        <v>64961438.32</v>
      </c>
      <c r="E567" s="1417">
        <f>SUM(E568:E606)</f>
        <v>56212920.270000003</v>
      </c>
      <c r="F567" s="1433">
        <f>SUM(F568:F606)</f>
        <v>8748518.0500000026</v>
      </c>
      <c r="G567" s="1420">
        <f t="shared" si="23"/>
        <v>0.15563180151430339</v>
      </c>
      <c r="H567" s="1423"/>
      <c r="I567" s="1423"/>
    </row>
    <row r="568" spans="1:9" hidden="1" outlineLevel="1">
      <c r="A568" s="1414">
        <v>41791</v>
      </c>
      <c r="B568" s="1408" t="s">
        <v>321</v>
      </c>
      <c r="C568" s="1409">
        <v>6</v>
      </c>
      <c r="D568" s="1410">
        <v>390</v>
      </c>
      <c r="E568" s="1411">
        <v>317.86</v>
      </c>
      <c r="F568" s="1421">
        <f t="shared" ref="F568:F595" si="24">D568-E568</f>
        <v>72.139999999999986</v>
      </c>
      <c r="G568" s="1422">
        <f t="shared" si="23"/>
        <v>0.22695526332347568</v>
      </c>
      <c r="H568" s="1413" t="s">
        <v>590</v>
      </c>
      <c r="I568" s="1413"/>
    </row>
    <row r="569" spans="1:9" hidden="1" outlineLevel="1">
      <c r="A569" s="1414">
        <v>41791</v>
      </c>
      <c r="B569" s="1408" t="s">
        <v>592</v>
      </c>
      <c r="C569" s="1409">
        <v>20755</v>
      </c>
      <c r="D569" s="1410">
        <v>1438820.57</v>
      </c>
      <c r="E569" s="1411">
        <v>1327884.19</v>
      </c>
      <c r="F569" s="1421">
        <f t="shared" si="24"/>
        <v>110936.38000000012</v>
      </c>
      <c r="G569" s="1422">
        <f t="shared" si="23"/>
        <v>8.3543716263388995E-2</v>
      </c>
      <c r="H569" s="1413" t="s">
        <v>758</v>
      </c>
      <c r="I569" s="1413" t="s">
        <v>830</v>
      </c>
    </row>
    <row r="570" spans="1:9" hidden="1" outlineLevel="1">
      <c r="A570" s="1414">
        <v>41792</v>
      </c>
      <c r="B570" s="1408" t="s">
        <v>321</v>
      </c>
      <c r="C570" s="1409">
        <v>1.8</v>
      </c>
      <c r="D570" s="1410">
        <v>117</v>
      </c>
      <c r="E570" s="1411">
        <v>95.67</v>
      </c>
      <c r="F570" s="1421">
        <f t="shared" si="24"/>
        <v>21.33</v>
      </c>
      <c r="G570" s="1422">
        <f t="shared" si="23"/>
        <v>0.22295390404515519</v>
      </c>
      <c r="H570" s="1413" t="s">
        <v>590</v>
      </c>
      <c r="I570" s="1413"/>
    </row>
    <row r="571" spans="1:9" hidden="1" outlineLevel="1">
      <c r="A571" s="1414">
        <v>41792</v>
      </c>
      <c r="B571" s="1408" t="s">
        <v>489</v>
      </c>
      <c r="C571" s="1409">
        <v>20067</v>
      </c>
      <c r="D571" s="1410">
        <v>461541</v>
      </c>
      <c r="E571" s="1411">
        <v>24727.78</v>
      </c>
      <c r="F571" s="1421">
        <f t="shared" si="24"/>
        <v>436813.22</v>
      </c>
      <c r="G571" s="1422">
        <f t="shared" si="23"/>
        <v>17.664878124926702</v>
      </c>
      <c r="H571" s="1413" t="s">
        <v>591</v>
      </c>
      <c r="I571" s="1413"/>
    </row>
    <row r="572" spans="1:9" hidden="1" outlineLevel="1">
      <c r="A572" s="1414">
        <v>41793</v>
      </c>
      <c r="B572" s="1408" t="s">
        <v>592</v>
      </c>
      <c r="C572" s="1409">
        <v>20797</v>
      </c>
      <c r="D572" s="1410">
        <v>1448103.4</v>
      </c>
      <c r="E572" s="1411">
        <v>1342461.91</v>
      </c>
      <c r="F572" s="1421">
        <f t="shared" si="24"/>
        <v>105641.48999999999</v>
      </c>
      <c r="G572" s="1422">
        <f t="shared" si="23"/>
        <v>7.8692355599124589E-2</v>
      </c>
      <c r="H572" s="1413" t="s">
        <v>758</v>
      </c>
      <c r="I572" s="1413" t="s">
        <v>831</v>
      </c>
    </row>
    <row r="573" spans="1:9" hidden="1" outlineLevel="1">
      <c r="A573" s="1414">
        <v>41794</v>
      </c>
      <c r="B573" s="1408" t="s">
        <v>321</v>
      </c>
      <c r="C573" s="1409">
        <v>7</v>
      </c>
      <c r="D573" s="1410">
        <v>455</v>
      </c>
      <c r="E573" s="1411">
        <v>375.55</v>
      </c>
      <c r="F573" s="1421">
        <f t="shared" si="24"/>
        <v>79.449999999999989</v>
      </c>
      <c r="G573" s="1422">
        <f t="shared" si="23"/>
        <v>0.21155638397017704</v>
      </c>
      <c r="H573" s="1413" t="s">
        <v>590</v>
      </c>
      <c r="I573" s="1413"/>
    </row>
    <row r="574" spans="1:9" hidden="1" outlineLevel="1">
      <c r="A574" s="1414">
        <v>41794</v>
      </c>
      <c r="B574" s="1408" t="s">
        <v>592</v>
      </c>
      <c r="C574" s="1409">
        <v>20938</v>
      </c>
      <c r="D574" s="1410">
        <v>1463052.83</v>
      </c>
      <c r="E574" s="1411">
        <v>1366462.47</v>
      </c>
      <c r="F574" s="1421">
        <f t="shared" si="24"/>
        <v>96590.360000000102</v>
      </c>
      <c r="G574" s="1422">
        <f t="shared" si="23"/>
        <v>7.0686434586088642E-2</v>
      </c>
      <c r="H574" s="1413" t="s">
        <v>758</v>
      </c>
      <c r="I574" s="1413" t="s">
        <v>832</v>
      </c>
    </row>
    <row r="575" spans="1:9" hidden="1" outlineLevel="1">
      <c r="A575" s="1414">
        <v>41795</v>
      </c>
      <c r="B575" s="1408" t="s">
        <v>592</v>
      </c>
      <c r="C575" s="1409">
        <v>21007</v>
      </c>
      <c r="D575" s="1410">
        <v>1473253.28</v>
      </c>
      <c r="E575" s="1411">
        <v>1318377.76</v>
      </c>
      <c r="F575" s="1421">
        <f t="shared" si="24"/>
        <v>154875.52000000002</v>
      </c>
      <c r="G575" s="1422">
        <f t="shared" si="23"/>
        <v>0.11747431176326883</v>
      </c>
      <c r="H575" s="1413" t="s">
        <v>758</v>
      </c>
      <c r="I575" s="1413" t="s">
        <v>833</v>
      </c>
    </row>
    <row r="576" spans="1:9" hidden="1" outlineLevel="1">
      <c r="A576" s="1414">
        <v>41798</v>
      </c>
      <c r="B576" s="1408" t="s">
        <v>592</v>
      </c>
      <c r="C576" s="1409">
        <v>20943</v>
      </c>
      <c r="D576" s="1410">
        <v>1448597.44</v>
      </c>
      <c r="E576" s="1411">
        <v>1301818.48</v>
      </c>
      <c r="F576" s="1421">
        <f t="shared" si="24"/>
        <v>146778.95999999996</v>
      </c>
      <c r="G576" s="1422">
        <f t="shared" si="23"/>
        <v>0.11274917529208832</v>
      </c>
      <c r="H576" s="1413" t="s">
        <v>758</v>
      </c>
      <c r="I576" s="1413" t="s">
        <v>834</v>
      </c>
    </row>
    <row r="577" spans="1:9" hidden="1" outlineLevel="1">
      <c r="A577" s="1414">
        <v>41799</v>
      </c>
      <c r="B577" s="1408" t="s">
        <v>596</v>
      </c>
      <c r="C577" s="1409">
        <v>27072</v>
      </c>
      <c r="D577" s="1410">
        <v>1948642.56</v>
      </c>
      <c r="E577" s="1411">
        <v>1750448.19</v>
      </c>
      <c r="F577" s="1421">
        <f t="shared" si="24"/>
        <v>198194.37000000011</v>
      </c>
      <c r="G577" s="1422">
        <f t="shared" si="23"/>
        <v>0.11322492783976663</v>
      </c>
      <c r="H577" s="1413" t="s">
        <v>611</v>
      </c>
      <c r="I577" s="1413" t="s">
        <v>835</v>
      </c>
    </row>
    <row r="578" spans="1:9" hidden="1" outlineLevel="1">
      <c r="A578" s="1414">
        <v>41804</v>
      </c>
      <c r="B578" s="1408" t="s">
        <v>321</v>
      </c>
      <c r="C578" s="1409">
        <v>1.6</v>
      </c>
      <c r="D578" s="1410">
        <v>104</v>
      </c>
      <c r="E578" s="1411">
        <v>86.32</v>
      </c>
      <c r="F578" s="1421">
        <f t="shared" si="24"/>
        <v>17.680000000000007</v>
      </c>
      <c r="G578" s="1422">
        <f t="shared" si="23"/>
        <v>0.20481927710843384</v>
      </c>
      <c r="H578" s="1413" t="s">
        <v>590</v>
      </c>
      <c r="I578" s="1413"/>
    </row>
    <row r="579" spans="1:9" hidden="1" outlineLevel="1">
      <c r="A579" s="1414">
        <v>41805</v>
      </c>
      <c r="B579" s="1408" t="s">
        <v>321</v>
      </c>
      <c r="C579" s="1409">
        <v>5.2</v>
      </c>
      <c r="D579" s="1410">
        <v>338</v>
      </c>
      <c r="E579" s="1411">
        <v>280.55</v>
      </c>
      <c r="F579" s="1421">
        <f t="shared" si="24"/>
        <v>57.449999999999989</v>
      </c>
      <c r="G579" s="1422">
        <f t="shared" si="23"/>
        <v>0.20477633220459807</v>
      </c>
      <c r="H579" s="1413" t="s">
        <v>590</v>
      </c>
      <c r="I579" s="1413"/>
    </row>
    <row r="580" spans="1:9" hidden="1" outlineLevel="1">
      <c r="A580" s="1414">
        <v>41806</v>
      </c>
      <c r="B580" s="1408" t="s">
        <v>592</v>
      </c>
      <c r="C580" s="1409">
        <v>20833</v>
      </c>
      <c r="D580" s="1410">
        <v>1541642</v>
      </c>
      <c r="E580" s="1411">
        <v>1299243.94</v>
      </c>
      <c r="F580" s="1421">
        <f t="shared" si="24"/>
        <v>242398.06000000006</v>
      </c>
      <c r="G580" s="1422">
        <f t="shared" si="23"/>
        <v>0.18656855155314411</v>
      </c>
      <c r="H580" s="1413" t="s">
        <v>584</v>
      </c>
      <c r="I580" s="1413"/>
    </row>
    <row r="581" spans="1:9" hidden="1" outlineLevel="1">
      <c r="A581" s="1414">
        <v>41807</v>
      </c>
      <c r="B581" s="1408" t="s">
        <v>321</v>
      </c>
      <c r="C581" s="1409">
        <v>4</v>
      </c>
      <c r="D581" s="1410">
        <v>260</v>
      </c>
      <c r="E581" s="1411">
        <v>215.63</v>
      </c>
      <c r="F581" s="1421">
        <f t="shared" si="24"/>
        <v>44.370000000000005</v>
      </c>
      <c r="G581" s="1422">
        <f t="shared" si="23"/>
        <v>0.20576914158512269</v>
      </c>
      <c r="H581" s="1413" t="s">
        <v>590</v>
      </c>
      <c r="I581" s="1413"/>
    </row>
    <row r="582" spans="1:9" hidden="1" outlineLevel="1">
      <c r="A582" s="1414">
        <v>41807</v>
      </c>
      <c r="B582" s="1408" t="s">
        <v>592</v>
      </c>
      <c r="C582" s="1409">
        <v>27129</v>
      </c>
      <c r="D582" s="1410">
        <v>1848510.97</v>
      </c>
      <c r="E582" s="1411">
        <v>1685026.69</v>
      </c>
      <c r="F582" s="1421">
        <f t="shared" si="24"/>
        <v>163484.28000000003</v>
      </c>
      <c r="G582" s="1422">
        <f t="shared" si="23"/>
        <v>9.7021774770819816E-2</v>
      </c>
      <c r="H582" s="1413" t="s">
        <v>758</v>
      </c>
      <c r="I582" s="1413" t="s">
        <v>836</v>
      </c>
    </row>
    <row r="583" spans="1:9" hidden="1" outlineLevel="1">
      <c r="A583" s="1414">
        <v>41807</v>
      </c>
      <c r="B583" s="1408" t="s">
        <v>592</v>
      </c>
      <c r="C583" s="1409">
        <v>26869</v>
      </c>
      <c r="D583" s="1410">
        <v>1830795.14</v>
      </c>
      <c r="E583" s="1411">
        <v>1662398.02</v>
      </c>
      <c r="F583" s="1421">
        <f t="shared" si="24"/>
        <v>168397.11999999988</v>
      </c>
      <c r="G583" s="1422">
        <f t="shared" si="23"/>
        <v>0.10129771449078113</v>
      </c>
      <c r="H583" s="1413" t="s">
        <v>758</v>
      </c>
      <c r="I583" s="1413" t="s">
        <v>837</v>
      </c>
    </row>
    <row r="584" spans="1:9" hidden="1" outlineLevel="1">
      <c r="A584" s="1414">
        <v>41807</v>
      </c>
      <c r="B584" s="1408" t="s">
        <v>596</v>
      </c>
      <c r="C584" s="1409">
        <v>27381</v>
      </c>
      <c r="D584" s="1410">
        <v>1970884</v>
      </c>
      <c r="E584" s="1411">
        <v>1717982.29</v>
      </c>
      <c r="F584" s="1421">
        <f t="shared" si="24"/>
        <v>252901.70999999996</v>
      </c>
      <c r="G584" s="1422">
        <f t="shared" si="23"/>
        <v>0.14720856639331245</v>
      </c>
      <c r="H584" s="1413" t="s">
        <v>611</v>
      </c>
      <c r="I584" s="1413" t="s">
        <v>838</v>
      </c>
    </row>
    <row r="585" spans="1:9" hidden="1" outlineLevel="1">
      <c r="A585" s="1414">
        <v>41812</v>
      </c>
      <c r="B585" s="1408" t="s">
        <v>321</v>
      </c>
      <c r="C585" s="1409">
        <v>6.4</v>
      </c>
      <c r="D585" s="1410">
        <v>416</v>
      </c>
      <c r="E585" s="1411">
        <v>344.92</v>
      </c>
      <c r="F585" s="1421">
        <f t="shared" si="24"/>
        <v>71.079999999999984</v>
      </c>
      <c r="G585" s="1422">
        <f t="shared" si="23"/>
        <v>0.20607677142525799</v>
      </c>
      <c r="H585" s="1413" t="s">
        <v>590</v>
      </c>
      <c r="I585" s="1413"/>
    </row>
    <row r="586" spans="1:9" hidden="1" outlineLevel="1">
      <c r="A586" s="1414">
        <v>41812</v>
      </c>
      <c r="B586" s="1408" t="s">
        <v>596</v>
      </c>
      <c r="C586" s="1409">
        <v>26260</v>
      </c>
      <c r="D586" s="1410">
        <v>1890194.8</v>
      </c>
      <c r="E586" s="1411">
        <v>1645030.42</v>
      </c>
      <c r="F586" s="1421">
        <f t="shared" si="24"/>
        <v>245164.38000000012</v>
      </c>
      <c r="G586" s="1422">
        <f t="shared" si="23"/>
        <v>0.14903334128009629</v>
      </c>
      <c r="H586" s="1413" t="s">
        <v>611</v>
      </c>
      <c r="I586" s="1413" t="s">
        <v>839</v>
      </c>
    </row>
    <row r="587" spans="1:9" hidden="1" outlineLevel="1">
      <c r="A587" s="1414">
        <v>41813</v>
      </c>
      <c r="B587" s="1408" t="s">
        <v>321</v>
      </c>
      <c r="C587" s="1409">
        <v>2.4</v>
      </c>
      <c r="D587" s="1410">
        <v>156</v>
      </c>
      <c r="E587" s="1411">
        <v>129.37</v>
      </c>
      <c r="F587" s="1421">
        <f t="shared" si="24"/>
        <v>26.629999999999995</v>
      </c>
      <c r="G587" s="1422">
        <f t="shared" si="23"/>
        <v>0.20584370410450642</v>
      </c>
      <c r="H587" s="1413" t="s">
        <v>590</v>
      </c>
      <c r="I587" s="1413"/>
    </row>
    <row r="588" spans="1:9" hidden="1" outlineLevel="1">
      <c r="A588" s="1414">
        <v>41813</v>
      </c>
      <c r="B588" s="1408" t="s">
        <v>592</v>
      </c>
      <c r="C588" s="1409">
        <v>27389</v>
      </c>
      <c r="D588" s="1410">
        <v>1871462.92</v>
      </c>
      <c r="E588" s="1411">
        <v>1728574.68</v>
      </c>
      <c r="F588" s="1421">
        <f t="shared" si="24"/>
        <v>142888.24</v>
      </c>
      <c r="G588" s="1422">
        <f t="shared" si="23"/>
        <v>8.2662462694409009E-2</v>
      </c>
      <c r="H588" s="1413" t="s">
        <v>758</v>
      </c>
      <c r="I588" s="1413" t="s">
        <v>840</v>
      </c>
    </row>
    <row r="589" spans="1:9" hidden="1" outlineLevel="1">
      <c r="A589" s="1414">
        <v>41813</v>
      </c>
      <c r="B589" s="1408" t="s">
        <v>592</v>
      </c>
      <c r="C589" s="1409">
        <v>27108</v>
      </c>
      <c r="D589" s="1410">
        <v>1852262.47</v>
      </c>
      <c r="E589" s="1411">
        <v>1703833.76</v>
      </c>
      <c r="F589" s="1421">
        <f t="shared" si="24"/>
        <v>148428.70999999996</v>
      </c>
      <c r="G589" s="1422">
        <f t="shared" si="23"/>
        <v>8.7114549250391637E-2</v>
      </c>
      <c r="H589" s="1413" t="s">
        <v>758</v>
      </c>
      <c r="I589" s="1413" t="s">
        <v>841</v>
      </c>
    </row>
    <row r="590" spans="1:9" hidden="1" outlineLevel="1">
      <c r="A590" s="1414">
        <v>41813</v>
      </c>
      <c r="B590" s="1408" t="s">
        <v>489</v>
      </c>
      <c r="C590" s="1409">
        <v>20146</v>
      </c>
      <c r="D590" s="1410">
        <v>463358</v>
      </c>
      <c r="E590" s="1411">
        <v>10470.99</v>
      </c>
      <c r="F590" s="1421">
        <f t="shared" si="24"/>
        <v>452887.01</v>
      </c>
      <c r="G590" s="1422">
        <f t="shared" si="23"/>
        <v>43.251594166358672</v>
      </c>
      <c r="H590" s="1413" t="s">
        <v>591</v>
      </c>
      <c r="I590" s="1413"/>
    </row>
    <row r="591" spans="1:9" hidden="1" outlineLevel="1">
      <c r="A591" s="1414">
        <v>41814</v>
      </c>
      <c r="B591" s="1408" t="s">
        <v>592</v>
      </c>
      <c r="C591" s="1409">
        <v>26738</v>
      </c>
      <c r="D591" s="1410">
        <v>1838972.04</v>
      </c>
      <c r="E591" s="1411">
        <v>1655309.33</v>
      </c>
      <c r="F591" s="1421">
        <f t="shared" si="24"/>
        <v>183662.70999999996</v>
      </c>
      <c r="G591" s="1422">
        <f t="shared" si="23"/>
        <v>0.11095370917772811</v>
      </c>
      <c r="H591" s="1413" t="s">
        <v>758</v>
      </c>
      <c r="I591" s="1413" t="s">
        <v>842</v>
      </c>
    </row>
    <row r="592" spans="1:9" hidden="1" outlineLevel="1">
      <c r="A592" s="1414">
        <v>41814</v>
      </c>
      <c r="B592" s="1408" t="s">
        <v>592</v>
      </c>
      <c r="C592" s="1409">
        <v>26827</v>
      </c>
      <c r="D592" s="1410">
        <v>1845093.24</v>
      </c>
      <c r="E592" s="1411">
        <v>1687482.41</v>
      </c>
      <c r="F592" s="1421">
        <f t="shared" si="24"/>
        <v>157610.83000000007</v>
      </c>
      <c r="G592" s="1422">
        <f t="shared" si="23"/>
        <v>9.3399983944128989E-2</v>
      </c>
      <c r="H592" s="1413" t="s">
        <v>758</v>
      </c>
      <c r="I592" s="1413" t="s">
        <v>843</v>
      </c>
    </row>
    <row r="593" spans="1:9" hidden="1" outlineLevel="1">
      <c r="A593" s="1414">
        <v>41815</v>
      </c>
      <c r="B593" s="1408" t="s">
        <v>321</v>
      </c>
      <c r="C593" s="1409">
        <v>1.8</v>
      </c>
      <c r="D593" s="1410">
        <v>117</v>
      </c>
      <c r="E593" s="1411">
        <v>96.5</v>
      </c>
      <c r="F593" s="1421">
        <f t="shared" si="24"/>
        <v>20.5</v>
      </c>
      <c r="G593" s="1422">
        <f t="shared" si="23"/>
        <v>0.21243523316062177</v>
      </c>
      <c r="H593" s="1413" t="s">
        <v>590</v>
      </c>
      <c r="I593" s="1413"/>
    </row>
    <row r="594" spans="1:9" hidden="1" outlineLevel="1">
      <c r="A594" s="1414">
        <v>41819</v>
      </c>
      <c r="B594" s="1408" t="s">
        <v>596</v>
      </c>
      <c r="C594" s="1409">
        <v>26150</v>
      </c>
      <c r="D594" s="1410">
        <v>1882277</v>
      </c>
      <c r="E594" s="1411">
        <v>1647812.12</v>
      </c>
      <c r="F594" s="1421">
        <f t="shared" si="24"/>
        <v>234464.87999999989</v>
      </c>
      <c r="G594" s="1422">
        <f t="shared" si="23"/>
        <v>0.14228860023192441</v>
      </c>
      <c r="H594" s="1413" t="s">
        <v>611</v>
      </c>
      <c r="I594" s="1413" t="s">
        <v>844</v>
      </c>
    </row>
    <row r="595" spans="1:9" hidden="1" outlineLevel="1">
      <c r="A595" s="1414">
        <v>41820</v>
      </c>
      <c r="B595" s="1408" t="s">
        <v>321</v>
      </c>
      <c r="C595" s="1409">
        <v>10.4</v>
      </c>
      <c r="D595" s="1410">
        <v>676</v>
      </c>
      <c r="E595" s="1411">
        <v>556.82000000000005</v>
      </c>
      <c r="F595" s="1421">
        <f t="shared" si="24"/>
        <v>119.17999999999995</v>
      </c>
      <c r="G595" s="1422">
        <f t="shared" si="23"/>
        <v>0.21403685212456439</v>
      </c>
      <c r="H595" s="1413" t="s">
        <v>590</v>
      </c>
      <c r="I595" s="1413"/>
    </row>
    <row r="596" spans="1:9" hidden="1" outlineLevel="1">
      <c r="A596" s="1415" t="s">
        <v>6</v>
      </c>
      <c r="B596" s="1416"/>
      <c r="C596" s="1417">
        <f>SUM(C597:C632)</f>
        <v>434221.5</v>
      </c>
      <c r="D596" s="1417">
        <f>SUM(D597:D632)</f>
        <v>26993655.77</v>
      </c>
      <c r="E596" s="1417">
        <f>SUM(E597:E632)</f>
        <v>23150471.609999999</v>
      </c>
      <c r="F596" s="1433">
        <f>SUM(F597:F632)</f>
        <v>3843184.16</v>
      </c>
      <c r="G596" s="1420">
        <f t="shared" si="23"/>
        <v>0.16600889280976511</v>
      </c>
      <c r="H596" s="1423"/>
      <c r="I596" s="1423"/>
    </row>
    <row r="597" spans="1:9" hidden="1" outlineLevel="1">
      <c r="A597" s="1414">
        <v>41821</v>
      </c>
      <c r="B597" s="1408" t="s">
        <v>592</v>
      </c>
      <c r="C597" s="1409">
        <v>20591</v>
      </c>
      <c r="D597" s="1410">
        <v>1503143</v>
      </c>
      <c r="E597" s="1411">
        <v>1309443.47</v>
      </c>
      <c r="F597" s="1421">
        <f t="shared" ref="F597:F632" si="25">D597-E597</f>
        <v>193699.53000000003</v>
      </c>
      <c r="G597" s="1422">
        <f t="shared" si="23"/>
        <v>0.14792507995782364</v>
      </c>
      <c r="H597" s="1413" t="s">
        <v>584</v>
      </c>
      <c r="I597" s="1413"/>
    </row>
    <row r="598" spans="1:9" hidden="1" outlineLevel="1">
      <c r="A598" s="1414">
        <v>41822</v>
      </c>
      <c r="B598" s="1408" t="s">
        <v>592</v>
      </c>
      <c r="C598" s="1409">
        <v>27143</v>
      </c>
      <c r="D598" s="1410">
        <v>1863984.18</v>
      </c>
      <c r="E598" s="1411">
        <f>1703408.7+17868.81</f>
        <v>1721277.51</v>
      </c>
      <c r="F598" s="1421">
        <f t="shared" si="25"/>
        <v>142706.66999999993</v>
      </c>
      <c r="G598" s="1422">
        <f t="shared" si="23"/>
        <v>8.2907415667099443E-2</v>
      </c>
      <c r="H598" s="1413" t="s">
        <v>758</v>
      </c>
      <c r="I598" s="1413" t="s">
        <v>845</v>
      </c>
    </row>
    <row r="599" spans="1:9" hidden="1" outlineLevel="1">
      <c r="A599" s="1414">
        <v>41822</v>
      </c>
      <c r="B599" s="1408" t="s">
        <v>592</v>
      </c>
      <c r="C599" s="1409">
        <v>26987</v>
      </c>
      <c r="D599" s="1410">
        <v>1852653.17</v>
      </c>
      <c r="E599" s="1411">
        <f>1721189.72+17868.81</f>
        <v>1739058.53</v>
      </c>
      <c r="F599" s="1421">
        <f t="shared" si="25"/>
        <v>113594.6399999999</v>
      </c>
      <c r="G599" s="1422">
        <f t="shared" si="23"/>
        <v>6.5319618655963169E-2</v>
      </c>
      <c r="H599" s="1413" t="s">
        <v>758</v>
      </c>
      <c r="I599" s="1413" t="s">
        <v>846</v>
      </c>
    </row>
    <row r="600" spans="1:9" hidden="1" outlineLevel="1">
      <c r="A600" s="1414">
        <v>41823</v>
      </c>
      <c r="B600" s="1408" t="s">
        <v>321</v>
      </c>
      <c r="C600" s="1409">
        <v>0.2</v>
      </c>
      <c r="D600" s="1410">
        <v>13</v>
      </c>
      <c r="E600" s="1411">
        <v>10.6</v>
      </c>
      <c r="F600" s="1421">
        <f t="shared" si="25"/>
        <v>2.4000000000000004</v>
      </c>
      <c r="G600" s="1422">
        <f t="shared" si="23"/>
        <v>0.22641509433962267</v>
      </c>
      <c r="H600" s="1413" t="s">
        <v>590</v>
      </c>
      <c r="I600" s="1413"/>
    </row>
    <row r="601" spans="1:9" hidden="1" outlineLevel="1">
      <c r="A601" s="1414">
        <v>41824</v>
      </c>
      <c r="B601" s="1408" t="s">
        <v>321</v>
      </c>
      <c r="C601" s="1409">
        <v>6</v>
      </c>
      <c r="D601" s="1410">
        <v>390</v>
      </c>
      <c r="E601" s="1411">
        <v>317.27999999999997</v>
      </c>
      <c r="F601" s="1421">
        <f t="shared" si="25"/>
        <v>72.720000000000027</v>
      </c>
      <c r="G601" s="1422">
        <f t="shared" si="23"/>
        <v>0.2291981845688352</v>
      </c>
      <c r="H601" s="1413" t="s">
        <v>590</v>
      </c>
      <c r="I601" s="1413"/>
    </row>
    <row r="602" spans="1:9" hidden="1" outlineLevel="1">
      <c r="A602" s="1414">
        <v>41825</v>
      </c>
      <c r="B602" s="1408" t="s">
        <v>489</v>
      </c>
      <c r="C602" s="1409">
        <v>20051</v>
      </c>
      <c r="D602" s="1410">
        <v>461173</v>
      </c>
      <c r="E602" s="1411">
        <v>24187.48</v>
      </c>
      <c r="F602" s="1421">
        <f t="shared" si="25"/>
        <v>436985.52</v>
      </c>
      <c r="G602" s="1422">
        <f t="shared" si="23"/>
        <v>18.06659974499204</v>
      </c>
      <c r="H602" s="1413" t="s">
        <v>591</v>
      </c>
      <c r="I602" s="1413"/>
    </row>
    <row r="603" spans="1:9" hidden="1" outlineLevel="1">
      <c r="A603" s="1414">
        <v>41826</v>
      </c>
      <c r="B603" s="1408" t="s">
        <v>321</v>
      </c>
      <c r="C603" s="1409">
        <v>7</v>
      </c>
      <c r="D603" s="1410">
        <v>455</v>
      </c>
      <c r="E603" s="1411">
        <v>369.53</v>
      </c>
      <c r="F603" s="1421">
        <f t="shared" si="25"/>
        <v>85.470000000000027</v>
      </c>
      <c r="G603" s="1422">
        <f t="shared" si="23"/>
        <v>0.23129380564500862</v>
      </c>
      <c r="H603" s="1413" t="s">
        <v>590</v>
      </c>
      <c r="I603" s="1413"/>
    </row>
    <row r="604" spans="1:9" hidden="1" outlineLevel="1">
      <c r="A604" s="1414">
        <v>41827</v>
      </c>
      <c r="B604" s="1408" t="s">
        <v>321</v>
      </c>
      <c r="C604" s="1409">
        <v>2.5</v>
      </c>
      <c r="D604" s="1410">
        <v>162.5</v>
      </c>
      <c r="E604" s="1411">
        <v>131.88999999999999</v>
      </c>
      <c r="F604" s="1421">
        <f t="shared" si="25"/>
        <v>30.610000000000014</v>
      </c>
      <c r="G604" s="1422">
        <f t="shared" si="23"/>
        <v>0.23208734551520219</v>
      </c>
      <c r="H604" s="1413" t="s">
        <v>590</v>
      </c>
      <c r="I604" s="1413"/>
    </row>
    <row r="605" spans="1:9" hidden="1" outlineLevel="1">
      <c r="A605" s="1414">
        <v>41828</v>
      </c>
      <c r="B605" s="1408" t="s">
        <v>592</v>
      </c>
      <c r="C605" s="1409">
        <v>26872</v>
      </c>
      <c r="D605" s="1410">
        <v>1863826.93</v>
      </c>
      <c r="E605" s="1411">
        <f>1662846.89+17868.81</f>
        <v>1680715.7</v>
      </c>
      <c r="F605" s="1421">
        <f t="shared" si="25"/>
        <v>183111.22999999998</v>
      </c>
      <c r="G605" s="1422">
        <f t="shared" si="23"/>
        <v>0.10894836646078809</v>
      </c>
      <c r="H605" s="1413" t="s">
        <v>758</v>
      </c>
      <c r="I605" s="1413" t="s">
        <v>847</v>
      </c>
    </row>
    <row r="606" spans="1:9" hidden="1" outlineLevel="1">
      <c r="A606" s="1414">
        <v>41828</v>
      </c>
      <c r="B606" s="1408" t="s">
        <v>592</v>
      </c>
      <c r="C606" s="1409">
        <v>27415</v>
      </c>
      <c r="D606" s="1410">
        <v>1901489.11</v>
      </c>
      <c r="E606" s="1411">
        <f>1691223.24+17868.81</f>
        <v>1709092.05</v>
      </c>
      <c r="F606" s="1421">
        <f t="shared" si="25"/>
        <v>192397.06000000006</v>
      </c>
      <c r="G606" s="1422">
        <f t="shared" si="23"/>
        <v>0.11257267272409351</v>
      </c>
      <c r="H606" s="1413" t="s">
        <v>758</v>
      </c>
      <c r="I606" s="1413" t="s">
        <v>848</v>
      </c>
    </row>
    <row r="607" spans="1:9" hidden="1" outlineLevel="1">
      <c r="A607" s="1414">
        <v>41831</v>
      </c>
      <c r="B607" s="1408" t="s">
        <v>321</v>
      </c>
      <c r="C607" s="1409">
        <v>4.4000000000000004</v>
      </c>
      <c r="D607" s="1410">
        <v>286</v>
      </c>
      <c r="E607" s="1411">
        <v>231.74</v>
      </c>
      <c r="F607" s="1421">
        <f t="shared" si="25"/>
        <v>54.259999999999991</v>
      </c>
      <c r="G607" s="1422">
        <f t="shared" si="23"/>
        <v>0.23414171053767149</v>
      </c>
      <c r="H607" s="1413" t="s">
        <v>590</v>
      </c>
      <c r="I607" s="1413"/>
    </row>
    <row r="608" spans="1:9" hidden="1" outlineLevel="1">
      <c r="A608" s="1414">
        <v>41832</v>
      </c>
      <c r="B608" s="1408" t="s">
        <v>321</v>
      </c>
      <c r="C608" s="1409">
        <v>3</v>
      </c>
      <c r="D608" s="1410">
        <v>195</v>
      </c>
      <c r="E608" s="1411">
        <v>158.01</v>
      </c>
      <c r="F608" s="1421">
        <f t="shared" si="25"/>
        <v>36.990000000000009</v>
      </c>
      <c r="G608" s="1422">
        <f t="shared" ref="G608:G671" si="26">F608/E608</f>
        <v>0.23409910765141453</v>
      </c>
      <c r="H608" s="1413" t="s">
        <v>590</v>
      </c>
      <c r="I608" s="1413"/>
    </row>
    <row r="609" spans="1:9" hidden="1" outlineLevel="1">
      <c r="A609" s="1414">
        <v>41834</v>
      </c>
      <c r="B609" s="1408" t="s">
        <v>321</v>
      </c>
      <c r="C609" s="1409">
        <v>1.2</v>
      </c>
      <c r="D609" s="1410">
        <v>78</v>
      </c>
      <c r="E609" s="1411">
        <v>63.16</v>
      </c>
      <c r="F609" s="1421">
        <f t="shared" si="25"/>
        <v>14.840000000000003</v>
      </c>
      <c r="G609" s="1422">
        <f t="shared" si="26"/>
        <v>0.23495883470550988</v>
      </c>
      <c r="H609" s="1413" t="s">
        <v>590</v>
      </c>
      <c r="I609" s="1413"/>
    </row>
    <row r="610" spans="1:9" hidden="1" outlineLevel="1">
      <c r="A610" s="1414">
        <v>41834</v>
      </c>
      <c r="B610" s="1408" t="s">
        <v>592</v>
      </c>
      <c r="C610" s="1409">
        <v>27015</v>
      </c>
      <c r="D610" s="1410">
        <v>1850440.35</v>
      </c>
      <c r="E610" s="1411">
        <f>1663198.35+17868.81</f>
        <v>1681067.1600000001</v>
      </c>
      <c r="F610" s="1421">
        <f t="shared" si="25"/>
        <v>169373.18999999994</v>
      </c>
      <c r="G610" s="1422">
        <f t="shared" si="26"/>
        <v>0.10075337501685533</v>
      </c>
      <c r="H610" s="1413" t="s">
        <v>758</v>
      </c>
      <c r="I610" s="1413" t="s">
        <v>849</v>
      </c>
    </row>
    <row r="611" spans="1:9" hidden="1" outlineLevel="1">
      <c r="A611" s="1414">
        <v>41834</v>
      </c>
      <c r="B611" s="1408" t="s">
        <v>592</v>
      </c>
      <c r="C611" s="1409">
        <v>26677</v>
      </c>
      <c r="D611" s="1410">
        <v>1827288.44</v>
      </c>
      <c r="E611" s="1411">
        <f>1660944.91+17868.81</f>
        <v>1678813.72</v>
      </c>
      <c r="F611" s="1421">
        <f t="shared" si="25"/>
        <v>148474.71999999997</v>
      </c>
      <c r="G611" s="1422">
        <f t="shared" si="26"/>
        <v>8.8440258875177633E-2</v>
      </c>
      <c r="H611" s="1413" t="s">
        <v>758</v>
      </c>
      <c r="I611" s="1413" t="s">
        <v>850</v>
      </c>
    </row>
    <row r="612" spans="1:9" hidden="1" outlineLevel="1">
      <c r="A612" s="1414">
        <v>41834</v>
      </c>
      <c r="B612" s="1408" t="s">
        <v>596</v>
      </c>
      <c r="C612" s="1409">
        <v>27256</v>
      </c>
      <c r="D612" s="1410">
        <v>1932941.01</v>
      </c>
      <c r="E612" s="1411">
        <f>1667776.33+23522.13</f>
        <v>1691298.46</v>
      </c>
      <c r="F612" s="1421">
        <f t="shared" si="25"/>
        <v>241642.55000000005</v>
      </c>
      <c r="G612" s="1422">
        <f t="shared" si="26"/>
        <v>0.14287398452429267</v>
      </c>
      <c r="H612" s="1413" t="s">
        <v>611</v>
      </c>
      <c r="I612" s="1413" t="s">
        <v>851</v>
      </c>
    </row>
    <row r="613" spans="1:9" hidden="1" outlineLevel="1">
      <c r="A613" s="1414">
        <v>41836</v>
      </c>
      <c r="B613" s="1408" t="s">
        <v>321</v>
      </c>
      <c r="C613" s="1409">
        <v>1.6</v>
      </c>
      <c r="D613" s="1410">
        <v>104</v>
      </c>
      <c r="E613" s="1411">
        <v>84.27</v>
      </c>
      <c r="F613" s="1421">
        <f t="shared" si="25"/>
        <v>19.730000000000004</v>
      </c>
      <c r="G613" s="1422">
        <f t="shared" si="26"/>
        <v>0.23412839681974612</v>
      </c>
      <c r="H613" s="1413" t="s">
        <v>590</v>
      </c>
      <c r="I613" s="1413"/>
    </row>
    <row r="614" spans="1:9" hidden="1" outlineLevel="1">
      <c r="A614" s="1414">
        <v>41836</v>
      </c>
      <c r="B614" s="1408" t="s">
        <v>489</v>
      </c>
      <c r="C614" s="1409">
        <v>19647</v>
      </c>
      <c r="D614" s="1410">
        <v>451881</v>
      </c>
      <c r="E614" s="1411">
        <v>11773.35</v>
      </c>
      <c r="F614" s="1421">
        <f t="shared" si="25"/>
        <v>440107.65</v>
      </c>
      <c r="G614" s="1422">
        <f t="shared" si="26"/>
        <v>37.381684057638651</v>
      </c>
      <c r="H614" s="1413" t="s">
        <v>591</v>
      </c>
      <c r="I614" s="1413"/>
    </row>
    <row r="615" spans="1:9" hidden="1" outlineLevel="1">
      <c r="A615" s="1414">
        <v>41837</v>
      </c>
      <c r="B615" s="1408" t="s">
        <v>592</v>
      </c>
      <c r="C615" s="1409">
        <v>21362</v>
      </c>
      <c r="D615" s="1410">
        <v>1559426</v>
      </c>
      <c r="E615" s="1411">
        <f>1300177.45+32928.54</f>
        <v>1333105.99</v>
      </c>
      <c r="F615" s="1421">
        <f t="shared" si="25"/>
        <v>226320.01</v>
      </c>
      <c r="G615" s="1422">
        <f t="shared" si="26"/>
        <v>0.16976895437998896</v>
      </c>
      <c r="H615" s="1413" t="s">
        <v>584</v>
      </c>
      <c r="I615" s="1413" t="s">
        <v>851</v>
      </c>
    </row>
    <row r="616" spans="1:9" hidden="1" outlineLevel="1">
      <c r="A616" s="1414">
        <v>41838</v>
      </c>
      <c r="B616" s="1408" t="s">
        <v>321</v>
      </c>
      <c r="C616" s="1409">
        <v>22</v>
      </c>
      <c r="D616" s="1410">
        <v>1430</v>
      </c>
      <c r="E616" s="1411">
        <f>1157.75+38.26</f>
        <v>1196.01</v>
      </c>
      <c r="F616" s="1421">
        <f t="shared" si="25"/>
        <v>233.99</v>
      </c>
      <c r="G616" s="1422">
        <f t="shared" si="26"/>
        <v>0.1956421769048754</v>
      </c>
      <c r="H616" s="1413" t="s">
        <v>590</v>
      </c>
      <c r="I616" s="1413"/>
    </row>
    <row r="617" spans="1:9" hidden="1" outlineLevel="1">
      <c r="A617" s="1414">
        <v>41839</v>
      </c>
      <c r="B617" s="1408" t="s">
        <v>321</v>
      </c>
      <c r="C617" s="1409">
        <v>3.6</v>
      </c>
      <c r="D617" s="1410">
        <v>234</v>
      </c>
      <c r="E617" s="1411">
        <v>189.45</v>
      </c>
      <c r="F617" s="1421">
        <f t="shared" si="25"/>
        <v>44.550000000000011</v>
      </c>
      <c r="G617" s="1422">
        <f t="shared" si="26"/>
        <v>0.23515439429928747</v>
      </c>
      <c r="H617" s="1413" t="s">
        <v>590</v>
      </c>
      <c r="I617" s="1413"/>
    </row>
    <row r="618" spans="1:9" hidden="1" outlineLevel="1">
      <c r="A618" s="1414">
        <v>41841</v>
      </c>
      <c r="B618" s="1408" t="s">
        <v>478</v>
      </c>
      <c r="C618" s="1409">
        <v>95</v>
      </c>
      <c r="D618" s="1410">
        <v>5150</v>
      </c>
      <c r="E618" s="1411">
        <f>5143.25+74.32</f>
        <v>5217.57</v>
      </c>
      <c r="F618" s="1421">
        <f t="shared" si="25"/>
        <v>-67.569999999999709</v>
      </c>
      <c r="G618" s="1422">
        <f t="shared" si="26"/>
        <v>-1.2950473112962492E-2</v>
      </c>
      <c r="H618" s="1413" t="s">
        <v>587</v>
      </c>
      <c r="I618" s="1413"/>
    </row>
    <row r="619" spans="1:9" hidden="1" outlineLevel="1">
      <c r="A619" s="1414">
        <v>41841</v>
      </c>
      <c r="B619" s="1408" t="s">
        <v>321</v>
      </c>
      <c r="C619" s="1409">
        <v>3514</v>
      </c>
      <c r="D619" s="1410">
        <v>195820</v>
      </c>
      <c r="E619" s="1411">
        <v>195813.49</v>
      </c>
      <c r="F619" s="1421">
        <f t="shared" si="25"/>
        <v>6.5100000000093132</v>
      </c>
      <c r="G619" s="1422">
        <f t="shared" si="26"/>
        <v>3.3245921922995774E-5</v>
      </c>
      <c r="H619" s="1413" t="s">
        <v>587</v>
      </c>
      <c r="I619" s="1413"/>
    </row>
    <row r="620" spans="1:9" hidden="1" outlineLevel="1">
      <c r="A620" s="1414">
        <v>41841</v>
      </c>
      <c r="B620" s="1408" t="s">
        <v>476</v>
      </c>
      <c r="C620" s="1409">
        <v>2343</v>
      </c>
      <c r="D620" s="1410">
        <v>125240</v>
      </c>
      <c r="E620" s="1411">
        <f>125134.25+1534.01</f>
        <v>126668.26</v>
      </c>
      <c r="F620" s="1421">
        <f t="shared" si="25"/>
        <v>-1428.2599999999948</v>
      </c>
      <c r="G620" s="1422">
        <f t="shared" si="26"/>
        <v>-1.1275595006989082E-2</v>
      </c>
      <c r="H620" s="1413" t="s">
        <v>587</v>
      </c>
      <c r="I620" s="1413"/>
    </row>
    <row r="621" spans="1:9" hidden="1" outlineLevel="1">
      <c r="A621" s="1414">
        <v>41841</v>
      </c>
      <c r="B621" s="1408" t="s">
        <v>586</v>
      </c>
      <c r="C621" s="1409">
        <v>701</v>
      </c>
      <c r="D621" s="1410">
        <v>38710</v>
      </c>
      <c r="E621" s="1411">
        <f>38707.35-718.91</f>
        <v>37988.439999999995</v>
      </c>
      <c r="F621" s="1421">
        <f t="shared" si="25"/>
        <v>721.56000000000495</v>
      </c>
      <c r="G621" s="1422">
        <f t="shared" si="26"/>
        <v>1.8994199287994059E-2</v>
      </c>
      <c r="H621" s="1413" t="s">
        <v>587</v>
      </c>
      <c r="I621" s="1413"/>
    </row>
    <row r="622" spans="1:9" hidden="1" outlineLevel="1">
      <c r="A622" s="1414">
        <v>41841</v>
      </c>
      <c r="B622" s="1408" t="s">
        <v>481</v>
      </c>
      <c r="C622" s="1409">
        <v>368</v>
      </c>
      <c r="D622" s="1410">
        <v>20340</v>
      </c>
      <c r="E622" s="1411">
        <f>20329.79-339.73</f>
        <v>19990.060000000001</v>
      </c>
      <c r="F622" s="1421">
        <f t="shared" si="25"/>
        <v>349.93999999999869</v>
      </c>
      <c r="G622" s="1422">
        <f t="shared" si="26"/>
        <v>1.7505700333065467E-2</v>
      </c>
      <c r="H622" s="1413" t="s">
        <v>587</v>
      </c>
      <c r="I622" s="1413"/>
    </row>
    <row r="623" spans="1:9" hidden="1" outlineLevel="1">
      <c r="A623" s="1414">
        <v>41841</v>
      </c>
      <c r="B623" s="1408" t="s">
        <v>588</v>
      </c>
      <c r="C623" s="1409">
        <v>328</v>
      </c>
      <c r="D623" s="1410">
        <v>16990</v>
      </c>
      <c r="E623" s="1411">
        <f>16979.26+583.94</f>
        <v>17563.199999999997</v>
      </c>
      <c r="F623" s="1421">
        <f t="shared" si="25"/>
        <v>-573.19999999999709</v>
      </c>
      <c r="G623" s="1422">
        <f t="shared" si="26"/>
        <v>-3.2636421608818279E-2</v>
      </c>
      <c r="H623" s="1413" t="s">
        <v>587</v>
      </c>
      <c r="I623" s="1413"/>
    </row>
    <row r="624" spans="1:9" hidden="1" outlineLevel="1">
      <c r="A624" s="1414">
        <v>41841</v>
      </c>
      <c r="B624" s="1408" t="s">
        <v>589</v>
      </c>
      <c r="C624" s="1409">
        <v>74</v>
      </c>
      <c r="D624" s="1410">
        <v>4040</v>
      </c>
      <c r="E624" s="1411">
        <f>4035.51-35.07</f>
        <v>4000.44</v>
      </c>
      <c r="F624" s="1421">
        <f t="shared" si="25"/>
        <v>39.559999999999945</v>
      </c>
      <c r="G624" s="1422">
        <f t="shared" si="26"/>
        <v>9.8889122196558245E-3</v>
      </c>
      <c r="H624" s="1413" t="s">
        <v>587</v>
      </c>
      <c r="I624" s="1413"/>
    </row>
    <row r="625" spans="1:9" hidden="1" outlineLevel="1">
      <c r="A625" s="1414">
        <v>41841</v>
      </c>
      <c r="B625" s="1408" t="s">
        <v>592</v>
      </c>
      <c r="C625" s="1409">
        <v>26467</v>
      </c>
      <c r="D625" s="1410">
        <v>1871696.2</v>
      </c>
      <c r="E625" s="1411">
        <f>1626991.81+17868.81</f>
        <v>1644860.62</v>
      </c>
      <c r="F625" s="1421">
        <f t="shared" si="25"/>
        <v>226835.57999999984</v>
      </c>
      <c r="G625" s="1422">
        <f t="shared" si="26"/>
        <v>0.13790565427969198</v>
      </c>
      <c r="H625" s="1413" t="s">
        <v>758</v>
      </c>
      <c r="I625" s="1413" t="s">
        <v>852</v>
      </c>
    </row>
    <row r="626" spans="1:9" hidden="1" outlineLevel="1">
      <c r="A626" s="1414">
        <v>41841</v>
      </c>
      <c r="B626" s="1408" t="s">
        <v>592</v>
      </c>
      <c r="C626" s="1409">
        <v>26576</v>
      </c>
      <c r="D626" s="1410">
        <v>1879404.48</v>
      </c>
      <c r="E626" s="1411">
        <f>1623122.08+17868.81</f>
        <v>1640990.8900000001</v>
      </c>
      <c r="F626" s="1421">
        <f t="shared" si="25"/>
        <v>238413.58999999985</v>
      </c>
      <c r="G626" s="1422">
        <f t="shared" si="26"/>
        <v>0.14528635804919052</v>
      </c>
      <c r="H626" s="1413" t="s">
        <v>758</v>
      </c>
      <c r="I626" s="1413" t="s">
        <v>853</v>
      </c>
    </row>
    <row r="627" spans="1:9" hidden="1" outlineLevel="1">
      <c r="A627" s="1414">
        <v>41841</v>
      </c>
      <c r="B627" s="1408" t="s">
        <v>596</v>
      </c>
      <c r="C627" s="1409">
        <v>26620</v>
      </c>
      <c r="D627" s="1410">
        <v>1887837.16</v>
      </c>
      <c r="E627" s="1411">
        <f>1640339.99+23522.13</f>
        <v>1663862.1199999999</v>
      </c>
      <c r="F627" s="1421">
        <f t="shared" si="25"/>
        <v>223975.04000000004</v>
      </c>
      <c r="G627" s="1422">
        <f t="shared" si="26"/>
        <v>0.13461153860513397</v>
      </c>
      <c r="H627" s="1413" t="s">
        <v>611</v>
      </c>
      <c r="I627" s="1413" t="s">
        <v>854</v>
      </c>
    </row>
    <row r="628" spans="1:9" hidden="1" outlineLevel="1">
      <c r="A628" s="1414">
        <v>41845</v>
      </c>
      <c r="B628" s="1408" t="s">
        <v>321</v>
      </c>
      <c r="C628" s="1409">
        <v>8</v>
      </c>
      <c r="D628" s="1410">
        <v>520</v>
      </c>
      <c r="E628" s="1411">
        <v>422.54</v>
      </c>
      <c r="F628" s="1421">
        <f t="shared" si="25"/>
        <v>97.45999999999998</v>
      </c>
      <c r="G628" s="1422">
        <f t="shared" si="26"/>
        <v>0.23065271926918154</v>
      </c>
      <c r="H628" s="1413" t="s">
        <v>590</v>
      </c>
      <c r="I628" s="1413"/>
    </row>
    <row r="629" spans="1:9" hidden="1" outlineLevel="1">
      <c r="A629" s="1414">
        <v>41845</v>
      </c>
      <c r="B629" s="1408" t="s">
        <v>592</v>
      </c>
      <c r="C629" s="1409">
        <v>25289</v>
      </c>
      <c r="D629" s="1410">
        <v>1846097</v>
      </c>
      <c r="E629" s="1411">
        <f>1550873+32928.54</f>
        <v>1583801.54</v>
      </c>
      <c r="F629" s="1421">
        <f t="shared" si="25"/>
        <v>262295.45999999996</v>
      </c>
      <c r="G629" s="1422">
        <f t="shared" si="26"/>
        <v>0.16561131769072529</v>
      </c>
      <c r="H629" s="1413" t="s">
        <v>584</v>
      </c>
      <c r="I629" s="1413" t="s">
        <v>854</v>
      </c>
    </row>
    <row r="630" spans="1:9" hidden="1" outlineLevel="1">
      <c r="A630" s="1414">
        <v>41847</v>
      </c>
      <c r="B630" s="1408" t="s">
        <v>596</v>
      </c>
      <c r="C630" s="1409">
        <v>26169</v>
      </c>
      <c r="D630" s="1410">
        <v>1855853.14</v>
      </c>
      <c r="E630" s="1411">
        <f>1602058.13+23522.13</f>
        <v>1625580.2599999998</v>
      </c>
      <c r="F630" s="1421">
        <f t="shared" si="25"/>
        <v>230272.88000000012</v>
      </c>
      <c r="G630" s="1422">
        <f t="shared" si="26"/>
        <v>0.1416558048016652</v>
      </c>
      <c r="H630" s="1413" t="s">
        <v>611</v>
      </c>
      <c r="I630" s="1413" t="s">
        <v>855</v>
      </c>
    </row>
    <row r="631" spans="1:9" hidden="1" outlineLevel="1">
      <c r="A631" s="1414">
        <v>41850</v>
      </c>
      <c r="B631" s="1408" t="s">
        <v>320</v>
      </c>
      <c r="C631" s="1409">
        <v>24590</v>
      </c>
      <c r="D631" s="1410">
        <v>173584.1</v>
      </c>
      <c r="E631" s="1411">
        <v>496.23</v>
      </c>
      <c r="F631" s="1421">
        <f t="shared" si="25"/>
        <v>173087.87</v>
      </c>
      <c r="G631" s="1422">
        <f t="shared" si="26"/>
        <v>348.80573524373779</v>
      </c>
      <c r="H631" s="1413" t="s">
        <v>599</v>
      </c>
      <c r="I631" s="1413"/>
    </row>
    <row r="632" spans="1:9" hidden="1" outlineLevel="1">
      <c r="A632" s="1414">
        <v>41851</v>
      </c>
      <c r="B632" s="1408" t="s">
        <v>321</v>
      </c>
      <c r="C632" s="1409">
        <v>12</v>
      </c>
      <c r="D632" s="1410">
        <v>780</v>
      </c>
      <c r="E632" s="1411">
        <f>640.23-9.64</f>
        <v>630.59</v>
      </c>
      <c r="F632" s="1421">
        <f t="shared" si="25"/>
        <v>149.40999999999997</v>
      </c>
      <c r="G632" s="1422">
        <f t="shared" si="26"/>
        <v>0.23693683693049361</v>
      </c>
      <c r="H632" s="1413" t="s">
        <v>590</v>
      </c>
      <c r="I632" s="1413"/>
    </row>
    <row r="633" spans="1:9" hidden="1" outlineLevel="1">
      <c r="A633" s="1415" t="s">
        <v>7</v>
      </c>
      <c r="B633" s="1416"/>
      <c r="C633" s="1417">
        <f>SUM(C634:C662)</f>
        <v>413980.2</v>
      </c>
      <c r="D633" s="1417">
        <f>SUM(D634:D662)</f>
        <v>24976270.77</v>
      </c>
      <c r="E633" s="1417">
        <f>SUM(E634:E662)</f>
        <v>20606666.090000004</v>
      </c>
      <c r="F633" s="1433">
        <f>SUM(F634:F662)</f>
        <v>4369604.6800000006</v>
      </c>
      <c r="G633" s="1420">
        <f t="shared" si="26"/>
        <v>0.21204811398969972</v>
      </c>
      <c r="H633" s="1423"/>
      <c r="I633" s="1423"/>
    </row>
    <row r="634" spans="1:9" hidden="1" outlineLevel="1">
      <c r="A634" s="1414">
        <v>41852</v>
      </c>
      <c r="B634" s="1408" t="s">
        <v>321</v>
      </c>
      <c r="C634" s="1409">
        <v>3</v>
      </c>
      <c r="D634" s="1410">
        <v>195</v>
      </c>
      <c r="E634" s="1411">
        <v>157.25</v>
      </c>
      <c r="F634" s="1421">
        <f t="shared" ref="F634:F662" si="27">D634-E634</f>
        <v>37.75</v>
      </c>
      <c r="G634" s="1422">
        <f t="shared" si="26"/>
        <v>0.24006359300476948</v>
      </c>
      <c r="H634" s="1413" t="s">
        <v>590</v>
      </c>
      <c r="I634" s="1413"/>
    </row>
    <row r="635" spans="1:9" hidden="1" outlineLevel="1">
      <c r="A635" s="1414">
        <v>41855</v>
      </c>
      <c r="B635" s="1408" t="s">
        <v>489</v>
      </c>
      <c r="C635" s="1409">
        <v>20181</v>
      </c>
      <c r="D635" s="1410">
        <v>464163</v>
      </c>
      <c r="E635" s="1411">
        <v>16646.55</v>
      </c>
      <c r="F635" s="1421">
        <f t="shared" si="27"/>
        <v>447516.45</v>
      </c>
      <c r="G635" s="1422">
        <f t="shared" si="26"/>
        <v>26.883435306414846</v>
      </c>
      <c r="H635" s="1413" t="s">
        <v>591</v>
      </c>
      <c r="I635" s="1413"/>
    </row>
    <row r="636" spans="1:9" hidden="1" outlineLevel="1">
      <c r="A636" s="1414">
        <v>41858</v>
      </c>
      <c r="B636" s="1408" t="s">
        <v>592</v>
      </c>
      <c r="C636" s="1409">
        <v>27210</v>
      </c>
      <c r="D636" s="1410">
        <v>1901250.74</v>
      </c>
      <c r="E636" s="1411">
        <v>1716870.58</v>
      </c>
      <c r="F636" s="1421">
        <f t="shared" si="27"/>
        <v>184380.15999999992</v>
      </c>
      <c r="G636" s="1422">
        <f t="shared" si="26"/>
        <v>0.10739316180722248</v>
      </c>
      <c r="H636" s="1413" t="s">
        <v>856</v>
      </c>
      <c r="I636" s="1413" t="s">
        <v>857</v>
      </c>
    </row>
    <row r="637" spans="1:9" hidden="1" outlineLevel="1">
      <c r="A637" s="1414">
        <v>41858</v>
      </c>
      <c r="B637" s="1408" t="s">
        <v>592</v>
      </c>
      <c r="C637" s="1409">
        <v>26568</v>
      </c>
      <c r="D637" s="1410">
        <v>1856392.18</v>
      </c>
      <c r="E637" s="1411">
        <v>1657193.95</v>
      </c>
      <c r="F637" s="1421">
        <f t="shared" si="27"/>
        <v>199198.22999999998</v>
      </c>
      <c r="G637" s="1422">
        <f t="shared" si="26"/>
        <v>0.12020212238887307</v>
      </c>
      <c r="H637" s="1413" t="s">
        <v>856</v>
      </c>
      <c r="I637" s="1413" t="s">
        <v>858</v>
      </c>
    </row>
    <row r="638" spans="1:9" hidden="1" outlineLevel="1">
      <c r="A638" s="1414">
        <v>41858</v>
      </c>
      <c r="B638" s="1408" t="s">
        <v>592</v>
      </c>
      <c r="C638" s="1409">
        <v>26848</v>
      </c>
      <c r="D638" s="1410">
        <v>1875956.68</v>
      </c>
      <c r="E638" s="1411">
        <v>1650450.72</v>
      </c>
      <c r="F638" s="1421">
        <f t="shared" si="27"/>
        <v>225505.95999999996</v>
      </c>
      <c r="G638" s="1422">
        <f t="shared" si="26"/>
        <v>0.13663295563287098</v>
      </c>
      <c r="H638" s="1413" t="s">
        <v>856</v>
      </c>
      <c r="I638" s="1413" t="s">
        <v>859</v>
      </c>
    </row>
    <row r="639" spans="1:9" hidden="1" outlineLevel="1">
      <c r="A639" s="1414">
        <v>41858</v>
      </c>
      <c r="B639" s="1408" t="s">
        <v>592</v>
      </c>
      <c r="C639" s="1409">
        <v>27266</v>
      </c>
      <c r="D639" s="1410">
        <v>1905163.68</v>
      </c>
      <c r="E639" s="1411">
        <v>1687671.42</v>
      </c>
      <c r="F639" s="1421">
        <f t="shared" si="27"/>
        <v>217492.26</v>
      </c>
      <c r="G639" s="1422">
        <f t="shared" si="26"/>
        <v>0.12887121119820824</v>
      </c>
      <c r="H639" s="1413" t="s">
        <v>856</v>
      </c>
      <c r="I639" s="1413" t="s">
        <v>860</v>
      </c>
    </row>
    <row r="640" spans="1:9" hidden="1" outlineLevel="1">
      <c r="A640" s="1414">
        <v>41862</v>
      </c>
      <c r="B640" s="1408" t="s">
        <v>828</v>
      </c>
      <c r="C640" s="1409">
        <v>12650</v>
      </c>
      <c r="D640" s="1410">
        <v>516800</v>
      </c>
      <c r="E640" s="1411">
        <f>555853.68+3635.34</f>
        <v>559489.02</v>
      </c>
      <c r="F640" s="1421">
        <f t="shared" si="27"/>
        <v>-42689.020000000019</v>
      </c>
      <c r="G640" s="1422">
        <f t="shared" si="26"/>
        <v>-7.6300013894821411E-2</v>
      </c>
      <c r="H640" s="1413" t="s">
        <v>861</v>
      </c>
      <c r="I640" s="1413"/>
    </row>
    <row r="641" spans="1:9" hidden="1" outlineLevel="1">
      <c r="A641" s="1414">
        <v>41864</v>
      </c>
      <c r="B641" s="1408" t="s">
        <v>592</v>
      </c>
      <c r="C641" s="1409">
        <v>26716</v>
      </c>
      <c r="D641" s="1410">
        <v>1898703.28</v>
      </c>
      <c r="E641" s="1411">
        <v>1604637.55</v>
      </c>
      <c r="F641" s="1421">
        <f t="shared" si="27"/>
        <v>294065.73</v>
      </c>
      <c r="G641" s="1422">
        <f t="shared" si="26"/>
        <v>0.18325990813314819</v>
      </c>
      <c r="H641" s="1413" t="s">
        <v>856</v>
      </c>
      <c r="I641" s="1413" t="s">
        <v>862</v>
      </c>
    </row>
    <row r="642" spans="1:9" hidden="1" outlineLevel="1">
      <c r="A642" s="1414">
        <v>41864</v>
      </c>
      <c r="B642" s="1408" t="s">
        <v>592</v>
      </c>
      <c r="C642" s="1409">
        <v>27115</v>
      </c>
      <c r="D642" s="1410">
        <v>1927060.18</v>
      </c>
      <c r="E642" s="1411">
        <v>1631760.67</v>
      </c>
      <c r="F642" s="1421">
        <f t="shared" si="27"/>
        <v>295299.51</v>
      </c>
      <c r="G642" s="1422">
        <f t="shared" si="26"/>
        <v>0.18096986612626226</v>
      </c>
      <c r="H642" s="1413" t="s">
        <v>856</v>
      </c>
      <c r="I642" s="1413" t="s">
        <v>863</v>
      </c>
    </row>
    <row r="643" spans="1:9" hidden="1" outlineLevel="1">
      <c r="A643" s="1414">
        <v>41864</v>
      </c>
      <c r="B643" s="1408" t="s">
        <v>592</v>
      </c>
      <c r="C643" s="1409">
        <v>26921</v>
      </c>
      <c r="D643" s="1410">
        <v>1913272.64</v>
      </c>
      <c r="E643" s="1411">
        <v>1618973.14</v>
      </c>
      <c r="F643" s="1421">
        <f t="shared" si="27"/>
        <v>294299.5</v>
      </c>
      <c r="G643" s="1422">
        <f t="shared" si="26"/>
        <v>0.18178158286183799</v>
      </c>
      <c r="H643" s="1413" t="s">
        <v>856</v>
      </c>
      <c r="I643" s="1413" t="s">
        <v>864</v>
      </c>
    </row>
    <row r="644" spans="1:9" hidden="1" outlineLevel="1">
      <c r="A644" s="1414">
        <v>41864</v>
      </c>
      <c r="B644" s="1408" t="s">
        <v>592</v>
      </c>
      <c r="C644" s="1409">
        <v>26846</v>
      </c>
      <c r="D644" s="1410">
        <v>1907942.43</v>
      </c>
      <c r="E644" s="1411">
        <v>1611128.72</v>
      </c>
      <c r="F644" s="1421">
        <f t="shared" si="27"/>
        <v>296813.70999999996</v>
      </c>
      <c r="G644" s="1422">
        <f t="shared" si="26"/>
        <v>0.18422718577073094</v>
      </c>
      <c r="H644" s="1413" t="s">
        <v>856</v>
      </c>
      <c r="I644" s="1413" t="s">
        <v>865</v>
      </c>
    </row>
    <row r="645" spans="1:9" hidden="1" outlineLevel="1">
      <c r="A645" s="1414">
        <v>41864</v>
      </c>
      <c r="B645" s="1408"/>
      <c r="C645" s="1409">
        <v>26145</v>
      </c>
      <c r="D645" s="1410">
        <v>1947802.5</v>
      </c>
      <c r="E645" s="1411">
        <v>1580855.85</v>
      </c>
      <c r="F645" s="1421">
        <f t="shared" si="27"/>
        <v>366946.64999999991</v>
      </c>
      <c r="G645" s="1422">
        <f t="shared" si="26"/>
        <v>0.23211898162631328</v>
      </c>
      <c r="H645" s="1413" t="s">
        <v>584</v>
      </c>
      <c r="I645" s="1413" t="s">
        <v>866</v>
      </c>
    </row>
    <row r="646" spans="1:9" hidden="1" outlineLevel="1">
      <c r="A646" s="1414">
        <v>41873</v>
      </c>
      <c r="B646" s="1408" t="s">
        <v>321</v>
      </c>
      <c r="C646" s="1409">
        <v>1.2</v>
      </c>
      <c r="D646" s="1410">
        <v>78</v>
      </c>
      <c r="E646" s="1411">
        <v>63.56</v>
      </c>
      <c r="F646" s="1421">
        <f t="shared" si="27"/>
        <v>14.439999999999998</v>
      </c>
      <c r="G646" s="1422">
        <f t="shared" si="26"/>
        <v>0.22718691000629324</v>
      </c>
      <c r="H646" s="1413" t="s">
        <v>590</v>
      </c>
      <c r="I646" s="1413"/>
    </row>
    <row r="647" spans="1:9" hidden="1" outlineLevel="1">
      <c r="A647" s="1414">
        <v>41873</v>
      </c>
      <c r="B647" s="1408" t="s">
        <v>478</v>
      </c>
      <c r="C647" s="1409">
        <v>1553</v>
      </c>
      <c r="D647" s="1410">
        <v>85000</v>
      </c>
      <c r="E647" s="1411">
        <f>84219.55-1031.02</f>
        <v>83188.53</v>
      </c>
      <c r="F647" s="1421">
        <f t="shared" si="27"/>
        <v>1811.4700000000012</v>
      </c>
      <c r="G647" s="1422">
        <f t="shared" si="26"/>
        <v>2.1775477941490266E-2</v>
      </c>
      <c r="H647" s="1413" t="s">
        <v>587</v>
      </c>
      <c r="I647" s="1413"/>
    </row>
    <row r="648" spans="1:9" hidden="1" outlineLevel="1">
      <c r="A648" s="1414">
        <v>41873</v>
      </c>
      <c r="B648" s="1408" t="s">
        <v>476</v>
      </c>
      <c r="C648" s="1409">
        <v>2476</v>
      </c>
      <c r="D648" s="1410">
        <v>132800</v>
      </c>
      <c r="E648" s="1411">
        <v>132772.48000000001</v>
      </c>
      <c r="F648" s="1421">
        <f t="shared" si="27"/>
        <v>27.519999999989523</v>
      </c>
      <c r="G648" s="1422">
        <f t="shared" si="26"/>
        <v>2.0727186838710493E-4</v>
      </c>
      <c r="H648" s="1413" t="s">
        <v>587</v>
      </c>
      <c r="I648" s="1413"/>
    </row>
    <row r="649" spans="1:9" hidden="1" outlineLevel="1">
      <c r="A649" s="1414">
        <v>41873</v>
      </c>
      <c r="B649" s="1408" t="s">
        <v>586</v>
      </c>
      <c r="C649" s="1409">
        <v>857</v>
      </c>
      <c r="D649" s="1410">
        <v>47100</v>
      </c>
      <c r="E649" s="1411">
        <v>46442.35</v>
      </c>
      <c r="F649" s="1421">
        <f t="shared" si="27"/>
        <v>657.65000000000146</v>
      </c>
      <c r="G649" s="1422">
        <f t="shared" si="26"/>
        <v>1.4160566810249728E-2</v>
      </c>
      <c r="H649" s="1413" t="s">
        <v>587</v>
      </c>
      <c r="I649" s="1413"/>
    </row>
    <row r="650" spans="1:9" hidden="1" outlineLevel="1">
      <c r="A650" s="1414">
        <v>41873</v>
      </c>
      <c r="B650" s="1408" t="s">
        <v>481</v>
      </c>
      <c r="C650" s="1409">
        <v>351</v>
      </c>
      <c r="D650" s="1410">
        <v>20000</v>
      </c>
      <c r="E650" s="1411">
        <v>19066.599999999999</v>
      </c>
      <c r="F650" s="1421">
        <f t="shared" si="27"/>
        <v>933.40000000000146</v>
      </c>
      <c r="G650" s="1422">
        <f t="shared" si="26"/>
        <v>4.8954716624883383E-2</v>
      </c>
      <c r="H650" s="1413" t="s">
        <v>587</v>
      </c>
      <c r="I650" s="1413"/>
    </row>
    <row r="651" spans="1:9" hidden="1" outlineLevel="1">
      <c r="A651" s="1414">
        <v>41873</v>
      </c>
      <c r="B651" s="1408" t="s">
        <v>588</v>
      </c>
      <c r="C651" s="1409">
        <v>747</v>
      </c>
      <c r="D651" s="1410">
        <v>41000</v>
      </c>
      <c r="E651" s="1411">
        <v>39999.129999999997</v>
      </c>
      <c r="F651" s="1421">
        <f t="shared" si="27"/>
        <v>1000.8700000000026</v>
      </c>
      <c r="G651" s="1422">
        <f t="shared" si="26"/>
        <v>2.5022294234899677E-2</v>
      </c>
      <c r="H651" s="1413" t="s">
        <v>587</v>
      </c>
      <c r="I651" s="1413"/>
    </row>
    <row r="652" spans="1:9" hidden="1" outlineLevel="1">
      <c r="A652" s="1414">
        <v>41873</v>
      </c>
      <c r="B652" s="1408" t="s">
        <v>589</v>
      </c>
      <c r="C652" s="1409">
        <v>222</v>
      </c>
      <c r="D652" s="1410">
        <v>13000</v>
      </c>
      <c r="E652" s="1411">
        <v>12001.32</v>
      </c>
      <c r="F652" s="1421">
        <f t="shared" si="27"/>
        <v>998.68000000000029</v>
      </c>
      <c r="G652" s="1422">
        <f t="shared" si="26"/>
        <v>8.3214179773558272E-2</v>
      </c>
      <c r="H652" s="1413" t="s">
        <v>587</v>
      </c>
      <c r="I652" s="1413"/>
    </row>
    <row r="653" spans="1:9" hidden="1" outlineLevel="1">
      <c r="A653" s="1414">
        <v>41873</v>
      </c>
      <c r="B653" s="1408" t="s">
        <v>489</v>
      </c>
      <c r="C653" s="1409">
        <v>20696</v>
      </c>
      <c r="D653" s="1410">
        <v>476008</v>
      </c>
      <c r="E653" s="1411">
        <v>32621.61</v>
      </c>
      <c r="F653" s="1421">
        <f t="shared" si="27"/>
        <v>443386.39</v>
      </c>
      <c r="G653" s="1422">
        <f t="shared" si="26"/>
        <v>13.591799730301478</v>
      </c>
      <c r="H653" s="1413" t="s">
        <v>591</v>
      </c>
      <c r="I653" s="1413"/>
    </row>
    <row r="654" spans="1:9" hidden="1" outlineLevel="1">
      <c r="A654" s="1414">
        <v>41875</v>
      </c>
      <c r="B654" s="1408" t="s">
        <v>321</v>
      </c>
      <c r="C654" s="1409">
        <v>0.8</v>
      </c>
      <c r="D654" s="1410">
        <v>52</v>
      </c>
      <c r="E654" s="1411">
        <v>42.39</v>
      </c>
      <c r="F654" s="1421">
        <f t="shared" si="27"/>
        <v>9.61</v>
      </c>
      <c r="G654" s="1422">
        <f t="shared" si="26"/>
        <v>0.22670441141778719</v>
      </c>
      <c r="H654" s="1413" t="s">
        <v>590</v>
      </c>
      <c r="I654" s="1413"/>
    </row>
    <row r="655" spans="1:9" hidden="1" outlineLevel="1">
      <c r="A655" s="1414">
        <v>41876</v>
      </c>
      <c r="B655" s="1408" t="s">
        <v>320</v>
      </c>
      <c r="C655" s="1409">
        <v>31800</v>
      </c>
      <c r="D655" s="1410">
        <v>231674</v>
      </c>
      <c r="E655" s="1411">
        <v>477.52</v>
      </c>
      <c r="F655" s="1421">
        <f t="shared" si="27"/>
        <v>231196.48</v>
      </c>
      <c r="G655" s="1422">
        <f t="shared" si="26"/>
        <v>484.16083095995981</v>
      </c>
      <c r="H655" s="1413"/>
      <c r="I655" s="1413"/>
    </row>
    <row r="656" spans="1:9" hidden="1" outlineLevel="1">
      <c r="A656" s="1414">
        <v>41876</v>
      </c>
      <c r="B656" s="1408" t="s">
        <v>345</v>
      </c>
      <c r="C656" s="1409">
        <v>26285</v>
      </c>
      <c r="D656" s="1410">
        <v>1958232.5</v>
      </c>
      <c r="E656" s="1411">
        <v>1588818.72</v>
      </c>
      <c r="F656" s="1421">
        <f t="shared" si="27"/>
        <v>369413.78</v>
      </c>
      <c r="G656" s="1422">
        <f t="shared" si="26"/>
        <v>0.23250845131029174</v>
      </c>
      <c r="H656" s="1413" t="s">
        <v>584</v>
      </c>
      <c r="I656" s="1413" t="s">
        <v>867</v>
      </c>
    </row>
    <row r="657" spans="1:9" hidden="1" outlineLevel="1">
      <c r="A657" s="1414">
        <v>41877</v>
      </c>
      <c r="B657" s="1408" t="s">
        <v>478</v>
      </c>
      <c r="C657" s="1409">
        <v>253</v>
      </c>
      <c r="D657" s="1410">
        <v>14000</v>
      </c>
      <c r="E657" s="1411">
        <v>13715.23</v>
      </c>
      <c r="F657" s="1421">
        <f t="shared" si="27"/>
        <v>284.77000000000044</v>
      </c>
      <c r="G657" s="1422">
        <f t="shared" si="26"/>
        <v>2.0763049544192873E-2</v>
      </c>
      <c r="H657" s="1413" t="s">
        <v>587</v>
      </c>
      <c r="I657" s="1413"/>
    </row>
    <row r="658" spans="1:9" hidden="1" outlineLevel="1">
      <c r="A658" s="1414">
        <v>41877</v>
      </c>
      <c r="B658" s="1408" t="s">
        <v>476</v>
      </c>
      <c r="C658" s="1409">
        <v>91</v>
      </c>
      <c r="D658" s="1410">
        <v>5000</v>
      </c>
      <c r="E658" s="1411">
        <v>4917.75</v>
      </c>
      <c r="F658" s="1421">
        <f t="shared" si="27"/>
        <v>82.25</v>
      </c>
      <c r="G658" s="1422">
        <f t="shared" si="26"/>
        <v>1.6725128361547454E-2</v>
      </c>
      <c r="H658" s="1413" t="s">
        <v>587</v>
      </c>
      <c r="I658" s="1413"/>
    </row>
    <row r="659" spans="1:9" hidden="1" outlineLevel="1">
      <c r="A659" s="1414">
        <v>41878</v>
      </c>
      <c r="B659" s="1408" t="s">
        <v>321</v>
      </c>
      <c r="C659" s="1409">
        <v>4</v>
      </c>
      <c r="D659" s="1410">
        <v>260</v>
      </c>
      <c r="E659" s="1411">
        <v>210.4</v>
      </c>
      <c r="F659" s="1421">
        <f t="shared" si="27"/>
        <v>49.599999999999994</v>
      </c>
      <c r="G659" s="1422">
        <f t="shared" si="26"/>
        <v>0.23574144486692011</v>
      </c>
      <c r="H659" s="1413" t="s">
        <v>590</v>
      </c>
      <c r="I659" s="1413"/>
    </row>
    <row r="660" spans="1:9" hidden="1" outlineLevel="1">
      <c r="A660" s="1414">
        <v>41879</v>
      </c>
      <c r="B660" s="1408" t="s">
        <v>321</v>
      </c>
      <c r="C660" s="1409">
        <v>0.2</v>
      </c>
      <c r="D660" s="1410">
        <v>13</v>
      </c>
      <c r="E660" s="1411">
        <v>10.51</v>
      </c>
      <c r="F660" s="1421">
        <f t="shared" si="27"/>
        <v>2.4900000000000002</v>
      </c>
      <c r="G660" s="1422">
        <f t="shared" si="26"/>
        <v>0.23691722169362514</v>
      </c>
      <c r="H660" s="1413" t="s">
        <v>590</v>
      </c>
      <c r="I660" s="1413"/>
    </row>
    <row r="661" spans="1:9" hidden="1" outlineLevel="1">
      <c r="A661" s="1414">
        <v>41879</v>
      </c>
      <c r="B661" s="1408" t="s">
        <v>592</v>
      </c>
      <c r="C661" s="1409">
        <v>27227</v>
      </c>
      <c r="D661" s="1410">
        <v>1928592.2</v>
      </c>
      <c r="E661" s="1411">
        <v>1645500.92</v>
      </c>
      <c r="F661" s="1421">
        <f t="shared" si="27"/>
        <v>283091.28000000003</v>
      </c>
      <c r="G661" s="1422">
        <f t="shared" si="26"/>
        <v>0.17203957564484379</v>
      </c>
      <c r="H661" s="1413" t="s">
        <v>856</v>
      </c>
      <c r="I661" s="1413" t="s">
        <v>868</v>
      </c>
    </row>
    <row r="662" spans="1:9" hidden="1" outlineLevel="1">
      <c r="A662" s="1414">
        <v>41879</v>
      </c>
      <c r="B662" s="1408" t="s">
        <v>592</v>
      </c>
      <c r="C662" s="1409">
        <v>26947</v>
      </c>
      <c r="D662" s="1410">
        <v>1908758.76</v>
      </c>
      <c r="E662" s="1411">
        <v>1650981.65</v>
      </c>
      <c r="F662" s="1421">
        <f t="shared" si="27"/>
        <v>257777.1100000001</v>
      </c>
      <c r="G662" s="1422">
        <f t="shared" si="26"/>
        <v>0.15613566026006415</v>
      </c>
      <c r="H662" s="1413" t="s">
        <v>856</v>
      </c>
      <c r="I662" s="1413" t="s">
        <v>869</v>
      </c>
    </row>
    <row r="663" spans="1:9">
      <c r="A663" s="1415" t="s">
        <v>8</v>
      </c>
      <c r="B663" s="1416"/>
      <c r="C663" s="1417">
        <f>SUM(C664:C689)</f>
        <v>281092.5</v>
      </c>
      <c r="D663" s="1417">
        <f>SUM(D664:D689)</f>
        <v>19415639.609999999</v>
      </c>
      <c r="E663" s="1417">
        <f>SUM(E664:E689)</f>
        <v>15222085.779999999</v>
      </c>
      <c r="F663" s="1433">
        <f>SUM(F664:F689)</f>
        <v>4193553.8299999991</v>
      </c>
      <c r="G663" s="1420">
        <f t="shared" si="26"/>
        <v>0.27549140706524117</v>
      </c>
      <c r="H663" s="1423"/>
      <c r="I663" s="1423"/>
    </row>
    <row r="664" spans="1:9">
      <c r="A664" s="1414">
        <v>41885</v>
      </c>
      <c r="B664" s="1408" t="s">
        <v>489</v>
      </c>
      <c r="C664" s="1409">
        <v>19607</v>
      </c>
      <c r="D664" s="1410">
        <v>450961</v>
      </c>
      <c r="E664" s="1411">
        <v>32621.61</v>
      </c>
      <c r="F664" s="1421">
        <f t="shared" ref="F664:F689" si="28">D664-E664</f>
        <v>418339.39</v>
      </c>
      <c r="G664" s="1422">
        <f t="shared" si="26"/>
        <v>12.823995811365533</v>
      </c>
      <c r="H664" s="1413" t="s">
        <v>591</v>
      </c>
      <c r="I664" s="1413"/>
    </row>
    <row r="665" spans="1:9">
      <c r="A665" s="1414">
        <v>41886</v>
      </c>
      <c r="B665" s="1408" t="s">
        <v>478</v>
      </c>
      <c r="C665" s="1409">
        <v>207</v>
      </c>
      <c r="D665" s="1410">
        <v>11500</v>
      </c>
      <c r="E665" s="1411">
        <v>11308.06</v>
      </c>
      <c r="F665" s="1421">
        <f t="shared" si="28"/>
        <v>191.94000000000051</v>
      </c>
      <c r="G665" s="1422">
        <f t="shared" si="26"/>
        <v>1.6973733779268991E-2</v>
      </c>
      <c r="H665" s="1413" t="s">
        <v>587</v>
      </c>
      <c r="I665" s="1413"/>
    </row>
    <row r="666" spans="1:9">
      <c r="A666" s="1414">
        <v>41886</v>
      </c>
      <c r="B666" s="1408" t="s">
        <v>321</v>
      </c>
      <c r="C666" s="1409">
        <v>0.1</v>
      </c>
      <c r="D666" s="1410">
        <v>6.5</v>
      </c>
      <c r="E666" s="1411">
        <v>5.33</v>
      </c>
      <c r="F666" s="1421">
        <f t="shared" si="28"/>
        <v>1.17</v>
      </c>
      <c r="G666" s="1422">
        <f t="shared" si="26"/>
        <v>0.21951219512195119</v>
      </c>
      <c r="H666" s="1413" t="s">
        <v>590</v>
      </c>
      <c r="I666" s="1413"/>
    </row>
    <row r="667" spans="1:9">
      <c r="A667" s="1414">
        <v>41886</v>
      </c>
      <c r="B667" s="1408" t="s">
        <v>476</v>
      </c>
      <c r="C667" s="1409">
        <v>650</v>
      </c>
      <c r="D667" s="1410">
        <v>35600</v>
      </c>
      <c r="E667" s="1411">
        <v>35528.83</v>
      </c>
      <c r="F667" s="1421">
        <f t="shared" si="28"/>
        <v>71.169999999998254</v>
      </c>
      <c r="G667" s="1422">
        <f t="shared" si="26"/>
        <v>2.0031619391913062E-3</v>
      </c>
      <c r="H667" s="1413" t="s">
        <v>587</v>
      </c>
      <c r="I667" s="1413"/>
    </row>
    <row r="668" spans="1:9">
      <c r="A668" s="1414">
        <v>41886</v>
      </c>
      <c r="B668" s="1408" t="s">
        <v>345</v>
      </c>
      <c r="C668" s="1409">
        <v>20117</v>
      </c>
      <c r="D668" s="1410">
        <v>1498715.5</v>
      </c>
      <c r="E668" s="1411">
        <v>1227322.17</v>
      </c>
      <c r="F668" s="1421">
        <f t="shared" si="28"/>
        <v>271393.33000000007</v>
      </c>
      <c r="G668" s="1422">
        <f t="shared" si="26"/>
        <v>0.22112639748045951</v>
      </c>
      <c r="H668" s="1413" t="s">
        <v>584</v>
      </c>
      <c r="I668" s="1413" t="s">
        <v>870</v>
      </c>
    </row>
    <row r="669" spans="1:9">
      <c r="A669" s="1414">
        <v>41893</v>
      </c>
      <c r="B669" s="1408" t="s">
        <v>321</v>
      </c>
      <c r="C669" s="1409">
        <v>1.2</v>
      </c>
      <c r="D669" s="1410">
        <v>78</v>
      </c>
      <c r="E669" s="1411">
        <v>65.67</v>
      </c>
      <c r="F669" s="1421">
        <f t="shared" si="28"/>
        <v>12.329999999999998</v>
      </c>
      <c r="G669" s="1422">
        <f t="shared" si="26"/>
        <v>0.18775696665143898</v>
      </c>
      <c r="H669" s="1413" t="s">
        <v>590</v>
      </c>
      <c r="I669" s="1413"/>
    </row>
    <row r="670" spans="1:9">
      <c r="A670" s="1414">
        <v>41894</v>
      </c>
      <c r="B670" s="1408" t="s">
        <v>321</v>
      </c>
      <c r="C670" s="1409">
        <v>5</v>
      </c>
      <c r="D670" s="1410">
        <v>325</v>
      </c>
      <c r="E670" s="1411">
        <v>275.26</v>
      </c>
      <c r="F670" s="1421">
        <f t="shared" si="28"/>
        <v>49.740000000000009</v>
      </c>
      <c r="G670" s="1422">
        <f t="shared" si="26"/>
        <v>0.18070188185715327</v>
      </c>
      <c r="H670" s="1413" t="s">
        <v>590</v>
      </c>
      <c r="I670" s="1413"/>
    </row>
    <row r="671" spans="1:9">
      <c r="A671" s="1414">
        <v>41896</v>
      </c>
      <c r="B671" s="1408" t="s">
        <v>592</v>
      </c>
      <c r="C671" s="1409">
        <v>22883</v>
      </c>
      <c r="D671" s="1410">
        <v>1704783.5</v>
      </c>
      <c r="E671" s="1411">
        <v>1392166.39</v>
      </c>
      <c r="F671" s="1421">
        <f t="shared" si="28"/>
        <v>312617.1100000001</v>
      </c>
      <c r="G671" s="1422">
        <f t="shared" si="26"/>
        <v>0.22455441551063457</v>
      </c>
      <c r="H671" s="1413" t="s">
        <v>584</v>
      </c>
      <c r="I671" s="1413" t="s">
        <v>871</v>
      </c>
    </row>
    <row r="672" spans="1:9">
      <c r="A672" s="1414">
        <v>41896</v>
      </c>
      <c r="B672" s="1408" t="s">
        <v>345</v>
      </c>
      <c r="C672" s="1409">
        <v>3606</v>
      </c>
      <c r="D672" s="1410">
        <v>295136</v>
      </c>
      <c r="E672" s="1411">
        <v>169328.99</v>
      </c>
      <c r="F672" s="1421">
        <f t="shared" si="28"/>
        <v>125807.01000000001</v>
      </c>
      <c r="G672" s="1422">
        <f t="shared" ref="G672:G735" si="29">F672/E672</f>
        <v>0.74297384045106518</v>
      </c>
      <c r="H672" s="1413" t="s">
        <v>584</v>
      </c>
      <c r="I672" s="1413" t="s">
        <v>871</v>
      </c>
    </row>
    <row r="673" spans="1:9">
      <c r="A673" s="1414">
        <v>41897</v>
      </c>
      <c r="B673" s="1408" t="s">
        <v>478</v>
      </c>
      <c r="C673" s="1409">
        <v>325</v>
      </c>
      <c r="D673" s="1410">
        <v>19500</v>
      </c>
      <c r="E673" s="1411">
        <v>19214.89</v>
      </c>
      <c r="F673" s="1421">
        <f t="shared" si="28"/>
        <v>285.11000000000058</v>
      </c>
      <c r="G673" s="1422">
        <f t="shared" si="29"/>
        <v>1.4837972010248333E-2</v>
      </c>
      <c r="H673" s="1413" t="s">
        <v>587</v>
      </c>
      <c r="I673" s="1413"/>
    </row>
    <row r="674" spans="1:9">
      <c r="A674" s="1414">
        <v>41897</v>
      </c>
      <c r="B674" s="1408" t="s">
        <v>476</v>
      </c>
      <c r="C674" s="1409">
        <v>680</v>
      </c>
      <c r="D674" s="1410">
        <v>42160</v>
      </c>
      <c r="E674" s="1411">
        <v>40342.32</v>
      </c>
      <c r="F674" s="1421">
        <f t="shared" si="28"/>
        <v>1817.6800000000003</v>
      </c>
      <c r="G674" s="1422">
        <f t="shared" si="29"/>
        <v>4.5056407266612336E-2</v>
      </c>
      <c r="H674" s="1413" t="s">
        <v>587</v>
      </c>
      <c r="I674" s="1413"/>
    </row>
    <row r="675" spans="1:9">
      <c r="A675" s="1414">
        <v>41899</v>
      </c>
      <c r="B675" s="1408" t="s">
        <v>321</v>
      </c>
      <c r="C675" s="1409">
        <v>0.8</v>
      </c>
      <c r="D675" s="1410">
        <v>52</v>
      </c>
      <c r="E675" s="1411">
        <v>45.18</v>
      </c>
      <c r="F675" s="1421">
        <f t="shared" si="28"/>
        <v>6.82</v>
      </c>
      <c r="G675" s="1422">
        <f t="shared" si="29"/>
        <v>0.15095174856131033</v>
      </c>
      <c r="H675" s="1413" t="s">
        <v>590</v>
      </c>
      <c r="I675" s="1413"/>
    </row>
    <row r="676" spans="1:9">
      <c r="A676" s="1414">
        <v>41900</v>
      </c>
      <c r="B676" s="1408" t="s">
        <v>592</v>
      </c>
      <c r="C676" s="1409">
        <v>27267</v>
      </c>
      <c r="D676" s="1410">
        <v>2058088.01</v>
      </c>
      <c r="E676" s="1411">
        <v>1445395.96</v>
      </c>
      <c r="F676" s="1421">
        <f t="shared" si="28"/>
        <v>612692.05000000005</v>
      </c>
      <c r="G676" s="1422">
        <f t="shared" si="29"/>
        <v>0.42389218384144373</v>
      </c>
      <c r="H676" s="1413" t="s">
        <v>856</v>
      </c>
      <c r="I676" s="1413" t="s">
        <v>872</v>
      </c>
    </row>
    <row r="677" spans="1:9">
      <c r="A677" s="1414">
        <v>41900</v>
      </c>
      <c r="B677" s="1408" t="s">
        <v>592</v>
      </c>
      <c r="C677" s="1409">
        <v>27592</v>
      </c>
      <c r="D677" s="1410">
        <v>2082542.36</v>
      </c>
      <c r="E677" s="1411">
        <v>1706626.7</v>
      </c>
      <c r="F677" s="1421">
        <f t="shared" si="28"/>
        <v>375915.66000000015</v>
      </c>
      <c r="G677" s="1422">
        <f t="shared" si="29"/>
        <v>0.22026824026601727</v>
      </c>
      <c r="H677" s="1413" t="s">
        <v>856</v>
      </c>
      <c r="I677" s="1413" t="s">
        <v>873</v>
      </c>
    </row>
    <row r="678" spans="1:9">
      <c r="A678" s="1414">
        <v>41900</v>
      </c>
      <c r="B678" s="1408" t="s">
        <v>592</v>
      </c>
      <c r="C678" s="1409">
        <v>27036</v>
      </c>
      <c r="D678" s="1410">
        <v>2122200.62</v>
      </c>
      <c r="E678" s="1411">
        <v>1886752.14</v>
      </c>
      <c r="F678" s="1421">
        <f t="shared" si="28"/>
        <v>235448.48000000021</v>
      </c>
      <c r="G678" s="1422">
        <f t="shared" si="29"/>
        <v>0.12479036064588761</v>
      </c>
      <c r="H678" s="1413" t="s">
        <v>874</v>
      </c>
      <c r="I678" s="1413" t="s">
        <v>875</v>
      </c>
    </row>
    <row r="679" spans="1:9">
      <c r="A679" s="1414">
        <v>41900</v>
      </c>
      <c r="B679" s="1408" t="s">
        <v>592</v>
      </c>
      <c r="C679" s="1409">
        <v>27154</v>
      </c>
      <c r="D679" s="1410">
        <v>2131463.0699999998</v>
      </c>
      <c r="E679" s="1411">
        <v>1791953.72</v>
      </c>
      <c r="F679" s="1421">
        <f t="shared" si="28"/>
        <v>339509.34999999986</v>
      </c>
      <c r="G679" s="1422">
        <f t="shared" si="29"/>
        <v>0.18946323569115384</v>
      </c>
      <c r="H679" s="1413" t="s">
        <v>874</v>
      </c>
      <c r="I679" s="1413" t="s">
        <v>876</v>
      </c>
    </row>
    <row r="680" spans="1:9">
      <c r="A680" s="1414">
        <v>41904</v>
      </c>
      <c r="B680" s="1408" t="s">
        <v>489</v>
      </c>
      <c r="C680" s="1409">
        <v>20683</v>
      </c>
      <c r="D680" s="1410">
        <v>496392</v>
      </c>
      <c r="E680" s="1411">
        <v>25475.040000000001</v>
      </c>
      <c r="F680" s="1421">
        <f t="shared" si="28"/>
        <v>470916.96</v>
      </c>
      <c r="G680" s="1422">
        <f t="shared" si="29"/>
        <v>18.485425734365872</v>
      </c>
      <c r="H680" s="1413" t="s">
        <v>591</v>
      </c>
      <c r="I680" s="1413"/>
    </row>
    <row r="681" spans="1:9">
      <c r="A681" s="1414">
        <v>41905</v>
      </c>
      <c r="B681" s="1408" t="s">
        <v>592</v>
      </c>
      <c r="C681" s="1409">
        <v>5260</v>
      </c>
      <c r="D681" s="1410">
        <v>418394</v>
      </c>
      <c r="E681" s="1411">
        <v>349703.25</v>
      </c>
      <c r="F681" s="1421">
        <f t="shared" si="28"/>
        <v>68690.75</v>
      </c>
      <c r="G681" s="1422">
        <f t="shared" si="29"/>
        <v>0.19642582675454118</v>
      </c>
      <c r="H681" s="1413" t="s">
        <v>584</v>
      </c>
      <c r="I681" s="1413" t="s">
        <v>877</v>
      </c>
    </row>
    <row r="682" spans="1:9">
      <c r="A682" s="1414">
        <v>41905</v>
      </c>
      <c r="B682" s="1408" t="s">
        <v>345</v>
      </c>
      <c r="C682" s="1409">
        <v>21264</v>
      </c>
      <c r="D682" s="1410">
        <v>1584168</v>
      </c>
      <c r="E682" s="1411">
        <v>1398421.96</v>
      </c>
      <c r="F682" s="1421">
        <f t="shared" si="28"/>
        <v>185746.04000000004</v>
      </c>
      <c r="G682" s="1422">
        <f t="shared" si="29"/>
        <v>0.1328254599205522</v>
      </c>
      <c r="H682" s="1413" t="s">
        <v>584</v>
      </c>
      <c r="I682" s="1413" t="s">
        <v>877</v>
      </c>
    </row>
    <row r="683" spans="1:9">
      <c r="A683" s="1414">
        <v>41906</v>
      </c>
      <c r="B683" s="1408" t="s">
        <v>321</v>
      </c>
      <c r="C683" s="1409">
        <v>4.4000000000000004</v>
      </c>
      <c r="D683" s="1410">
        <f>130+156</f>
        <v>286</v>
      </c>
      <c r="E683" s="1411">
        <f>114.15+136.98</f>
        <v>251.13</v>
      </c>
      <c r="F683" s="1421">
        <f t="shared" si="28"/>
        <v>34.870000000000005</v>
      </c>
      <c r="G683" s="1422">
        <f t="shared" si="29"/>
        <v>0.13885238720981166</v>
      </c>
      <c r="H683" s="1413" t="s">
        <v>590</v>
      </c>
      <c r="I683" s="1413"/>
    </row>
    <row r="684" spans="1:9">
      <c r="A684" s="1414">
        <v>41906</v>
      </c>
      <c r="B684" s="1408" t="s">
        <v>592</v>
      </c>
      <c r="C684" s="1409">
        <v>27274</v>
      </c>
      <c r="D684" s="1410">
        <v>2138747.48</v>
      </c>
      <c r="E684" s="1411">
        <v>1768510.5</v>
      </c>
      <c r="F684" s="1421">
        <f t="shared" si="28"/>
        <v>370236.98</v>
      </c>
      <c r="G684" s="1422">
        <f t="shared" si="29"/>
        <v>0.20934960804586683</v>
      </c>
      <c r="H684" s="1413" t="s">
        <v>874</v>
      </c>
      <c r="I684" s="1413" t="s">
        <v>878</v>
      </c>
    </row>
    <row r="685" spans="1:9">
      <c r="A685" s="1414">
        <v>41906</v>
      </c>
      <c r="B685" s="1408" t="s">
        <v>592</v>
      </c>
      <c r="C685" s="1409">
        <v>27092</v>
      </c>
      <c r="D685" s="1410">
        <v>2124475.5699999998</v>
      </c>
      <c r="E685" s="1411">
        <v>1779024.16</v>
      </c>
      <c r="F685" s="1421">
        <f t="shared" si="28"/>
        <v>345451.40999999992</v>
      </c>
      <c r="G685" s="1422">
        <f t="shared" si="29"/>
        <v>0.19418028027230386</v>
      </c>
      <c r="H685" s="1413" t="s">
        <v>874</v>
      </c>
      <c r="I685" s="1413" t="s">
        <v>879</v>
      </c>
    </row>
    <row r="686" spans="1:9">
      <c r="A686" s="1414">
        <v>41907</v>
      </c>
      <c r="B686" s="1408" t="s">
        <v>586</v>
      </c>
      <c r="C686" s="1409">
        <v>457</v>
      </c>
      <c r="D686" s="1410">
        <v>54129</v>
      </c>
      <c r="E686" s="1411">
        <v>26699.7</v>
      </c>
      <c r="F686" s="1421">
        <f t="shared" si="28"/>
        <v>27429.3</v>
      </c>
      <c r="G686" s="1422">
        <f t="shared" si="29"/>
        <v>1.0273261497320194</v>
      </c>
      <c r="H686" s="1413" t="s">
        <v>880</v>
      </c>
      <c r="I686" s="1413"/>
    </row>
    <row r="687" spans="1:9">
      <c r="A687" s="1414">
        <v>41907</v>
      </c>
      <c r="B687" s="1408" t="s">
        <v>481</v>
      </c>
      <c r="C687" s="1409">
        <v>185</v>
      </c>
      <c r="D687" s="1410">
        <v>39368</v>
      </c>
      <c r="E687" s="1411">
        <v>10808.41</v>
      </c>
      <c r="F687" s="1421">
        <f t="shared" si="28"/>
        <v>28559.59</v>
      </c>
      <c r="G687" s="1422">
        <f t="shared" si="29"/>
        <v>2.6423488746263328</v>
      </c>
      <c r="H687" s="1413" t="s">
        <v>880</v>
      </c>
      <c r="I687" s="1413"/>
    </row>
    <row r="688" spans="1:9">
      <c r="A688" s="1414">
        <v>41911</v>
      </c>
      <c r="B688" s="1408" t="s">
        <v>478</v>
      </c>
      <c r="C688" s="1409">
        <v>718</v>
      </c>
      <c r="D688" s="1410">
        <v>43080</v>
      </c>
      <c r="E688" s="1411">
        <v>43080</v>
      </c>
      <c r="F688" s="1421">
        <f t="shared" si="28"/>
        <v>0</v>
      </c>
      <c r="G688" s="1422">
        <f t="shared" si="29"/>
        <v>0</v>
      </c>
      <c r="H688" s="1413" t="s">
        <v>587</v>
      </c>
      <c r="I688" s="1413"/>
    </row>
    <row r="689" spans="1:9">
      <c r="A689" s="1414">
        <v>41911</v>
      </c>
      <c r="B689" s="1408" t="s">
        <v>476</v>
      </c>
      <c r="C689" s="1409">
        <v>1024</v>
      </c>
      <c r="D689" s="1410">
        <v>63488</v>
      </c>
      <c r="E689" s="1411">
        <v>61158.41</v>
      </c>
      <c r="F689" s="1421">
        <f t="shared" si="28"/>
        <v>2329.5899999999965</v>
      </c>
      <c r="G689" s="1422">
        <f t="shared" si="29"/>
        <v>3.8091081831591052E-2</v>
      </c>
      <c r="H689" s="1413" t="s">
        <v>587</v>
      </c>
      <c r="I689" s="1413"/>
    </row>
    <row r="690" spans="1:9">
      <c r="A690" s="1415" t="s">
        <v>9</v>
      </c>
      <c r="B690" s="1416"/>
      <c r="C690" s="1417">
        <f>SUM(C691:C729)</f>
        <v>534602.4</v>
      </c>
      <c r="D690" s="1417">
        <f>SUM(D691:D729)</f>
        <v>38507679.079999998</v>
      </c>
      <c r="E690" s="1417">
        <f>SUM(E691:E729)</f>
        <v>16387589.789999997</v>
      </c>
      <c r="F690" s="1417">
        <f>SUM(F691:F729)</f>
        <v>22120089.289999999</v>
      </c>
      <c r="G690" s="1420">
        <f t="shared" si="29"/>
        <v>1.3498073587061641</v>
      </c>
      <c r="H690" s="1423"/>
      <c r="I690" s="1423"/>
    </row>
    <row r="691" spans="1:9">
      <c r="A691" s="1414">
        <v>41913</v>
      </c>
      <c r="B691" s="1408" t="s">
        <v>321</v>
      </c>
      <c r="C691" s="1409">
        <v>4.4000000000000004</v>
      </c>
      <c r="D691" s="1410">
        <f>130+156</f>
        <v>286</v>
      </c>
      <c r="E691" s="1411">
        <f>114.15+136.98</f>
        <v>251.13</v>
      </c>
      <c r="F691" s="1421">
        <f t="shared" ref="F691:F729" si="30">D691-E691</f>
        <v>34.870000000000005</v>
      </c>
      <c r="G691" s="1422">
        <f t="shared" si="29"/>
        <v>0.13885238720981166</v>
      </c>
      <c r="H691" s="1413" t="s">
        <v>590</v>
      </c>
      <c r="I691" s="1413"/>
    </row>
    <row r="692" spans="1:9">
      <c r="A692" s="1414">
        <v>41914</v>
      </c>
      <c r="B692" s="1408" t="s">
        <v>592</v>
      </c>
      <c r="C692" s="1434">
        <v>27336</v>
      </c>
      <c r="D692" s="1435">
        <v>2198669.7799999998</v>
      </c>
      <c r="E692" s="1435">
        <v>1758992.67</v>
      </c>
      <c r="F692" s="1421">
        <f t="shared" si="30"/>
        <v>439677.10999999987</v>
      </c>
      <c r="G692" s="1422">
        <f t="shared" si="29"/>
        <v>0.2499596032995407</v>
      </c>
      <c r="H692" s="1413" t="s">
        <v>874</v>
      </c>
      <c r="I692" s="1413" t="s">
        <v>881</v>
      </c>
    </row>
    <row r="693" spans="1:9">
      <c r="A693" s="1414">
        <v>41914</v>
      </c>
      <c r="B693" s="1408" t="s">
        <v>592</v>
      </c>
      <c r="C693" s="1434">
        <v>27139</v>
      </c>
      <c r="D693" s="1435">
        <v>2182824.81</v>
      </c>
      <c r="E693" s="1435">
        <v>1758183.64</v>
      </c>
      <c r="F693" s="1421">
        <f t="shared" si="30"/>
        <v>424641.17000000016</v>
      </c>
      <c r="G693" s="1422">
        <f t="shared" si="29"/>
        <v>0.2415226489082791</v>
      </c>
      <c r="H693" s="1413" t="s">
        <v>874</v>
      </c>
      <c r="I693" s="1413" t="s">
        <v>882</v>
      </c>
    </row>
    <row r="694" spans="1:9">
      <c r="A694" s="1414">
        <v>41917</v>
      </c>
      <c r="B694" s="1408" t="s">
        <v>588</v>
      </c>
      <c r="C694" s="1436">
        <v>394</v>
      </c>
      <c r="D694" s="1435">
        <v>20500</v>
      </c>
      <c r="E694" s="1435">
        <v>20337.47</v>
      </c>
      <c r="F694" s="1421">
        <f t="shared" si="30"/>
        <v>162.52999999999884</v>
      </c>
      <c r="G694" s="1422">
        <f t="shared" si="29"/>
        <v>7.9916528457078893E-3</v>
      </c>
      <c r="H694" s="1413" t="s">
        <v>587</v>
      </c>
      <c r="I694" s="1413"/>
    </row>
    <row r="695" spans="1:9">
      <c r="A695" s="1414">
        <v>41918</v>
      </c>
      <c r="B695" s="1408" t="s">
        <v>321</v>
      </c>
      <c r="C695" s="1436">
        <v>0.60000000000000009</v>
      </c>
      <c r="D695" s="1437">
        <v>39</v>
      </c>
      <c r="E695" s="1437">
        <v>34.58</v>
      </c>
      <c r="F695" s="1421">
        <f t="shared" si="30"/>
        <v>4.4200000000000017</v>
      </c>
      <c r="G695" s="1422">
        <f t="shared" si="29"/>
        <v>0.1278195488721805</v>
      </c>
      <c r="H695" s="1413" t="s">
        <v>590</v>
      </c>
      <c r="I695" s="1413"/>
    </row>
    <row r="696" spans="1:9">
      <c r="A696" s="1414">
        <v>41919</v>
      </c>
      <c r="B696" s="1408" t="s">
        <v>592</v>
      </c>
      <c r="C696" s="1434">
        <v>27285</v>
      </c>
      <c r="D696" s="1435">
        <v>2161090.4700000002</v>
      </c>
      <c r="E696" s="1435">
        <v>1767394.64</v>
      </c>
      <c r="F696" s="1421">
        <f t="shared" si="30"/>
        <v>393695.83000000031</v>
      </c>
      <c r="G696" s="1422">
        <f t="shared" si="29"/>
        <v>0.22275490775506726</v>
      </c>
      <c r="H696" s="1413" t="s">
        <v>874</v>
      </c>
      <c r="I696" s="1413" t="s">
        <v>883</v>
      </c>
    </row>
    <row r="697" spans="1:9">
      <c r="A697" s="1414">
        <v>41919</v>
      </c>
      <c r="B697" s="1408" t="s">
        <v>592</v>
      </c>
      <c r="C697" s="1434">
        <v>27579</v>
      </c>
      <c r="D697" s="1435">
        <v>2184376.5499999998</v>
      </c>
      <c r="E697" s="1435">
        <v>1564927.57</v>
      </c>
      <c r="F697" s="1421">
        <f t="shared" si="30"/>
        <v>619448.97999999975</v>
      </c>
      <c r="G697" s="1422">
        <f t="shared" si="29"/>
        <v>0.39583236430552482</v>
      </c>
      <c r="H697" s="1413" t="s">
        <v>874</v>
      </c>
      <c r="I697" s="1413" t="s">
        <v>884</v>
      </c>
    </row>
    <row r="698" spans="1:9">
      <c r="A698" s="1414">
        <v>41920</v>
      </c>
      <c r="B698" s="1408" t="s">
        <v>592</v>
      </c>
      <c r="C698" s="1434">
        <v>3132</v>
      </c>
      <c r="D698" s="1435">
        <v>236466</v>
      </c>
      <c r="E698" s="1435">
        <v>199452.14</v>
      </c>
      <c r="F698" s="1421">
        <f t="shared" si="30"/>
        <v>37013.859999999986</v>
      </c>
      <c r="G698" s="1422">
        <f t="shared" si="29"/>
        <v>0.18557765286449163</v>
      </c>
      <c r="H698" s="1413" t="s">
        <v>584</v>
      </c>
      <c r="I698" s="1413" t="s">
        <v>885</v>
      </c>
    </row>
    <row r="699" spans="1:9">
      <c r="A699" s="1414">
        <v>41920</v>
      </c>
      <c r="B699" s="1408" t="s">
        <v>345</v>
      </c>
      <c r="C699" s="1434">
        <v>23382</v>
      </c>
      <c r="D699" s="1435">
        <v>1765341</v>
      </c>
      <c r="E699" s="1435">
        <v>1479450.75</v>
      </c>
      <c r="F699" s="1421">
        <f t="shared" si="30"/>
        <v>285890.25</v>
      </c>
      <c r="G699" s="1422">
        <f t="shared" si="29"/>
        <v>0.19324080237209654</v>
      </c>
      <c r="H699" s="1413" t="s">
        <v>584</v>
      </c>
      <c r="I699" s="1413" t="s">
        <v>885</v>
      </c>
    </row>
    <row r="700" spans="1:9">
      <c r="A700" s="1414">
        <v>41920</v>
      </c>
      <c r="B700" s="1408" t="s">
        <v>489</v>
      </c>
      <c r="C700" s="1434">
        <v>20849</v>
      </c>
      <c r="D700" s="1435">
        <v>500376</v>
      </c>
      <c r="E700" s="1435">
        <v>10060.540000000001</v>
      </c>
      <c r="F700" s="1421">
        <f t="shared" si="30"/>
        <v>490315.46</v>
      </c>
      <c r="G700" s="1422">
        <f t="shared" si="29"/>
        <v>48.736495257709819</v>
      </c>
      <c r="H700" s="1413" t="s">
        <v>591</v>
      </c>
      <c r="I700" s="1413"/>
    </row>
    <row r="701" spans="1:9">
      <c r="A701" s="1414">
        <v>41925</v>
      </c>
      <c r="B701" s="1408" t="s">
        <v>478</v>
      </c>
      <c r="C701" s="1436">
        <v>251</v>
      </c>
      <c r="D701" s="1435">
        <v>17000</v>
      </c>
      <c r="E701" s="1435">
        <v>15026.57</v>
      </c>
      <c r="F701" s="1421">
        <f t="shared" si="30"/>
        <v>1973.4300000000003</v>
      </c>
      <c r="G701" s="1422">
        <f t="shared" si="29"/>
        <v>0.13132937190589739</v>
      </c>
      <c r="H701" s="1413" t="s">
        <v>587</v>
      </c>
      <c r="I701" s="1413"/>
    </row>
    <row r="702" spans="1:9">
      <c r="A702" s="1414">
        <v>41925</v>
      </c>
      <c r="B702" s="1408" t="s">
        <v>476</v>
      </c>
      <c r="C702" s="1436">
        <v>526</v>
      </c>
      <c r="D702" s="1435">
        <v>35000</v>
      </c>
      <c r="E702" s="1435">
        <v>34513.81</v>
      </c>
      <c r="F702" s="1421">
        <f t="shared" si="30"/>
        <v>486.19000000000233</v>
      </c>
      <c r="G702" s="1422">
        <f t="shared" si="29"/>
        <v>1.4086824954996344E-2</v>
      </c>
      <c r="H702" s="1413" t="s">
        <v>587</v>
      </c>
      <c r="I702" s="1413"/>
    </row>
    <row r="703" spans="1:9">
      <c r="A703" s="1414">
        <v>41925</v>
      </c>
      <c r="B703" s="1408" t="s">
        <v>321</v>
      </c>
      <c r="C703" s="1436">
        <v>7</v>
      </c>
      <c r="D703" s="1437">
        <v>455</v>
      </c>
      <c r="E703" s="1437">
        <v>410.7</v>
      </c>
      <c r="F703" s="1421">
        <f t="shared" si="30"/>
        <v>44.300000000000011</v>
      </c>
      <c r="G703" s="1422">
        <f t="shared" si="29"/>
        <v>0.10786462137813492</v>
      </c>
      <c r="H703" s="1413" t="s">
        <v>590</v>
      </c>
      <c r="I703" s="1413"/>
    </row>
    <row r="704" spans="1:9">
      <c r="A704" s="1414">
        <v>41925</v>
      </c>
      <c r="B704" s="1408" t="s">
        <v>596</v>
      </c>
      <c r="C704" s="1434">
        <v>26170</v>
      </c>
      <c r="D704" s="1435">
        <v>1862131.06</v>
      </c>
      <c r="E704" s="1435">
        <v>1690897.36</v>
      </c>
      <c r="F704" s="1421">
        <f t="shared" si="30"/>
        <v>171233.69999999995</v>
      </c>
      <c r="G704" s="1422">
        <f t="shared" si="29"/>
        <v>0.10126794449546006</v>
      </c>
      <c r="H704" s="1413" t="s">
        <v>611</v>
      </c>
      <c r="I704" s="1413" t="s">
        <v>885</v>
      </c>
    </row>
    <row r="705" spans="1:9">
      <c r="A705" s="1414">
        <v>41927</v>
      </c>
      <c r="B705" s="1408" t="s">
        <v>321</v>
      </c>
      <c r="C705" s="1436">
        <v>0.4</v>
      </c>
      <c r="D705" s="1437">
        <v>26</v>
      </c>
      <c r="E705" s="1437">
        <v>23.58</v>
      </c>
      <c r="F705" s="1421">
        <f t="shared" si="30"/>
        <v>2.4200000000000017</v>
      </c>
      <c r="G705" s="1422">
        <f t="shared" si="29"/>
        <v>0.10262934690415615</v>
      </c>
      <c r="H705" s="1413" t="s">
        <v>590</v>
      </c>
      <c r="I705" s="1413"/>
    </row>
    <row r="706" spans="1:9">
      <c r="A706" s="1414">
        <v>41927</v>
      </c>
      <c r="B706" s="1408" t="s">
        <v>320</v>
      </c>
      <c r="C706" s="1434">
        <v>25290</v>
      </c>
      <c r="D706" s="1435">
        <v>137900</v>
      </c>
      <c r="E706" s="1437">
        <v>246.73</v>
      </c>
      <c r="F706" s="1421">
        <f t="shared" si="30"/>
        <v>137653.26999999999</v>
      </c>
      <c r="G706" s="1422">
        <f t="shared" si="29"/>
        <v>557.91054999392043</v>
      </c>
      <c r="H706" s="1413" t="s">
        <v>599</v>
      </c>
      <c r="I706" s="1413"/>
    </row>
    <row r="707" spans="1:9">
      <c r="A707" s="1414">
        <v>41927</v>
      </c>
      <c r="B707" s="1408" t="s">
        <v>596</v>
      </c>
      <c r="C707" s="1434">
        <v>27547</v>
      </c>
      <c r="D707" s="1435">
        <v>1960111.74</v>
      </c>
      <c r="E707" s="1435">
        <v>1686591.4</v>
      </c>
      <c r="F707" s="1421">
        <f t="shared" si="30"/>
        <v>273520.34000000008</v>
      </c>
      <c r="G707" s="1422">
        <f t="shared" si="29"/>
        <v>0.16217344639608627</v>
      </c>
      <c r="H707" s="1413" t="s">
        <v>611</v>
      </c>
      <c r="I707" s="1413" t="s">
        <v>886</v>
      </c>
    </row>
    <row r="708" spans="1:9">
      <c r="A708" s="1414">
        <v>41928</v>
      </c>
      <c r="B708" s="1408" t="s">
        <v>321</v>
      </c>
      <c r="C708" s="1436">
        <v>3</v>
      </c>
      <c r="D708" s="1437">
        <v>195</v>
      </c>
      <c r="E708" s="1437">
        <v>178.69</v>
      </c>
      <c r="F708" s="1421">
        <f t="shared" si="30"/>
        <v>16.310000000000002</v>
      </c>
      <c r="G708" s="1422">
        <f t="shared" si="29"/>
        <v>9.1275393138955746E-2</v>
      </c>
      <c r="H708" s="1413" t="s">
        <v>590</v>
      </c>
      <c r="I708" s="1413"/>
    </row>
    <row r="709" spans="1:9">
      <c r="A709" s="1414">
        <v>41928</v>
      </c>
      <c r="B709" s="1408" t="s">
        <v>592</v>
      </c>
      <c r="C709" s="1434">
        <v>27400</v>
      </c>
      <c r="D709" s="1435">
        <v>2216676.48</v>
      </c>
      <c r="E709" s="1435">
        <v>1766637.49</v>
      </c>
      <c r="F709" s="1421">
        <f t="shared" si="30"/>
        <v>450038.99</v>
      </c>
      <c r="G709" s="1422">
        <f t="shared" si="29"/>
        <v>0.25474325805233533</v>
      </c>
      <c r="H709" s="1413" t="s">
        <v>874</v>
      </c>
      <c r="I709" s="1413" t="s">
        <v>887</v>
      </c>
    </row>
    <row r="710" spans="1:9">
      <c r="A710" s="1414">
        <v>41928</v>
      </c>
      <c r="B710" s="1408" t="s">
        <v>592</v>
      </c>
      <c r="C710" s="1434">
        <v>27599</v>
      </c>
      <c r="D710" s="1435">
        <v>2232775.7000000002</v>
      </c>
      <c r="E710" s="1435">
        <v>1782275.42</v>
      </c>
      <c r="F710" s="1421">
        <f t="shared" si="30"/>
        <v>450500.28000000026</v>
      </c>
      <c r="G710" s="1422">
        <f t="shared" si="29"/>
        <v>0.25276692644956089</v>
      </c>
      <c r="H710" s="1413" t="s">
        <v>874</v>
      </c>
      <c r="I710" s="1413" t="s">
        <v>888</v>
      </c>
    </row>
    <row r="711" spans="1:9">
      <c r="A711" s="1414">
        <v>41928</v>
      </c>
      <c r="B711" s="1408" t="s">
        <v>592</v>
      </c>
      <c r="C711" s="1434">
        <v>27255</v>
      </c>
      <c r="D711" s="1435">
        <v>2204945.9</v>
      </c>
      <c r="E711" s="1435">
        <v>315114.39</v>
      </c>
      <c r="F711" s="1421">
        <f t="shared" si="30"/>
        <v>1889831.5099999998</v>
      </c>
      <c r="G711" s="1422">
        <f t="shared" si="29"/>
        <v>5.997287239088001</v>
      </c>
      <c r="H711" s="1413" t="s">
        <v>874</v>
      </c>
      <c r="I711" s="1413" t="s">
        <v>889</v>
      </c>
    </row>
    <row r="712" spans="1:9">
      <c r="A712" s="1414">
        <v>41928</v>
      </c>
      <c r="B712" s="1408" t="s">
        <v>592</v>
      </c>
      <c r="C712" s="1434">
        <v>27577</v>
      </c>
      <c r="D712" s="1435">
        <v>2230995.89</v>
      </c>
      <c r="E712" s="1435">
        <v>138856.04</v>
      </c>
      <c r="F712" s="1421">
        <f t="shared" si="30"/>
        <v>2092139.85</v>
      </c>
      <c r="G712" s="1422">
        <f t="shared" si="29"/>
        <v>15.066970439312543</v>
      </c>
      <c r="H712" s="1413" t="s">
        <v>874</v>
      </c>
      <c r="I712" s="1413" t="s">
        <v>890</v>
      </c>
    </row>
    <row r="713" spans="1:9">
      <c r="A713" s="1414">
        <v>41930</v>
      </c>
      <c r="B713" s="1408" t="s">
        <v>321</v>
      </c>
      <c r="C713" s="1436">
        <v>4</v>
      </c>
      <c r="D713" s="1437">
        <v>260</v>
      </c>
      <c r="E713" s="1437">
        <v>239.23</v>
      </c>
      <c r="F713" s="1421">
        <f t="shared" si="30"/>
        <v>20.77000000000001</v>
      </c>
      <c r="G713" s="1422">
        <f t="shared" si="29"/>
        <v>8.6820214855996364E-2</v>
      </c>
      <c r="H713" s="1413" t="s">
        <v>590</v>
      </c>
      <c r="I713" s="1413"/>
    </row>
    <row r="714" spans="1:9">
      <c r="A714" s="1414">
        <v>41931</v>
      </c>
      <c r="B714" s="1408" t="s">
        <v>321</v>
      </c>
      <c r="C714" s="1438">
        <v>23</v>
      </c>
      <c r="D714" s="1439">
        <v>1495</v>
      </c>
      <c r="E714" s="1439">
        <v>1380.6</v>
      </c>
      <c r="F714" s="1421">
        <f t="shared" si="30"/>
        <v>114.40000000000009</v>
      </c>
      <c r="G714" s="1422">
        <f t="shared" si="29"/>
        <v>8.2862523540489716E-2</v>
      </c>
      <c r="H714" s="1413" t="s">
        <v>590</v>
      </c>
      <c r="I714" s="1413"/>
    </row>
    <row r="715" spans="1:9">
      <c r="A715" s="1414">
        <v>41932</v>
      </c>
      <c r="B715" s="1408" t="s">
        <v>321</v>
      </c>
      <c r="C715" s="1438">
        <v>5.6</v>
      </c>
      <c r="D715" s="1440">
        <v>364</v>
      </c>
      <c r="E715" s="1440">
        <v>335.42</v>
      </c>
      <c r="F715" s="1421">
        <f t="shared" si="30"/>
        <v>28.579999999999984</v>
      </c>
      <c r="G715" s="1422">
        <f t="shared" si="29"/>
        <v>8.5206606642418414E-2</v>
      </c>
      <c r="H715" s="1413" t="s">
        <v>590</v>
      </c>
      <c r="I715" s="1413"/>
    </row>
    <row r="716" spans="1:9">
      <c r="A716" s="1414">
        <v>41933</v>
      </c>
      <c r="B716" s="1408" t="s">
        <v>586</v>
      </c>
      <c r="C716" s="1436">
        <v>452</v>
      </c>
      <c r="D716" s="1435">
        <v>55144</v>
      </c>
      <c r="E716" s="1435">
        <v>27097.08</v>
      </c>
      <c r="F716" s="1421">
        <f t="shared" si="30"/>
        <v>28046.92</v>
      </c>
      <c r="G716" s="1422">
        <f t="shared" si="29"/>
        <v>1.0350532234469543</v>
      </c>
      <c r="H716" s="1413" t="s">
        <v>880</v>
      </c>
      <c r="I716" s="1413"/>
    </row>
    <row r="717" spans="1:9">
      <c r="A717" s="1414">
        <v>41933</v>
      </c>
      <c r="B717" s="1408" t="s">
        <v>481</v>
      </c>
      <c r="C717" s="1436">
        <v>262</v>
      </c>
      <c r="D717" s="1435">
        <v>56330</v>
      </c>
      <c r="E717" s="1435">
        <v>15706.72</v>
      </c>
      <c r="F717" s="1421">
        <f t="shared" si="30"/>
        <v>40623.279999999999</v>
      </c>
      <c r="G717" s="1422">
        <f t="shared" si="29"/>
        <v>2.5863630344209358</v>
      </c>
      <c r="H717" s="1413" t="s">
        <v>880</v>
      </c>
      <c r="I717" s="1413"/>
    </row>
    <row r="718" spans="1:9">
      <c r="A718" s="1414">
        <v>41934</v>
      </c>
      <c r="B718" s="1408" t="s">
        <v>321</v>
      </c>
      <c r="C718" s="1436">
        <v>4</v>
      </c>
      <c r="D718" s="1437">
        <v>260</v>
      </c>
      <c r="E718" s="1437">
        <v>239.9</v>
      </c>
      <c r="F718" s="1421">
        <f t="shared" si="30"/>
        <v>20.099999999999994</v>
      </c>
      <c r="G718" s="1422">
        <f t="shared" si="29"/>
        <v>8.3784910379324687E-2</v>
      </c>
      <c r="H718" s="1413" t="s">
        <v>590</v>
      </c>
      <c r="I718" s="1413"/>
    </row>
    <row r="719" spans="1:9">
      <c r="A719" s="1414">
        <v>41934</v>
      </c>
      <c r="B719" s="1408" t="s">
        <v>592</v>
      </c>
      <c r="C719" s="1434">
        <v>27335</v>
      </c>
      <c r="D719" s="1435">
        <v>2197080.58</v>
      </c>
      <c r="E719" s="1435">
        <v>39627.61</v>
      </c>
      <c r="F719" s="1421">
        <f t="shared" si="30"/>
        <v>2157452.9700000002</v>
      </c>
      <c r="G719" s="1422">
        <f t="shared" si="29"/>
        <v>54.443176613477327</v>
      </c>
      <c r="H719" s="1413" t="s">
        <v>874</v>
      </c>
      <c r="I719" s="1413" t="s">
        <v>891</v>
      </c>
    </row>
    <row r="720" spans="1:9">
      <c r="A720" s="1414">
        <v>41934</v>
      </c>
      <c r="B720" s="1408" t="s">
        <v>592</v>
      </c>
      <c r="C720" s="1434">
        <v>27533</v>
      </c>
      <c r="D720" s="1435">
        <v>2212995.0499999998</v>
      </c>
      <c r="E720" s="1435">
        <v>32146.32</v>
      </c>
      <c r="F720" s="1421">
        <f t="shared" si="30"/>
        <v>2180848.73</v>
      </c>
      <c r="G720" s="1422">
        <f t="shared" si="29"/>
        <v>67.841318384188298</v>
      </c>
      <c r="H720" s="1413" t="s">
        <v>874</v>
      </c>
      <c r="I720" s="1413" t="s">
        <v>892</v>
      </c>
    </row>
    <row r="721" spans="1:9">
      <c r="A721" s="1414">
        <v>41936</v>
      </c>
      <c r="B721" s="1408" t="s">
        <v>321</v>
      </c>
      <c r="C721" s="1436">
        <v>16</v>
      </c>
      <c r="D721" s="1435">
        <v>1040</v>
      </c>
      <c r="E721" s="1437">
        <v>930.79</v>
      </c>
      <c r="F721" s="1421">
        <f t="shared" si="30"/>
        <v>109.21000000000004</v>
      </c>
      <c r="G721" s="1422">
        <f t="shared" si="29"/>
        <v>0.11733043973398945</v>
      </c>
      <c r="H721" s="1413" t="s">
        <v>590</v>
      </c>
      <c r="I721" s="1413"/>
    </row>
    <row r="722" spans="1:9">
      <c r="A722" s="1414">
        <v>41936</v>
      </c>
      <c r="B722" s="1408" t="s">
        <v>489</v>
      </c>
      <c r="C722" s="1434">
        <v>20838</v>
      </c>
      <c r="D722" s="1435">
        <v>520950</v>
      </c>
      <c r="E722" s="1435">
        <v>20636.61</v>
      </c>
      <c r="F722" s="1421">
        <f t="shared" si="30"/>
        <v>500313.39</v>
      </c>
      <c r="G722" s="1422">
        <f t="shared" si="29"/>
        <v>24.243971756989158</v>
      </c>
      <c r="H722" s="1413" t="s">
        <v>591</v>
      </c>
      <c r="I722" s="1413"/>
    </row>
    <row r="723" spans="1:9">
      <c r="A723" s="1414">
        <v>41938</v>
      </c>
      <c r="B723" s="1408" t="s">
        <v>321</v>
      </c>
      <c r="C723" s="1436">
        <v>1.4</v>
      </c>
      <c r="D723" s="1437">
        <v>91</v>
      </c>
      <c r="E723" s="1437">
        <v>81.44</v>
      </c>
      <c r="F723" s="1421">
        <f t="shared" si="30"/>
        <v>9.5600000000000023</v>
      </c>
      <c r="G723" s="1422">
        <f t="shared" si="29"/>
        <v>0.11738703339882126</v>
      </c>
      <c r="H723" s="1413" t="s">
        <v>590</v>
      </c>
      <c r="I723" s="1413"/>
    </row>
    <row r="724" spans="1:9">
      <c r="A724" s="1414">
        <v>41940</v>
      </c>
      <c r="B724" s="1408" t="s">
        <v>321</v>
      </c>
      <c r="C724" s="1438">
        <v>26</v>
      </c>
      <c r="D724" s="1439">
        <v>1690</v>
      </c>
      <c r="E724" s="1439">
        <v>1592.27</v>
      </c>
      <c r="F724" s="1421">
        <f t="shared" si="30"/>
        <v>97.730000000000018</v>
      </c>
      <c r="G724" s="1422">
        <f t="shared" si="29"/>
        <v>6.1377781406419779E-2</v>
      </c>
      <c r="H724" s="1413" t="s">
        <v>590</v>
      </c>
      <c r="I724" s="1413"/>
    </row>
    <row r="725" spans="1:9">
      <c r="A725" s="1414">
        <v>41942</v>
      </c>
      <c r="B725" s="1408" t="s">
        <v>592</v>
      </c>
      <c r="C725" s="1434">
        <v>27513</v>
      </c>
      <c r="D725" s="1435">
        <v>2312965.02</v>
      </c>
      <c r="E725" s="1435">
        <v>25552.38</v>
      </c>
      <c r="F725" s="1421">
        <f t="shared" si="30"/>
        <v>2287412.64</v>
      </c>
      <c r="G725" s="1422">
        <f t="shared" si="29"/>
        <v>89.518574786379972</v>
      </c>
      <c r="H725" s="1413" t="s">
        <v>874</v>
      </c>
      <c r="I725" s="1413" t="s">
        <v>893</v>
      </c>
    </row>
    <row r="726" spans="1:9">
      <c r="A726" s="1414">
        <v>41942</v>
      </c>
      <c r="B726" s="1408" t="s">
        <v>592</v>
      </c>
      <c r="C726" s="1434">
        <v>27200</v>
      </c>
      <c r="D726" s="1435">
        <v>2286651.71</v>
      </c>
      <c r="E726" s="1435">
        <v>24227.59</v>
      </c>
      <c r="F726" s="1421">
        <f t="shared" si="30"/>
        <v>2262424.12</v>
      </c>
      <c r="G726" s="1422">
        <f t="shared" si="29"/>
        <v>93.382136646690824</v>
      </c>
      <c r="H726" s="1413" t="s">
        <v>874</v>
      </c>
      <c r="I726" s="1413" t="s">
        <v>894</v>
      </c>
    </row>
    <row r="727" spans="1:9">
      <c r="A727" s="1414">
        <v>41943</v>
      </c>
      <c r="B727" s="1408" t="s">
        <v>828</v>
      </c>
      <c r="C727" s="1434">
        <v>2424</v>
      </c>
      <c r="D727" s="1435">
        <v>99000</v>
      </c>
      <c r="E727" s="1435">
        <v>119839.1</v>
      </c>
      <c r="F727" s="1421">
        <f t="shared" si="30"/>
        <v>-20839.100000000006</v>
      </c>
      <c r="G727" s="1422">
        <f t="shared" si="29"/>
        <v>-0.17389232729551543</v>
      </c>
      <c r="H727" s="1413" t="s">
        <v>895</v>
      </c>
      <c r="I727" s="1413"/>
    </row>
    <row r="728" spans="1:9">
      <c r="A728" s="1414">
        <v>41943</v>
      </c>
      <c r="B728" s="1408" t="s">
        <v>592</v>
      </c>
      <c r="C728" s="1434">
        <v>27069</v>
      </c>
      <c r="D728" s="1435">
        <v>2302295</v>
      </c>
      <c r="E728" s="1435">
        <v>30941.58</v>
      </c>
      <c r="F728" s="1421">
        <f t="shared" si="30"/>
        <v>2271353.42</v>
      </c>
      <c r="G728" s="1422">
        <f t="shared" si="29"/>
        <v>73.407803350701542</v>
      </c>
      <c r="H728" s="1413" t="s">
        <v>874</v>
      </c>
      <c r="I728" s="1413" t="s">
        <v>896</v>
      </c>
    </row>
    <row r="729" spans="1:9">
      <c r="A729" s="1414">
        <v>41943</v>
      </c>
      <c r="B729" s="1408" t="s">
        <v>592</v>
      </c>
      <c r="C729" s="1434">
        <v>27170</v>
      </c>
      <c r="D729" s="1435">
        <v>2310885.34</v>
      </c>
      <c r="E729" s="1435">
        <v>57157.84</v>
      </c>
      <c r="F729" s="1421">
        <f t="shared" si="30"/>
        <v>2253727.5</v>
      </c>
      <c r="G729" s="1422">
        <f t="shared" si="29"/>
        <v>39.429892732125637</v>
      </c>
      <c r="H729" s="1413" t="s">
        <v>874</v>
      </c>
      <c r="I729" s="1413" t="s">
        <v>897</v>
      </c>
    </row>
    <row r="730" spans="1:9">
      <c r="A730" s="1415" t="s">
        <v>10</v>
      </c>
      <c r="B730" s="1416"/>
      <c r="C730" s="1417">
        <f>SUM(C731:C752)</f>
        <v>329609.3</v>
      </c>
      <c r="D730" s="1417">
        <f>SUM(D731:D752)</f>
        <v>30238092.369999997</v>
      </c>
      <c r="E730" s="1417">
        <f>SUM(E731:E752)</f>
        <v>22151029.629999999</v>
      </c>
      <c r="F730" s="1433">
        <f>SUM(F731:F752)</f>
        <v>8087062.7399999984</v>
      </c>
      <c r="G730" s="1420">
        <f t="shared" si="29"/>
        <v>0.36508744176150509</v>
      </c>
      <c r="H730" s="1423"/>
      <c r="I730" s="1423"/>
    </row>
    <row r="731" spans="1:9">
      <c r="A731" s="1414">
        <v>41944</v>
      </c>
      <c r="B731" s="1408" t="s">
        <v>321</v>
      </c>
      <c r="C731" s="1436">
        <v>4</v>
      </c>
      <c r="D731" s="1437">
        <v>260</v>
      </c>
      <c r="E731" s="1437">
        <f>252.63+15.3</f>
        <v>267.93</v>
      </c>
      <c r="F731" s="1421">
        <f t="shared" ref="F731:F762" si="31">D731-E731</f>
        <v>-7.9300000000000068</v>
      </c>
      <c r="G731" s="1422">
        <f t="shared" si="29"/>
        <v>-2.9597282872392067E-2</v>
      </c>
      <c r="H731" s="1413" t="s">
        <v>590</v>
      </c>
      <c r="I731" s="1413"/>
    </row>
    <row r="732" spans="1:9">
      <c r="A732" s="1414">
        <v>41945</v>
      </c>
      <c r="B732" s="1408" t="s">
        <v>478</v>
      </c>
      <c r="C732" s="1409">
        <v>579</v>
      </c>
      <c r="D732" s="1410">
        <v>40088</v>
      </c>
      <c r="E732" s="1411">
        <f>35545.34+2234.09</f>
        <v>37779.429999999993</v>
      </c>
      <c r="F732" s="1421">
        <f t="shared" si="31"/>
        <v>2308.570000000007</v>
      </c>
      <c r="G732" s="1422">
        <f t="shared" si="29"/>
        <v>6.1106533370143684E-2</v>
      </c>
      <c r="H732" s="1413"/>
      <c r="I732" s="1413"/>
    </row>
    <row r="733" spans="1:9">
      <c r="A733" s="1414">
        <v>41945</v>
      </c>
      <c r="B733" s="1408" t="s">
        <v>321</v>
      </c>
      <c r="C733" s="1436">
        <v>1.2</v>
      </c>
      <c r="D733" s="1437">
        <v>78</v>
      </c>
      <c r="E733" s="1437">
        <f>75.79+4.59</f>
        <v>80.38000000000001</v>
      </c>
      <c r="F733" s="1421">
        <f t="shared" si="31"/>
        <v>-2.3800000000000097</v>
      </c>
      <c r="G733" s="1422">
        <f t="shared" si="29"/>
        <v>-2.9609355561084964E-2</v>
      </c>
      <c r="H733" s="1413" t="s">
        <v>590</v>
      </c>
      <c r="I733" s="1413"/>
    </row>
    <row r="734" spans="1:9">
      <c r="A734" s="1414">
        <v>41951</v>
      </c>
      <c r="B734" s="1408" t="s">
        <v>321</v>
      </c>
      <c r="C734" s="1436">
        <v>5.2</v>
      </c>
      <c r="D734" s="1437">
        <v>338</v>
      </c>
      <c r="E734" s="1437">
        <f>340.87+5.43+2</f>
        <v>348.3</v>
      </c>
      <c r="F734" s="1421">
        <f t="shared" si="31"/>
        <v>-10.300000000000011</v>
      </c>
      <c r="G734" s="1422">
        <f t="shared" si="29"/>
        <v>-2.9572207866781542E-2</v>
      </c>
      <c r="H734" s="1413" t="s">
        <v>590</v>
      </c>
      <c r="I734" s="1413"/>
    </row>
    <row r="735" spans="1:9">
      <c r="A735" s="1414">
        <v>41953</v>
      </c>
      <c r="B735" s="1408" t="s">
        <v>592</v>
      </c>
      <c r="C735" s="1434">
        <v>26916</v>
      </c>
      <c r="D735" s="1435">
        <v>2492284.1</v>
      </c>
      <c r="E735" s="1435">
        <v>1829042.21</v>
      </c>
      <c r="F735" s="1421">
        <f t="shared" si="31"/>
        <v>663241.89000000013</v>
      </c>
      <c r="G735" s="1422">
        <f t="shared" si="29"/>
        <v>0.36261704971805991</v>
      </c>
      <c r="H735" s="1413" t="s">
        <v>874</v>
      </c>
      <c r="I735" s="1413" t="s">
        <v>898</v>
      </c>
    </row>
    <row r="736" spans="1:9">
      <c r="A736" s="1414">
        <v>41953</v>
      </c>
      <c r="B736" s="1408" t="s">
        <v>592</v>
      </c>
      <c r="C736" s="1434">
        <v>27709</v>
      </c>
      <c r="D736" s="1435">
        <v>2565711.85</v>
      </c>
      <c r="E736" s="1435">
        <f>1883136.53+129754.46</f>
        <v>2012890.99</v>
      </c>
      <c r="F736" s="1421">
        <f t="shared" si="31"/>
        <v>552820.8600000001</v>
      </c>
      <c r="G736" s="1422">
        <f t="shared" ref="G736:G799" si="32">F736/E736</f>
        <v>0.27464023772097074</v>
      </c>
      <c r="H736" s="1413" t="s">
        <v>874</v>
      </c>
      <c r="I736" s="1413" t="s">
        <v>899</v>
      </c>
    </row>
    <row r="737" spans="1:9">
      <c r="A737" s="1414">
        <v>41953</v>
      </c>
      <c r="B737" s="1408" t="s">
        <v>592</v>
      </c>
      <c r="C737" s="1434">
        <v>27363</v>
      </c>
      <c r="D737" s="1435">
        <v>2609658.04</v>
      </c>
      <c r="E737" s="1435">
        <v>1865155.75</v>
      </c>
      <c r="F737" s="1421">
        <f t="shared" si="31"/>
        <v>744502.29</v>
      </c>
      <c r="G737" s="1422">
        <f t="shared" si="32"/>
        <v>0.39916360336127427</v>
      </c>
      <c r="H737" s="1413" t="s">
        <v>874</v>
      </c>
      <c r="I737" s="1413" t="s">
        <v>900</v>
      </c>
    </row>
    <row r="738" spans="1:9">
      <c r="A738" s="1414">
        <v>41953</v>
      </c>
      <c r="B738" s="1408" t="s">
        <v>592</v>
      </c>
      <c r="C738" s="1434">
        <v>27615</v>
      </c>
      <c r="D738" s="1435">
        <v>2633691.73</v>
      </c>
      <c r="E738" s="1435">
        <v>1969137.04</v>
      </c>
      <c r="F738" s="1421">
        <f t="shared" si="31"/>
        <v>664554.68999999994</v>
      </c>
      <c r="G738" s="1422">
        <f t="shared" si="32"/>
        <v>0.33748524175849126</v>
      </c>
      <c r="H738" s="1413" t="s">
        <v>874</v>
      </c>
      <c r="I738" s="1413" t="s">
        <v>901</v>
      </c>
    </row>
    <row r="739" spans="1:9">
      <c r="A739" s="1414">
        <v>41957</v>
      </c>
      <c r="B739" s="1408" t="s">
        <v>321</v>
      </c>
      <c r="C739" s="1436">
        <v>2.1</v>
      </c>
      <c r="D739" s="1437">
        <v>136.5</v>
      </c>
      <c r="E739" s="1437">
        <f>142.85-0.83--1.35</f>
        <v>143.36999999999998</v>
      </c>
      <c r="F739" s="1421">
        <f t="shared" si="31"/>
        <v>-6.8699999999999761</v>
      </c>
      <c r="G739" s="1422">
        <f t="shared" si="32"/>
        <v>-4.7917974471646627E-2</v>
      </c>
      <c r="H739" s="1413" t="s">
        <v>590</v>
      </c>
      <c r="I739" s="1413"/>
    </row>
    <row r="740" spans="1:9">
      <c r="A740" s="1414">
        <v>41959</v>
      </c>
      <c r="B740" s="1408" t="s">
        <v>321</v>
      </c>
      <c r="C740" s="1436">
        <v>1.6</v>
      </c>
      <c r="D740" s="1437">
        <v>120</v>
      </c>
      <c r="E740" s="1437">
        <f>108.94-1.77</f>
        <v>107.17</v>
      </c>
      <c r="F740" s="1421">
        <f t="shared" si="31"/>
        <v>12.829999999999998</v>
      </c>
      <c r="G740" s="1422">
        <f t="shared" si="32"/>
        <v>0.11971633852757299</v>
      </c>
      <c r="H740" s="1413" t="s">
        <v>590</v>
      </c>
      <c r="I740" s="1413"/>
    </row>
    <row r="741" spans="1:9">
      <c r="A741" s="1414">
        <v>41960</v>
      </c>
      <c r="B741" s="1408" t="s">
        <v>478</v>
      </c>
      <c r="C741" s="1436">
        <v>1051</v>
      </c>
      <c r="D741" s="1435">
        <v>69300</v>
      </c>
      <c r="E741" s="1435">
        <f>69251.55-674.39</f>
        <v>68577.16</v>
      </c>
      <c r="F741" s="1421">
        <f t="shared" si="31"/>
        <v>722.83999999999651</v>
      </c>
      <c r="G741" s="1422">
        <f t="shared" si="32"/>
        <v>1.0540535653561571E-2</v>
      </c>
      <c r="H741" s="1413" t="s">
        <v>587</v>
      </c>
      <c r="I741" s="1413"/>
    </row>
    <row r="742" spans="1:9">
      <c r="A742" s="1414">
        <v>41960</v>
      </c>
      <c r="B742" s="1408" t="s">
        <v>476</v>
      </c>
      <c r="C742" s="1436">
        <v>524</v>
      </c>
      <c r="D742" s="1435">
        <v>36500</v>
      </c>
      <c r="E742" s="1435">
        <f>35160.69+54.14</f>
        <v>35214.83</v>
      </c>
      <c r="F742" s="1421">
        <f t="shared" si="31"/>
        <v>1285.1699999999983</v>
      </c>
      <c r="G742" s="1422">
        <f t="shared" si="32"/>
        <v>3.6495135714129476E-2</v>
      </c>
      <c r="H742" s="1413" t="s">
        <v>587</v>
      </c>
      <c r="I742" s="1413"/>
    </row>
    <row r="743" spans="1:9">
      <c r="A743" s="1414">
        <v>41960</v>
      </c>
      <c r="B743" s="1408" t="s">
        <v>592</v>
      </c>
      <c r="C743" s="1434">
        <v>27296</v>
      </c>
      <c r="D743" s="1435">
        <v>2495377.61</v>
      </c>
      <c r="E743" s="1435">
        <v>1655033.62</v>
      </c>
      <c r="F743" s="1421">
        <f t="shared" si="31"/>
        <v>840343.98999999976</v>
      </c>
      <c r="G743" s="1422">
        <f t="shared" si="32"/>
        <v>0.50775040449027231</v>
      </c>
      <c r="H743" s="1413" t="s">
        <v>874</v>
      </c>
      <c r="I743" s="1413" t="s">
        <v>902</v>
      </c>
    </row>
    <row r="744" spans="1:9">
      <c r="A744" s="1414">
        <v>41960</v>
      </c>
      <c r="B744" s="1408" t="s">
        <v>592</v>
      </c>
      <c r="C744" s="1434">
        <v>26885</v>
      </c>
      <c r="D744" s="1435">
        <v>2457804.33</v>
      </c>
      <c r="E744" s="1435">
        <v>1627285.12</v>
      </c>
      <c r="F744" s="1421">
        <f t="shared" si="31"/>
        <v>830519.21</v>
      </c>
      <c r="G744" s="1422">
        <f t="shared" si="32"/>
        <v>0.51037104671614031</v>
      </c>
      <c r="H744" s="1413" t="s">
        <v>874</v>
      </c>
      <c r="I744" s="1413" t="s">
        <v>903</v>
      </c>
    </row>
    <row r="745" spans="1:9">
      <c r="A745" s="1414">
        <v>41960</v>
      </c>
      <c r="B745" s="1408" t="s">
        <v>592</v>
      </c>
      <c r="C745" s="1434">
        <v>27210</v>
      </c>
      <c r="D745" s="1435">
        <v>2487515.56</v>
      </c>
      <c r="E745" s="1435">
        <v>1660518.79</v>
      </c>
      <c r="F745" s="1421">
        <f t="shared" si="31"/>
        <v>826996.77</v>
      </c>
      <c r="G745" s="1422">
        <f t="shared" si="32"/>
        <v>0.49803517730744862</v>
      </c>
      <c r="H745" s="1413" t="s">
        <v>874</v>
      </c>
      <c r="I745" s="1413" t="s">
        <v>904</v>
      </c>
    </row>
    <row r="746" spans="1:9">
      <c r="A746" s="1414">
        <v>41960</v>
      </c>
      <c r="B746" s="1408" t="s">
        <v>592</v>
      </c>
      <c r="C746" s="1434">
        <v>27351</v>
      </c>
      <c r="D746" s="1435">
        <v>2500405.66</v>
      </c>
      <c r="E746" s="1435">
        <v>1686935</v>
      </c>
      <c r="F746" s="1421">
        <f t="shared" si="31"/>
        <v>813470.66000000015</v>
      </c>
      <c r="G746" s="1422">
        <f t="shared" si="32"/>
        <v>0.48221814118504869</v>
      </c>
      <c r="H746" s="1413" t="s">
        <v>874</v>
      </c>
      <c r="I746" s="1413" t="s">
        <v>905</v>
      </c>
    </row>
    <row r="747" spans="1:9">
      <c r="A747" s="1414">
        <v>41961</v>
      </c>
      <c r="B747" s="1408" t="s">
        <v>592</v>
      </c>
      <c r="C747" s="1434">
        <v>27083</v>
      </c>
      <c r="D747" s="1435">
        <v>2459998.59</v>
      </c>
      <c r="E747" s="1435">
        <v>1858097.87</v>
      </c>
      <c r="F747" s="1421">
        <f t="shared" si="31"/>
        <v>601900.71999999974</v>
      </c>
      <c r="G747" s="1422">
        <f t="shared" si="32"/>
        <v>0.32393380871805194</v>
      </c>
      <c r="H747" s="1413" t="s">
        <v>874</v>
      </c>
      <c r="I747" s="1413" t="s">
        <v>906</v>
      </c>
    </row>
    <row r="748" spans="1:9">
      <c r="A748" s="1414">
        <v>41961</v>
      </c>
      <c r="B748" s="1408" t="s">
        <v>592</v>
      </c>
      <c r="C748" s="1434">
        <v>26993</v>
      </c>
      <c r="D748" s="1435">
        <v>2451823.7200000002</v>
      </c>
      <c r="E748" s="1435">
        <v>1837238.5</v>
      </c>
      <c r="F748" s="1421">
        <f t="shared" si="31"/>
        <v>614585.2200000002</v>
      </c>
      <c r="G748" s="1422">
        <f t="shared" si="32"/>
        <v>0.33451575285407975</v>
      </c>
      <c r="H748" s="1413" t="s">
        <v>874</v>
      </c>
      <c r="I748" s="1413" t="s">
        <v>907</v>
      </c>
    </row>
    <row r="749" spans="1:9">
      <c r="A749" s="1414">
        <v>41962</v>
      </c>
      <c r="B749" s="1408" t="s">
        <v>321</v>
      </c>
      <c r="C749" s="1436">
        <v>3</v>
      </c>
      <c r="D749" s="1437">
        <v>195</v>
      </c>
      <c r="E749" s="1437">
        <f>207.36-6.43</f>
        <v>200.93</v>
      </c>
      <c r="F749" s="1421">
        <f t="shared" si="31"/>
        <v>-5.9300000000000068</v>
      </c>
      <c r="G749" s="1422">
        <f t="shared" si="32"/>
        <v>-2.951276563977508E-2</v>
      </c>
      <c r="H749" s="1413" t="s">
        <v>590</v>
      </c>
      <c r="I749" s="1413"/>
    </row>
    <row r="750" spans="1:9">
      <c r="A750" s="1414">
        <v>41963</v>
      </c>
      <c r="B750" s="1408" t="s">
        <v>321</v>
      </c>
      <c r="C750" s="1436">
        <v>0.2</v>
      </c>
      <c r="D750" s="1437">
        <v>15</v>
      </c>
      <c r="E750" s="1437">
        <f>13.85-0.45</f>
        <v>13.4</v>
      </c>
      <c r="F750" s="1421">
        <f t="shared" si="31"/>
        <v>1.5999999999999996</v>
      </c>
      <c r="G750" s="1422">
        <f t="shared" si="32"/>
        <v>0.11940298507462684</v>
      </c>
      <c r="H750" s="1413" t="s">
        <v>590</v>
      </c>
      <c r="I750" s="1413"/>
    </row>
    <row r="751" spans="1:9">
      <c r="A751" s="1414">
        <v>41963</v>
      </c>
      <c r="B751" s="1408" t="s">
        <v>592</v>
      </c>
      <c r="C751" s="1434">
        <v>27328</v>
      </c>
      <c r="D751" s="1435">
        <v>2452198.7000000002</v>
      </c>
      <c r="E751" s="1435">
        <v>1859063.27</v>
      </c>
      <c r="F751" s="1421">
        <f t="shared" si="31"/>
        <v>593135.43000000017</v>
      </c>
      <c r="G751" s="1422">
        <f t="shared" si="32"/>
        <v>0.31905069589159285</v>
      </c>
      <c r="H751" s="1413" t="s">
        <v>874</v>
      </c>
      <c r="I751" s="1413" t="s">
        <v>908</v>
      </c>
    </row>
    <row r="752" spans="1:9">
      <c r="A752" s="1414">
        <v>41963</v>
      </c>
      <c r="B752" s="1408" t="s">
        <v>592</v>
      </c>
      <c r="C752" s="1434">
        <v>27689</v>
      </c>
      <c r="D752" s="1435">
        <v>2484591.98</v>
      </c>
      <c r="E752" s="1435">
        <f>2071090.12+76808.45</f>
        <v>2147898.5700000003</v>
      </c>
      <c r="F752" s="1421">
        <f t="shared" si="31"/>
        <v>336693.40999999968</v>
      </c>
      <c r="G752" s="1422">
        <f t="shared" si="32"/>
        <v>0.15675479964586952</v>
      </c>
      <c r="H752" s="1413" t="s">
        <v>874</v>
      </c>
      <c r="I752" s="1413" t="s">
        <v>909</v>
      </c>
    </row>
    <row r="753" spans="1:9">
      <c r="A753" s="1414">
        <v>41963</v>
      </c>
      <c r="B753" s="1408" t="s">
        <v>592</v>
      </c>
      <c r="C753" s="1434">
        <v>27337</v>
      </c>
      <c r="D753" s="1435">
        <v>2453006.29</v>
      </c>
      <c r="E753" s="1435">
        <f>2137995.57+8711.05</f>
        <v>2146706.6199999996</v>
      </c>
      <c r="F753" s="1421">
        <f t="shared" si="31"/>
        <v>306299.67000000039</v>
      </c>
      <c r="G753" s="1422">
        <f t="shared" si="32"/>
        <v>0.14268352607959089</v>
      </c>
      <c r="H753" s="1413" t="s">
        <v>874</v>
      </c>
      <c r="I753" s="1413" t="s">
        <v>910</v>
      </c>
    </row>
    <row r="754" spans="1:9">
      <c r="A754" s="1414">
        <v>41963</v>
      </c>
      <c r="B754" s="1408" t="s">
        <v>592</v>
      </c>
      <c r="C754" s="1434">
        <v>27556</v>
      </c>
      <c r="D754" s="1435">
        <v>2472657.62</v>
      </c>
      <c r="E754" s="1435">
        <f>2179559.01-12318.71</f>
        <v>2167240.2999999998</v>
      </c>
      <c r="F754" s="1421">
        <f t="shared" si="31"/>
        <v>305417.3200000003</v>
      </c>
      <c r="G754" s="1422">
        <f t="shared" si="32"/>
        <v>0.14092452968874764</v>
      </c>
      <c r="H754" s="1413" t="s">
        <v>874</v>
      </c>
      <c r="I754" s="1413" t="s">
        <v>911</v>
      </c>
    </row>
    <row r="755" spans="1:9">
      <c r="A755" s="1414">
        <v>41964</v>
      </c>
      <c r="B755" s="1408" t="s">
        <v>586</v>
      </c>
      <c r="C755" s="1436">
        <v>209</v>
      </c>
      <c r="D755" s="1435">
        <v>29500</v>
      </c>
      <c r="E755" s="1435">
        <f>14469.82-470.63</f>
        <v>13999.19</v>
      </c>
      <c r="F755" s="1421">
        <f t="shared" si="31"/>
        <v>15500.81</v>
      </c>
      <c r="G755" s="1422">
        <f t="shared" si="32"/>
        <v>1.1072647774621245</v>
      </c>
      <c r="H755" s="1413" t="s">
        <v>880</v>
      </c>
      <c r="I755" s="1413"/>
    </row>
    <row r="756" spans="1:9">
      <c r="A756" s="1414">
        <v>41964</v>
      </c>
      <c r="B756" s="1408" t="s">
        <v>481</v>
      </c>
      <c r="C756" s="1436">
        <v>181</v>
      </c>
      <c r="D756" s="1435">
        <v>44808</v>
      </c>
      <c r="E756" s="1435">
        <v>10758.15</v>
      </c>
      <c r="F756" s="1421">
        <f t="shared" si="31"/>
        <v>34049.85</v>
      </c>
      <c r="G756" s="1422">
        <f t="shared" si="32"/>
        <v>3.1650283738375093</v>
      </c>
      <c r="H756" s="1413" t="s">
        <v>880</v>
      </c>
      <c r="I756" s="1413"/>
    </row>
    <row r="757" spans="1:9">
      <c r="A757" s="1414">
        <v>41966</v>
      </c>
      <c r="B757" s="1408" t="s">
        <v>321</v>
      </c>
      <c r="C757" s="1438">
        <v>1.4</v>
      </c>
      <c r="D757" s="1440">
        <v>93</v>
      </c>
      <c r="E757" s="1440">
        <f>95.39-0.23-1.38</f>
        <v>93.78</v>
      </c>
      <c r="F757" s="1421">
        <f t="shared" si="31"/>
        <v>-0.78000000000000114</v>
      </c>
      <c r="G757" s="1422">
        <f t="shared" si="32"/>
        <v>-8.3173384516954697E-3</v>
      </c>
      <c r="H757" s="1413" t="s">
        <v>590</v>
      </c>
      <c r="I757" s="1413"/>
    </row>
    <row r="758" spans="1:9">
      <c r="A758" s="1414">
        <v>41968</v>
      </c>
      <c r="B758" s="1408" t="s">
        <v>478</v>
      </c>
      <c r="C758" s="1436">
        <v>425</v>
      </c>
      <c r="D758" s="1435">
        <v>88000</v>
      </c>
      <c r="E758" s="1435">
        <f>29245.8-1514.79</f>
        <v>27731.01</v>
      </c>
      <c r="F758" s="1421">
        <f t="shared" si="31"/>
        <v>60268.990000000005</v>
      </c>
      <c r="G758" s="1422">
        <f t="shared" si="32"/>
        <v>2.1733427668159222</v>
      </c>
      <c r="H758" s="1413" t="s">
        <v>587</v>
      </c>
      <c r="I758" s="1413"/>
    </row>
    <row r="759" spans="1:9">
      <c r="A759" s="1414">
        <v>41968</v>
      </c>
      <c r="B759" s="1408" t="s">
        <v>476</v>
      </c>
      <c r="C759" s="1436">
        <v>715</v>
      </c>
      <c r="D759" s="1435">
        <v>83000</v>
      </c>
      <c r="E759" s="1435">
        <f>48093.12-42.34</f>
        <v>48050.780000000006</v>
      </c>
      <c r="F759" s="1421">
        <f t="shared" si="31"/>
        <v>34949.219999999994</v>
      </c>
      <c r="G759" s="1422">
        <f t="shared" si="32"/>
        <v>0.72733928564739203</v>
      </c>
      <c r="H759" s="1413" t="s">
        <v>587</v>
      </c>
      <c r="I759" s="1413"/>
    </row>
    <row r="760" spans="1:9">
      <c r="A760" s="1414">
        <v>41970</v>
      </c>
      <c r="B760" s="1408" t="s">
        <v>320</v>
      </c>
      <c r="C760" s="1434">
        <v>28280</v>
      </c>
      <c r="D760" s="1435">
        <v>206260</v>
      </c>
      <c r="E760" s="1441">
        <v>141.16</v>
      </c>
      <c r="F760" s="1421">
        <f t="shared" si="31"/>
        <v>206118.84</v>
      </c>
      <c r="G760" s="1422">
        <f t="shared" si="32"/>
        <v>1460.1788041938225</v>
      </c>
      <c r="H760" s="1413" t="s">
        <v>599</v>
      </c>
      <c r="I760" s="1413"/>
    </row>
    <row r="761" spans="1:9">
      <c r="A761" s="1414">
        <v>41970</v>
      </c>
      <c r="B761" s="1408" t="s">
        <v>489</v>
      </c>
      <c r="C761" s="1434">
        <v>20581</v>
      </c>
      <c r="D761" s="1435">
        <v>576268</v>
      </c>
      <c r="E761" s="1435">
        <v>6166.28</v>
      </c>
      <c r="F761" s="1421">
        <f t="shared" si="31"/>
        <v>570101.72</v>
      </c>
      <c r="G761" s="1422">
        <f t="shared" si="32"/>
        <v>92.45472472868569</v>
      </c>
      <c r="H761" s="1413" t="s">
        <v>591</v>
      </c>
      <c r="I761" s="1413"/>
    </row>
    <row r="762" spans="1:9">
      <c r="A762" s="1414">
        <v>41971</v>
      </c>
      <c r="B762" s="1408" t="s">
        <v>489</v>
      </c>
      <c r="C762" s="1434">
        <v>20067</v>
      </c>
      <c r="D762" s="1435">
        <v>561876</v>
      </c>
      <c r="E762" s="1441">
        <v>4641.08</v>
      </c>
      <c r="F762" s="1421">
        <f t="shared" si="31"/>
        <v>557234.92000000004</v>
      </c>
      <c r="G762" s="1422">
        <f t="shared" si="32"/>
        <v>120.06578641178348</v>
      </c>
      <c r="H762" s="1413" t="s">
        <v>591</v>
      </c>
      <c r="I762" s="1413"/>
    </row>
    <row r="763" spans="1:9">
      <c r="A763" s="1415" t="s">
        <v>0</v>
      </c>
      <c r="B763" s="1416"/>
      <c r="C763" s="1417">
        <f>SUM(C764:C781)</f>
        <v>233927.4</v>
      </c>
      <c r="D763" s="1417">
        <f>SUM(D764:D781)</f>
        <v>23471225.250000004</v>
      </c>
      <c r="E763" s="1417">
        <f>SUM(E764:E781)</f>
        <v>15542188.9</v>
      </c>
      <c r="F763" s="1417">
        <f>SUM(F764:F781)</f>
        <v>7929036.3499999978</v>
      </c>
      <c r="G763" s="1420">
        <f t="shared" si="32"/>
        <v>0.51016214003163984</v>
      </c>
      <c r="H763" s="1423"/>
      <c r="I763" s="1423"/>
    </row>
    <row r="764" spans="1:9">
      <c r="A764" s="1414">
        <v>42009</v>
      </c>
      <c r="B764" s="1408" t="s">
        <v>321</v>
      </c>
      <c r="C764" s="1438">
        <v>0.2</v>
      </c>
      <c r="D764" s="1440">
        <v>18</v>
      </c>
      <c r="E764" s="1440">
        <v>15.33</v>
      </c>
      <c r="F764" s="1421">
        <f t="shared" ref="F764:F781" si="33">D764-E764</f>
        <v>2.67</v>
      </c>
      <c r="G764" s="1422">
        <f t="shared" si="32"/>
        <v>0.17416829745596868</v>
      </c>
      <c r="H764" s="1413" t="s">
        <v>590</v>
      </c>
      <c r="I764" s="1413"/>
    </row>
    <row r="765" spans="1:9">
      <c r="A765" s="1414">
        <v>42013</v>
      </c>
      <c r="B765" s="1408" t="s">
        <v>478</v>
      </c>
      <c r="C765" s="1436">
        <v>36</v>
      </c>
      <c r="D765" s="1435">
        <v>3100</v>
      </c>
      <c r="E765" s="1435">
        <f>2935.44+417.74</f>
        <v>3353.1800000000003</v>
      </c>
      <c r="F765" s="1421">
        <f t="shared" si="33"/>
        <v>-253.18000000000029</v>
      </c>
      <c r="G765" s="1422">
        <f t="shared" si="32"/>
        <v>-7.5504446525387917E-2</v>
      </c>
      <c r="H765" s="1413" t="s">
        <v>587</v>
      </c>
      <c r="I765" s="1413"/>
    </row>
    <row r="766" spans="1:9">
      <c r="A766" s="1414">
        <v>42017</v>
      </c>
      <c r="B766" s="1408" t="s">
        <v>321</v>
      </c>
      <c r="C766" s="1436">
        <v>3.2</v>
      </c>
      <c r="D766" s="1437">
        <v>383.44</v>
      </c>
      <c r="E766" s="1437">
        <v>264.27999999999997</v>
      </c>
      <c r="F766" s="1421">
        <f t="shared" si="33"/>
        <v>119.16000000000003</v>
      </c>
      <c r="G766" s="1422">
        <f t="shared" si="32"/>
        <v>0.45088542454972014</v>
      </c>
      <c r="H766" s="1413" t="s">
        <v>590</v>
      </c>
      <c r="I766" s="1413"/>
    </row>
    <row r="767" spans="1:9">
      <c r="A767" s="1414">
        <v>42019</v>
      </c>
      <c r="B767" s="1408" t="s">
        <v>592</v>
      </c>
      <c r="C767" s="1434">
        <v>27649</v>
      </c>
      <c r="D767" s="1435">
        <v>3402901.63</v>
      </c>
      <c r="E767" s="1435">
        <v>2447346.5499999998</v>
      </c>
      <c r="F767" s="1421">
        <f t="shared" si="33"/>
        <v>955555.08000000007</v>
      </c>
      <c r="G767" s="1422">
        <f t="shared" si="32"/>
        <v>0.39044534988312146</v>
      </c>
      <c r="H767" s="1413" t="s">
        <v>874</v>
      </c>
      <c r="I767" s="1413" t="s">
        <v>912</v>
      </c>
    </row>
    <row r="768" spans="1:9">
      <c r="A768" s="1414">
        <v>42019</v>
      </c>
      <c r="B768" s="1408" t="s">
        <v>592</v>
      </c>
      <c r="C768" s="1434">
        <v>26849</v>
      </c>
      <c r="D768" s="1435">
        <v>3304441.6</v>
      </c>
      <c r="E768" s="1435">
        <v>2424538.1</v>
      </c>
      <c r="F768" s="1421">
        <f t="shared" si="33"/>
        <v>879903.5</v>
      </c>
      <c r="G768" s="1422">
        <f t="shared" si="32"/>
        <v>0.36291593025492153</v>
      </c>
      <c r="H768" s="1413" t="s">
        <v>874</v>
      </c>
      <c r="I768" s="1413" t="s">
        <v>913</v>
      </c>
    </row>
    <row r="769" spans="1:9">
      <c r="A769" s="1414">
        <v>42020</v>
      </c>
      <c r="B769" s="1408" t="s">
        <v>321</v>
      </c>
      <c r="C769" s="1436">
        <v>1.2</v>
      </c>
      <c r="D769" s="1437">
        <v>118.97</v>
      </c>
      <c r="E769" s="1437">
        <f>108.53+0.65</f>
        <v>109.18</v>
      </c>
      <c r="F769" s="1421">
        <f t="shared" si="33"/>
        <v>9.789999999999992</v>
      </c>
      <c r="G769" s="1422">
        <f t="shared" si="32"/>
        <v>8.9668437442755003E-2</v>
      </c>
      <c r="H769" s="1413" t="s">
        <v>590</v>
      </c>
      <c r="I769" s="1413"/>
    </row>
    <row r="770" spans="1:9">
      <c r="A770" s="1414">
        <v>42023</v>
      </c>
      <c r="B770" s="1408" t="s">
        <v>592</v>
      </c>
      <c r="C770" s="1434">
        <v>27365</v>
      </c>
      <c r="D770" s="1435">
        <v>3320841.69</v>
      </c>
      <c r="E770" s="1435">
        <v>2486889.65</v>
      </c>
      <c r="F770" s="1421">
        <f t="shared" si="33"/>
        <v>833952.04</v>
      </c>
      <c r="G770" s="1422">
        <f t="shared" si="32"/>
        <v>0.33533938267023633</v>
      </c>
      <c r="H770" s="1413" t="s">
        <v>874</v>
      </c>
      <c r="I770" s="1413" t="s">
        <v>914</v>
      </c>
    </row>
    <row r="771" spans="1:9">
      <c r="A771" s="1414">
        <v>42023</v>
      </c>
      <c r="B771" s="1408" t="s">
        <v>592</v>
      </c>
      <c r="C771" s="1434">
        <v>27461</v>
      </c>
      <c r="D771" s="1435">
        <v>3332491.64</v>
      </c>
      <c r="E771" s="1435">
        <v>2483805.64</v>
      </c>
      <c r="F771" s="1421">
        <f t="shared" si="33"/>
        <v>848686</v>
      </c>
      <c r="G771" s="1422">
        <f t="shared" si="32"/>
        <v>0.34168776587527194</v>
      </c>
      <c r="H771" s="1413" t="s">
        <v>874</v>
      </c>
      <c r="I771" s="1413" t="s">
        <v>915</v>
      </c>
    </row>
    <row r="772" spans="1:9">
      <c r="A772" s="1414">
        <v>42024</v>
      </c>
      <c r="B772" s="1408" t="s">
        <v>321</v>
      </c>
      <c r="C772" s="1434">
        <v>5265</v>
      </c>
      <c r="D772" s="1435">
        <v>480597.66</v>
      </c>
      <c r="E772" s="1435">
        <v>478164.53</v>
      </c>
      <c r="F772" s="1421">
        <f t="shared" si="33"/>
        <v>2433.1299999999464</v>
      </c>
      <c r="G772" s="1422">
        <f t="shared" si="32"/>
        <v>5.0884786456242299E-3</v>
      </c>
      <c r="H772" s="1413" t="s">
        <v>880</v>
      </c>
      <c r="I772" s="1413"/>
    </row>
    <row r="773" spans="1:9">
      <c r="A773" s="1414">
        <v>42025</v>
      </c>
      <c r="B773" s="1408" t="s">
        <v>321</v>
      </c>
      <c r="C773" s="1436">
        <v>2.6</v>
      </c>
      <c r="D773" s="1437">
        <v>322.72000000000003</v>
      </c>
      <c r="E773" s="1437">
        <v>235.03</v>
      </c>
      <c r="F773" s="1421">
        <f t="shared" si="33"/>
        <v>87.690000000000026</v>
      </c>
      <c r="G773" s="1422">
        <f t="shared" si="32"/>
        <v>0.37310130621622783</v>
      </c>
      <c r="H773" s="1413" t="s">
        <v>590</v>
      </c>
      <c r="I773" s="1413"/>
    </row>
    <row r="774" spans="1:9">
      <c r="A774" s="1414">
        <v>42026</v>
      </c>
      <c r="B774" s="1408" t="s">
        <v>321</v>
      </c>
      <c r="C774" s="1436">
        <v>0.4</v>
      </c>
      <c r="D774" s="1437">
        <v>50.08</v>
      </c>
      <c r="E774" s="1437">
        <v>36.229999999999997</v>
      </c>
      <c r="F774" s="1421">
        <f t="shared" si="33"/>
        <v>13.850000000000001</v>
      </c>
      <c r="G774" s="1422">
        <f t="shared" si="32"/>
        <v>0.38227987855368484</v>
      </c>
      <c r="H774" s="1413" t="s">
        <v>590</v>
      </c>
      <c r="I774" s="1413"/>
    </row>
    <row r="775" spans="1:9">
      <c r="A775" s="1414">
        <v>42031</v>
      </c>
      <c r="B775" s="1408" t="s">
        <v>489</v>
      </c>
      <c r="C775" s="1434">
        <v>60748</v>
      </c>
      <c r="D775" s="1435">
        <v>2308424</v>
      </c>
      <c r="E775" s="1435">
        <v>39100.699999999997</v>
      </c>
      <c r="F775" s="1421">
        <f t="shared" si="33"/>
        <v>2269323.2999999998</v>
      </c>
      <c r="G775" s="1422">
        <f t="shared" si="32"/>
        <v>58.037920037237186</v>
      </c>
      <c r="H775" s="1413" t="s">
        <v>591</v>
      </c>
      <c r="I775" s="1413"/>
    </row>
    <row r="776" spans="1:9">
      <c r="A776" s="1414">
        <v>42032</v>
      </c>
      <c r="B776" s="1408" t="s">
        <v>321</v>
      </c>
      <c r="C776" s="1436">
        <v>0.8</v>
      </c>
      <c r="D776" s="1437">
        <v>79.739999999999995</v>
      </c>
      <c r="E776" s="1437">
        <v>72.91</v>
      </c>
      <c r="F776" s="1421">
        <f t="shared" si="33"/>
        <v>6.8299999999999983</v>
      </c>
      <c r="G776" s="1422">
        <f t="shared" si="32"/>
        <v>9.3677136195309263E-2</v>
      </c>
      <c r="H776" s="1413" t="s">
        <v>590</v>
      </c>
      <c r="I776" s="1413"/>
    </row>
    <row r="777" spans="1:9">
      <c r="A777" s="1414">
        <v>42032</v>
      </c>
      <c r="B777" s="1408" t="s">
        <v>592</v>
      </c>
      <c r="C777" s="1434">
        <v>27261</v>
      </c>
      <c r="D777" s="1435">
        <v>3470034.1</v>
      </c>
      <c r="E777" s="1435">
        <v>2364401.83</v>
      </c>
      <c r="F777" s="1421">
        <f t="shared" si="33"/>
        <v>1105632.27</v>
      </c>
      <c r="G777" s="1422">
        <f t="shared" si="32"/>
        <v>0.46761606084529211</v>
      </c>
      <c r="H777" s="1413" t="s">
        <v>874</v>
      </c>
      <c r="I777" s="1413" t="s">
        <v>916</v>
      </c>
    </row>
    <row r="778" spans="1:9">
      <c r="A778" s="1414">
        <v>42032</v>
      </c>
      <c r="B778" s="1408" t="s">
        <v>592</v>
      </c>
      <c r="C778" s="1434">
        <v>27506</v>
      </c>
      <c r="D778" s="1435">
        <v>3501219.98</v>
      </c>
      <c r="E778" s="1435">
        <v>2467460.2000000002</v>
      </c>
      <c r="F778" s="1421">
        <f t="shared" si="33"/>
        <v>1033759.7799999998</v>
      </c>
      <c r="G778" s="1422">
        <f t="shared" si="32"/>
        <v>0.41895702309605631</v>
      </c>
      <c r="H778" s="1413" t="s">
        <v>874</v>
      </c>
      <c r="I778" s="1413" t="s">
        <v>917</v>
      </c>
    </row>
    <row r="779" spans="1:9">
      <c r="A779" s="1414">
        <v>42033</v>
      </c>
      <c r="B779" s="1408" t="s">
        <v>478</v>
      </c>
      <c r="C779" s="1434">
        <v>3506</v>
      </c>
      <c r="D779" s="1435">
        <v>327800</v>
      </c>
      <c r="E779" s="1435">
        <v>328104.45</v>
      </c>
      <c r="F779" s="1421">
        <f t="shared" si="33"/>
        <v>-304.45000000001164</v>
      </c>
      <c r="G779" s="1422">
        <f t="shared" si="32"/>
        <v>-9.2790573245809876E-4</v>
      </c>
      <c r="H779" s="1413" t="s">
        <v>587</v>
      </c>
      <c r="I779" s="1413"/>
    </row>
    <row r="780" spans="1:9">
      <c r="A780" s="1414">
        <v>42033</v>
      </c>
      <c r="B780" s="1408" t="s">
        <v>476</v>
      </c>
      <c r="C780" s="1436">
        <v>104</v>
      </c>
      <c r="D780" s="1435">
        <v>9500</v>
      </c>
      <c r="E780" s="1435">
        <v>9466.7099999999991</v>
      </c>
      <c r="F780" s="1421">
        <f t="shared" si="33"/>
        <v>33.290000000000873</v>
      </c>
      <c r="G780" s="1422">
        <f t="shared" si="32"/>
        <v>3.5165331989678436E-3</v>
      </c>
      <c r="H780" s="1413" t="s">
        <v>587</v>
      </c>
      <c r="I780" s="1413"/>
    </row>
    <row r="781" spans="1:9">
      <c r="A781" s="1414">
        <v>42033</v>
      </c>
      <c r="B781" s="1408" t="s">
        <v>589</v>
      </c>
      <c r="C781" s="1436">
        <v>169</v>
      </c>
      <c r="D781" s="1435">
        <v>8900</v>
      </c>
      <c r="E781" s="1435">
        <v>8824.4</v>
      </c>
      <c r="F781" s="1421">
        <f t="shared" si="33"/>
        <v>75.600000000000364</v>
      </c>
      <c r="G781" s="1422">
        <f t="shared" si="32"/>
        <v>8.5671547074022449E-3</v>
      </c>
      <c r="H781" s="1413" t="s">
        <v>587</v>
      </c>
      <c r="I781" s="1413"/>
    </row>
    <row r="782" spans="1:9">
      <c r="A782" s="1415" t="s">
        <v>1</v>
      </c>
      <c r="B782" s="1416"/>
      <c r="C782" s="1417">
        <f>SUM(C783:C800)</f>
        <v>343934.39999999997</v>
      </c>
      <c r="D782" s="1417">
        <f>SUM(D783:D800)</f>
        <v>39270104.919999987</v>
      </c>
      <c r="E782" s="1417">
        <f>SUM(E783:E800)</f>
        <v>27914519.649999995</v>
      </c>
      <c r="F782" s="1417">
        <f>SUM(F783:F800)</f>
        <v>11355585.27</v>
      </c>
      <c r="G782" s="1420">
        <f t="shared" si="32"/>
        <v>0.40679851963707359</v>
      </c>
      <c r="H782" s="1423"/>
      <c r="I782" s="1423"/>
    </row>
    <row r="783" spans="1:9">
      <c r="A783" s="1414">
        <v>42038</v>
      </c>
      <c r="B783" s="1408" t="s">
        <v>592</v>
      </c>
      <c r="C783" s="1434">
        <v>27652</v>
      </c>
      <c r="D783" s="1435">
        <v>3615756.94</v>
      </c>
      <c r="E783" s="1435">
        <v>2512796.31</v>
      </c>
      <c r="F783" s="1421">
        <f t="shared" ref="F783:F800" si="34">D783-E783</f>
        <v>1102960.6299999999</v>
      </c>
      <c r="G783" s="1422">
        <f t="shared" si="32"/>
        <v>0.43893753966870475</v>
      </c>
      <c r="H783" s="1413" t="s">
        <v>874</v>
      </c>
      <c r="I783" s="1413" t="s">
        <v>918</v>
      </c>
    </row>
    <row r="784" spans="1:9">
      <c r="A784" s="1414">
        <v>42038</v>
      </c>
      <c r="B784" s="1408" t="s">
        <v>592</v>
      </c>
      <c r="C784" s="1434">
        <v>27095</v>
      </c>
      <c r="D784" s="1435">
        <v>3542923.99</v>
      </c>
      <c r="E784" s="1435">
        <v>2442173.9500000002</v>
      </c>
      <c r="F784" s="1421">
        <f t="shared" si="34"/>
        <v>1100750.04</v>
      </c>
      <c r="G784" s="1422">
        <f t="shared" si="32"/>
        <v>0.45072548579105104</v>
      </c>
      <c r="H784" s="1413" t="s">
        <v>874</v>
      </c>
      <c r="I784" s="1413" t="s">
        <v>919</v>
      </c>
    </row>
    <row r="785" spans="1:9">
      <c r="A785" s="1414">
        <v>42038</v>
      </c>
      <c r="B785" s="1408" t="s">
        <v>592</v>
      </c>
      <c r="C785" s="1434">
        <v>27133</v>
      </c>
      <c r="D785" s="1435">
        <v>3568684.97</v>
      </c>
      <c r="E785" s="1435">
        <v>2473390.0099999998</v>
      </c>
      <c r="F785" s="1421">
        <f t="shared" si="34"/>
        <v>1095294.9600000004</v>
      </c>
      <c r="G785" s="1422">
        <f t="shared" si="32"/>
        <v>0.44283148050719284</v>
      </c>
      <c r="H785" s="1413" t="s">
        <v>874</v>
      </c>
      <c r="I785" s="1413" t="s">
        <v>920</v>
      </c>
    </row>
    <row r="786" spans="1:9">
      <c r="A786" s="1414">
        <v>42038</v>
      </c>
      <c r="B786" s="1408" t="s">
        <v>592</v>
      </c>
      <c r="C786" s="1434">
        <v>26994</v>
      </c>
      <c r="D786" s="1435">
        <v>3550402.91</v>
      </c>
      <c r="E786" s="1435">
        <v>2456974.27</v>
      </c>
      <c r="F786" s="1421">
        <f t="shared" si="34"/>
        <v>1093428.6400000001</v>
      </c>
      <c r="G786" s="1422">
        <f t="shared" si="32"/>
        <v>0.44503056191955975</v>
      </c>
      <c r="H786" s="1413" t="s">
        <v>874</v>
      </c>
      <c r="I786" s="1413" t="s">
        <v>921</v>
      </c>
    </row>
    <row r="787" spans="1:9">
      <c r="A787" s="1414">
        <v>42038</v>
      </c>
      <c r="B787" s="1408" t="s">
        <v>592</v>
      </c>
      <c r="C787" s="1434">
        <v>26980</v>
      </c>
      <c r="D787" s="1435">
        <v>3548561.55</v>
      </c>
      <c r="E787" s="1435">
        <v>2836761.28</v>
      </c>
      <c r="F787" s="1421">
        <f t="shared" si="34"/>
        <v>711800.27</v>
      </c>
      <c r="G787" s="1422">
        <f t="shared" si="32"/>
        <v>0.25092004569379911</v>
      </c>
      <c r="H787" s="1413" t="s">
        <v>874</v>
      </c>
      <c r="I787" s="1413" t="s">
        <v>922</v>
      </c>
    </row>
    <row r="788" spans="1:9">
      <c r="A788" s="1414">
        <v>42038</v>
      </c>
      <c r="B788" s="1408" t="s">
        <v>592</v>
      </c>
      <c r="C788" s="1434">
        <v>27576</v>
      </c>
      <c r="D788" s="1435">
        <v>3626950.83</v>
      </c>
      <c r="E788" s="1435">
        <v>2784366.94</v>
      </c>
      <c r="F788" s="1421">
        <f t="shared" si="34"/>
        <v>842583.89000000013</v>
      </c>
      <c r="G788" s="1422">
        <f t="shared" si="32"/>
        <v>0.30261237407164449</v>
      </c>
      <c r="H788" s="1413" t="s">
        <v>874</v>
      </c>
      <c r="I788" s="1413" t="s">
        <v>923</v>
      </c>
    </row>
    <row r="789" spans="1:9">
      <c r="A789" s="1414">
        <v>42041</v>
      </c>
      <c r="B789" s="1408" t="s">
        <v>592</v>
      </c>
      <c r="C789" s="1434">
        <v>27326</v>
      </c>
      <c r="D789" s="1435">
        <v>3539759.06</v>
      </c>
      <c r="E789" s="1435">
        <v>2511496.6800000002</v>
      </c>
      <c r="F789" s="1421">
        <f t="shared" si="34"/>
        <v>1028262.3799999999</v>
      </c>
      <c r="G789" s="1422">
        <f t="shared" si="32"/>
        <v>0.40942215380511665</v>
      </c>
      <c r="H789" s="1413" t="s">
        <v>874</v>
      </c>
      <c r="I789" s="1413" t="s">
        <v>924</v>
      </c>
    </row>
    <row r="790" spans="1:9">
      <c r="A790" s="1414">
        <v>42041</v>
      </c>
      <c r="B790" s="1408" t="s">
        <v>592</v>
      </c>
      <c r="C790" s="1434">
        <v>27342</v>
      </c>
      <c r="D790" s="1435">
        <v>3541831.67</v>
      </c>
      <c r="E790" s="1435">
        <v>2466639.08</v>
      </c>
      <c r="F790" s="1421">
        <f t="shared" si="34"/>
        <v>1075192.5899999999</v>
      </c>
      <c r="G790" s="1422">
        <f t="shared" si="32"/>
        <v>0.43589376277943337</v>
      </c>
      <c r="H790" s="1413" t="s">
        <v>874</v>
      </c>
      <c r="I790" s="1413" t="s">
        <v>925</v>
      </c>
    </row>
    <row r="791" spans="1:9">
      <c r="A791" s="1414">
        <v>42041</v>
      </c>
      <c r="B791" s="1408" t="s">
        <v>592</v>
      </c>
      <c r="C791" s="1434">
        <f>26833+779</f>
        <v>27612</v>
      </c>
      <c r="D791" s="1435">
        <f>3475896.77+100910.2</f>
        <v>3576806.97</v>
      </c>
      <c r="E791" s="1435">
        <f>2778463.53+79737.89</f>
        <v>2858201.42</v>
      </c>
      <c r="F791" s="1421">
        <f t="shared" si="34"/>
        <v>718605.55000000028</v>
      </c>
      <c r="G791" s="1422">
        <f t="shared" si="32"/>
        <v>0.25141879259160127</v>
      </c>
      <c r="H791" s="1413" t="s">
        <v>874</v>
      </c>
      <c r="I791" s="1413" t="s">
        <v>926</v>
      </c>
    </row>
    <row r="792" spans="1:9">
      <c r="A792" s="1414">
        <v>42041</v>
      </c>
      <c r="B792" s="1408" t="s">
        <v>592</v>
      </c>
      <c r="C792" s="1434">
        <v>27374</v>
      </c>
      <c r="D792" s="1435">
        <v>3545976.89</v>
      </c>
      <c r="E792" s="1435">
        <v>2855687.87</v>
      </c>
      <c r="F792" s="1421">
        <f t="shared" si="34"/>
        <v>690289.02</v>
      </c>
      <c r="G792" s="1422">
        <f t="shared" si="32"/>
        <v>0.24172425398858455</v>
      </c>
      <c r="H792" s="1413" t="s">
        <v>874</v>
      </c>
      <c r="I792" s="1413" t="s">
        <v>927</v>
      </c>
    </row>
    <row r="793" spans="1:9">
      <c r="A793" s="1414">
        <v>42044</v>
      </c>
      <c r="B793" s="1408" t="s">
        <v>596</v>
      </c>
      <c r="C793" s="1434">
        <v>18859</v>
      </c>
      <c r="D793" s="1435">
        <v>2381137.34</v>
      </c>
      <c r="E793" s="1435">
        <v>1429151.44</v>
      </c>
      <c r="F793" s="1421">
        <f t="shared" si="34"/>
        <v>951985.89999999991</v>
      </c>
      <c r="G793" s="1422">
        <f t="shared" si="32"/>
        <v>0.6661196800809297</v>
      </c>
      <c r="H793" s="1413" t="s">
        <v>611</v>
      </c>
      <c r="I793" s="1413" t="s">
        <v>597</v>
      </c>
    </row>
    <row r="794" spans="1:9">
      <c r="A794" s="1414">
        <v>42048</v>
      </c>
      <c r="B794" s="1408" t="s">
        <v>321</v>
      </c>
      <c r="C794" s="1436">
        <v>2.8</v>
      </c>
      <c r="D794" s="1437">
        <v>336</v>
      </c>
      <c r="E794" s="1437">
        <f>263.64-2.33</f>
        <v>261.31</v>
      </c>
      <c r="F794" s="1421">
        <f t="shared" si="34"/>
        <v>74.69</v>
      </c>
      <c r="G794" s="1422">
        <f t="shared" si="32"/>
        <v>0.28582909188320382</v>
      </c>
      <c r="H794" s="1413" t="s">
        <v>590</v>
      </c>
      <c r="I794" s="1413"/>
    </row>
    <row r="795" spans="1:9">
      <c r="A795" s="1414">
        <v>42048</v>
      </c>
      <c r="B795" s="1408" t="s">
        <v>489</v>
      </c>
      <c r="C795" s="1434">
        <v>20257</v>
      </c>
      <c r="D795" s="1435">
        <v>769766</v>
      </c>
      <c r="E795" s="1435">
        <f>24463.06-6481.59</f>
        <v>17981.47</v>
      </c>
      <c r="F795" s="1421">
        <f t="shared" si="34"/>
        <v>751784.53</v>
      </c>
      <c r="G795" s="1422">
        <f t="shared" si="32"/>
        <v>41.808847107605771</v>
      </c>
      <c r="H795" s="1413" t="s">
        <v>591</v>
      </c>
      <c r="I795" s="1413"/>
    </row>
    <row r="796" spans="1:9">
      <c r="A796" s="1414">
        <v>42049</v>
      </c>
      <c r="B796" s="1408" t="s">
        <v>321</v>
      </c>
      <c r="C796" s="1436">
        <v>1.6</v>
      </c>
      <c r="D796" s="1437">
        <v>202</v>
      </c>
      <c r="E796" s="1437">
        <f>149.92-0.6</f>
        <v>149.32</v>
      </c>
      <c r="F796" s="1421">
        <f t="shared" si="34"/>
        <v>52.680000000000007</v>
      </c>
      <c r="G796" s="1422">
        <f t="shared" si="32"/>
        <v>0.35279935708545412</v>
      </c>
      <c r="H796" s="1413" t="s">
        <v>590</v>
      </c>
      <c r="I796" s="1413"/>
    </row>
    <row r="797" spans="1:9">
      <c r="A797" s="1414">
        <v>42062</v>
      </c>
      <c r="B797" s="1408" t="s">
        <v>478</v>
      </c>
      <c r="C797" s="1436">
        <v>654</v>
      </c>
      <c r="D797" s="1435">
        <v>60000</v>
      </c>
      <c r="E797" s="1435">
        <f>59908.41+76.32</f>
        <v>59984.73</v>
      </c>
      <c r="F797" s="1421">
        <f t="shared" si="34"/>
        <v>15.269999999996799</v>
      </c>
      <c r="G797" s="1422">
        <f t="shared" si="32"/>
        <v>2.545647867381715E-4</v>
      </c>
      <c r="H797" s="1413" t="s">
        <v>587</v>
      </c>
      <c r="I797" s="1413"/>
    </row>
    <row r="798" spans="1:9">
      <c r="A798" s="1414">
        <v>42062</v>
      </c>
      <c r="B798" s="1408" t="s">
        <v>321</v>
      </c>
      <c r="C798" s="1436">
        <v>196</v>
      </c>
      <c r="D798" s="1435">
        <v>18000</v>
      </c>
      <c r="E798" s="1435">
        <f>17447.91+843.54</f>
        <v>18291.45</v>
      </c>
      <c r="F798" s="1421">
        <f t="shared" si="34"/>
        <v>-291.45000000000073</v>
      </c>
      <c r="G798" s="1422">
        <f t="shared" si="32"/>
        <v>-1.5933673929622895E-2</v>
      </c>
      <c r="H798" s="1413" t="s">
        <v>587</v>
      </c>
      <c r="I798" s="1413"/>
    </row>
    <row r="799" spans="1:9">
      <c r="A799" s="1414">
        <v>42062</v>
      </c>
      <c r="B799" s="1408" t="s">
        <v>476</v>
      </c>
      <c r="C799" s="1434">
        <v>2050</v>
      </c>
      <c r="D799" s="1435">
        <v>191000</v>
      </c>
      <c r="E799" s="1435">
        <f>190034.72+1.75</f>
        <v>190036.47</v>
      </c>
      <c r="F799" s="1421">
        <f t="shared" si="34"/>
        <v>963.52999999999884</v>
      </c>
      <c r="G799" s="1422">
        <f t="shared" si="32"/>
        <v>5.0702373076073181E-3</v>
      </c>
      <c r="H799" s="1413" t="s">
        <v>587</v>
      </c>
      <c r="I799" s="1413"/>
    </row>
    <row r="800" spans="1:9">
      <c r="A800" s="1414">
        <v>42062</v>
      </c>
      <c r="B800" s="1408" t="s">
        <v>320</v>
      </c>
      <c r="C800" s="1434">
        <v>28830</v>
      </c>
      <c r="D800" s="1435">
        <v>192007.8</v>
      </c>
      <c r="E800" s="1437">
        <f>171.42+4.23</f>
        <v>175.64999999999998</v>
      </c>
      <c r="F800" s="1421">
        <f t="shared" si="34"/>
        <v>191832.15</v>
      </c>
      <c r="G800" s="1422">
        <f t="shared" ref="G800:G863" si="35">F800/E800</f>
        <v>1092.1272416737831</v>
      </c>
      <c r="H800" s="1413" t="s">
        <v>599</v>
      </c>
      <c r="I800" s="1413"/>
    </row>
    <row r="801" spans="1:9">
      <c r="A801" s="1415" t="s">
        <v>2</v>
      </c>
      <c r="B801" s="1416"/>
      <c r="C801" s="1417">
        <f>SUM(C802:C823)</f>
        <v>325035.8</v>
      </c>
      <c r="D801" s="1417">
        <f>SUM(D802:D823)</f>
        <v>36286175.090000004</v>
      </c>
      <c r="E801" s="1417">
        <f>SUM(E802:E823)</f>
        <v>30825277.120000001</v>
      </c>
      <c r="F801" s="1417">
        <f>SUM(F802:F823)</f>
        <v>5460897.9700000016</v>
      </c>
      <c r="G801" s="1420">
        <f t="shared" si="35"/>
        <v>0.17715649234040046</v>
      </c>
      <c r="H801" s="1423"/>
      <c r="I801" s="1423"/>
    </row>
    <row r="802" spans="1:9">
      <c r="A802" s="1414">
        <v>42065</v>
      </c>
      <c r="B802" s="1408" t="s">
        <v>489</v>
      </c>
      <c r="C802" s="1434">
        <v>20469</v>
      </c>
      <c r="D802" s="1435">
        <v>777822</v>
      </c>
      <c r="E802" s="1435">
        <v>18169.669999999998</v>
      </c>
      <c r="F802" s="1421">
        <f t="shared" ref="F802:F832" si="36">D802-E802</f>
        <v>759652.33</v>
      </c>
      <c r="G802" s="1422">
        <f t="shared" si="35"/>
        <v>41.808812708210993</v>
      </c>
      <c r="H802" s="1413" t="s">
        <v>591</v>
      </c>
      <c r="I802" s="1413"/>
    </row>
    <row r="803" spans="1:9">
      <c r="A803" s="1414">
        <v>42067</v>
      </c>
      <c r="B803" s="1408" t="s">
        <v>592</v>
      </c>
      <c r="C803" s="1434">
        <f>26243+757</f>
        <v>27000</v>
      </c>
      <c r="D803" s="1435">
        <f>3080160.38+88849.65</f>
        <v>3169010.03</v>
      </c>
      <c r="E803" s="1435">
        <f>2766497.37+77486.14</f>
        <v>2843983.5100000002</v>
      </c>
      <c r="F803" s="1421">
        <f t="shared" si="36"/>
        <v>325026.51999999955</v>
      </c>
      <c r="G803" s="1422">
        <f t="shared" si="35"/>
        <v>0.11428565561549249</v>
      </c>
      <c r="H803" s="1413" t="s">
        <v>874</v>
      </c>
      <c r="I803" s="1413" t="s">
        <v>928</v>
      </c>
    </row>
    <row r="804" spans="1:9">
      <c r="A804" s="1414">
        <v>42067</v>
      </c>
      <c r="B804" s="1408" t="s">
        <v>592</v>
      </c>
      <c r="C804" s="1434">
        <v>26983</v>
      </c>
      <c r="D804" s="1435">
        <v>3167014.73</v>
      </c>
      <c r="E804" s="1435">
        <v>2801152.73</v>
      </c>
      <c r="F804" s="1421">
        <f t="shared" si="36"/>
        <v>365862</v>
      </c>
      <c r="G804" s="1422">
        <f t="shared" si="35"/>
        <v>0.13061122875652695</v>
      </c>
      <c r="H804" s="1413" t="s">
        <v>874</v>
      </c>
      <c r="I804" s="1413" t="s">
        <v>929</v>
      </c>
    </row>
    <row r="805" spans="1:9">
      <c r="A805" s="1414">
        <v>42067</v>
      </c>
      <c r="B805" s="1408" t="s">
        <v>592</v>
      </c>
      <c r="C805" s="1434">
        <v>27287</v>
      </c>
      <c r="D805" s="1435">
        <v>3202695.43</v>
      </c>
      <c r="E805" s="1435">
        <v>2816638.86</v>
      </c>
      <c r="F805" s="1421">
        <f t="shared" si="36"/>
        <v>386056.5700000003</v>
      </c>
      <c r="G805" s="1422">
        <f t="shared" si="35"/>
        <v>0.13706285725249148</v>
      </c>
      <c r="H805" s="1413" t="s">
        <v>874</v>
      </c>
      <c r="I805" s="1413" t="s">
        <v>930</v>
      </c>
    </row>
    <row r="806" spans="1:9">
      <c r="A806" s="1414">
        <v>42067</v>
      </c>
      <c r="B806" s="1408" t="s">
        <v>592</v>
      </c>
      <c r="C806" s="1434">
        <v>27394</v>
      </c>
      <c r="D806" s="1435">
        <v>3215254.04</v>
      </c>
      <c r="E806" s="1435">
        <v>2868695.01</v>
      </c>
      <c r="F806" s="1421">
        <f t="shared" si="36"/>
        <v>346559.03000000026</v>
      </c>
      <c r="G806" s="1422">
        <f t="shared" si="35"/>
        <v>0.12080720634014011</v>
      </c>
      <c r="H806" s="1413" t="s">
        <v>874</v>
      </c>
      <c r="I806" s="1413" t="s">
        <v>931</v>
      </c>
    </row>
    <row r="807" spans="1:9">
      <c r="A807" s="1414">
        <v>42071</v>
      </c>
      <c r="B807" s="1408" t="s">
        <v>321</v>
      </c>
      <c r="C807" s="1436">
        <v>2</v>
      </c>
      <c r="D807" s="1437">
        <v>240</v>
      </c>
      <c r="E807" s="1437">
        <v>180.92</v>
      </c>
      <c r="F807" s="1421">
        <f t="shared" si="36"/>
        <v>59.080000000000013</v>
      </c>
      <c r="G807" s="1422">
        <f t="shared" si="35"/>
        <v>0.32655317267300471</v>
      </c>
      <c r="H807" s="1413" t="s">
        <v>590</v>
      </c>
      <c r="I807" s="1413"/>
    </row>
    <row r="808" spans="1:9">
      <c r="A808" s="1414">
        <v>42072</v>
      </c>
      <c r="B808" s="1408" t="s">
        <v>321</v>
      </c>
      <c r="C808" s="1436">
        <v>1.6</v>
      </c>
      <c r="D808" s="1437">
        <v>192</v>
      </c>
      <c r="E808" s="1437">
        <v>144.37</v>
      </c>
      <c r="F808" s="1421">
        <f t="shared" si="36"/>
        <v>47.629999999999995</v>
      </c>
      <c r="G808" s="1422">
        <f t="shared" si="35"/>
        <v>0.32991618757359559</v>
      </c>
      <c r="H808" s="1413" t="s">
        <v>590</v>
      </c>
      <c r="I808" s="1413"/>
    </row>
    <row r="809" spans="1:9">
      <c r="A809" s="1414">
        <v>42073</v>
      </c>
      <c r="B809" s="1408" t="s">
        <v>478</v>
      </c>
      <c r="C809" s="1436">
        <v>61</v>
      </c>
      <c r="D809" s="1435">
        <v>6000</v>
      </c>
      <c r="E809" s="1435">
        <v>5495.3</v>
      </c>
      <c r="F809" s="1421">
        <f t="shared" si="36"/>
        <v>504.69999999999982</v>
      </c>
      <c r="G809" s="1422">
        <f t="shared" si="35"/>
        <v>9.1842119629501534E-2</v>
      </c>
      <c r="H809" s="1413" t="s">
        <v>587</v>
      </c>
      <c r="I809" s="1413"/>
    </row>
    <row r="810" spans="1:9">
      <c r="A810" s="1414">
        <v>42073</v>
      </c>
      <c r="B810" s="1408" t="s">
        <v>321</v>
      </c>
      <c r="C810" s="1436">
        <v>446</v>
      </c>
      <c r="D810" s="1435">
        <v>41000</v>
      </c>
      <c r="E810" s="1435">
        <v>40051.57</v>
      </c>
      <c r="F810" s="1421">
        <f t="shared" si="36"/>
        <v>948.43000000000029</v>
      </c>
      <c r="G810" s="1422">
        <f t="shared" si="35"/>
        <v>2.3680220276009162E-2</v>
      </c>
      <c r="H810" s="1413" t="s">
        <v>587</v>
      </c>
      <c r="I810" s="1413"/>
    </row>
    <row r="811" spans="1:9">
      <c r="A811" s="1414">
        <v>42073</v>
      </c>
      <c r="B811" s="1408" t="s">
        <v>476</v>
      </c>
      <c r="C811" s="1434">
        <v>1647</v>
      </c>
      <c r="D811" s="1435">
        <v>147000</v>
      </c>
      <c r="E811" s="1435">
        <v>146237.13</v>
      </c>
      <c r="F811" s="1421">
        <f t="shared" si="36"/>
        <v>762.86999999999534</v>
      </c>
      <c r="G811" s="1422">
        <f t="shared" si="35"/>
        <v>5.2166641946542261E-3</v>
      </c>
      <c r="H811" s="1413" t="s">
        <v>587</v>
      </c>
      <c r="I811" s="1413"/>
    </row>
    <row r="812" spans="1:9">
      <c r="A812" s="1414">
        <v>42074</v>
      </c>
      <c r="B812" s="1408" t="s">
        <v>321</v>
      </c>
      <c r="C812" s="1436">
        <v>2.8</v>
      </c>
      <c r="D812" s="1437">
        <v>336</v>
      </c>
      <c r="E812" s="1437">
        <v>251.82</v>
      </c>
      <c r="F812" s="1421">
        <f t="shared" si="36"/>
        <v>84.18</v>
      </c>
      <c r="G812" s="1422">
        <f t="shared" si="35"/>
        <v>0.33428639504407914</v>
      </c>
      <c r="H812" s="1413" t="s">
        <v>590</v>
      </c>
      <c r="I812" s="1413"/>
    </row>
    <row r="813" spans="1:9">
      <c r="A813" s="1414">
        <v>42075</v>
      </c>
      <c r="B813" s="1408" t="s">
        <v>592</v>
      </c>
      <c r="C813" s="1434">
        <v>27435</v>
      </c>
      <c r="D813" s="1435">
        <v>3219124.09</v>
      </c>
      <c r="E813" s="1435">
        <v>2864097.17</v>
      </c>
      <c r="F813" s="1421">
        <f t="shared" si="36"/>
        <v>355026.91999999993</v>
      </c>
      <c r="G813" s="1422">
        <f t="shared" si="35"/>
        <v>0.12395770776170975</v>
      </c>
      <c r="H813" s="1413" t="s">
        <v>874</v>
      </c>
      <c r="I813" s="1413" t="s">
        <v>932</v>
      </c>
    </row>
    <row r="814" spans="1:9">
      <c r="A814" s="1414">
        <v>42075</v>
      </c>
      <c r="B814" s="1408" t="s">
        <v>592</v>
      </c>
      <c r="C814" s="1434">
        <v>27338</v>
      </c>
      <c r="D814" s="1435">
        <v>3207742.46</v>
      </c>
      <c r="E814" s="1435">
        <v>2601366.4900000002</v>
      </c>
      <c r="F814" s="1421">
        <f t="shared" si="36"/>
        <v>606375.96999999974</v>
      </c>
      <c r="G814" s="1422">
        <f t="shared" si="35"/>
        <v>0.23309901635582292</v>
      </c>
      <c r="H814" s="1413" t="s">
        <v>874</v>
      </c>
      <c r="I814" s="1413" t="s">
        <v>933</v>
      </c>
    </row>
    <row r="815" spans="1:9">
      <c r="A815" s="1414">
        <v>42075</v>
      </c>
      <c r="B815" s="1408" t="s">
        <v>592</v>
      </c>
      <c r="C815" s="1434">
        <v>27486</v>
      </c>
      <c r="D815" s="1435">
        <v>3225108.25</v>
      </c>
      <c r="E815" s="1435">
        <v>2781099.16</v>
      </c>
      <c r="F815" s="1421">
        <f t="shared" si="36"/>
        <v>444009.08999999985</v>
      </c>
      <c r="G815" s="1422">
        <f t="shared" si="35"/>
        <v>0.15965237643666033</v>
      </c>
      <c r="H815" s="1413" t="s">
        <v>874</v>
      </c>
      <c r="I815" s="1413" t="s">
        <v>934</v>
      </c>
    </row>
    <row r="816" spans="1:9">
      <c r="A816" s="1414">
        <v>42075</v>
      </c>
      <c r="B816" s="1408" t="s">
        <v>592</v>
      </c>
      <c r="C816" s="1434">
        <v>27428</v>
      </c>
      <c r="D816" s="1435">
        <v>3218302.74</v>
      </c>
      <c r="E816" s="1435">
        <v>2823395.11</v>
      </c>
      <c r="F816" s="1421">
        <f t="shared" si="36"/>
        <v>394907.63000000035</v>
      </c>
      <c r="G816" s="1422">
        <f t="shared" si="35"/>
        <v>0.13986977189317309</v>
      </c>
      <c r="H816" s="1413" t="s">
        <v>874</v>
      </c>
      <c r="I816" s="1413" t="s">
        <v>935</v>
      </c>
    </row>
    <row r="817" spans="1:9">
      <c r="A817" s="1414">
        <v>42076</v>
      </c>
      <c r="B817" s="1408" t="s">
        <v>321</v>
      </c>
      <c r="C817" s="1436">
        <v>0.4</v>
      </c>
      <c r="D817" s="1437">
        <v>48</v>
      </c>
      <c r="E817" s="1437">
        <v>36.56</v>
      </c>
      <c r="F817" s="1421">
        <f t="shared" si="36"/>
        <v>11.439999999999998</v>
      </c>
      <c r="G817" s="1422">
        <f t="shared" si="35"/>
        <v>0.31291028446389491</v>
      </c>
      <c r="H817" s="1413" t="s">
        <v>590</v>
      </c>
      <c r="I817" s="1413"/>
    </row>
    <row r="818" spans="1:9">
      <c r="A818" s="1414">
        <v>42079</v>
      </c>
      <c r="B818" s="1408" t="s">
        <v>772</v>
      </c>
      <c r="C818" s="1434">
        <v>1559</v>
      </c>
      <c r="D818" s="1435">
        <v>116000</v>
      </c>
      <c r="E818" s="1435">
        <v>115509.51</v>
      </c>
      <c r="F818" s="1421">
        <f t="shared" si="36"/>
        <v>490.49000000000524</v>
      </c>
      <c r="G818" s="1422">
        <f t="shared" si="35"/>
        <v>4.2463170348485185E-3</v>
      </c>
      <c r="H818" s="1413" t="s">
        <v>587</v>
      </c>
      <c r="I818" s="1413"/>
    </row>
    <row r="819" spans="1:9">
      <c r="A819" s="1414">
        <v>42079</v>
      </c>
      <c r="B819" s="1408" t="s">
        <v>478</v>
      </c>
      <c r="C819" s="1436">
        <v>662</v>
      </c>
      <c r="D819" s="1435">
        <v>61000</v>
      </c>
      <c r="E819" s="1435">
        <v>60884.29</v>
      </c>
      <c r="F819" s="1421">
        <f t="shared" si="36"/>
        <v>115.70999999999913</v>
      </c>
      <c r="G819" s="1422">
        <f t="shared" si="35"/>
        <v>1.9004902578316858E-3</v>
      </c>
      <c r="H819" s="1413" t="s">
        <v>587</v>
      </c>
      <c r="I819" s="1413"/>
    </row>
    <row r="820" spans="1:9">
      <c r="A820" s="1414">
        <v>42079</v>
      </c>
      <c r="B820" s="1408" t="s">
        <v>476</v>
      </c>
      <c r="C820" s="1436">
        <v>375</v>
      </c>
      <c r="D820" s="1435">
        <v>35000</v>
      </c>
      <c r="E820" s="1435">
        <v>34633.1</v>
      </c>
      <c r="F820" s="1421">
        <f t="shared" si="36"/>
        <v>366.90000000000146</v>
      </c>
      <c r="G820" s="1422">
        <f t="shared" si="35"/>
        <v>1.0593911604794301E-2</v>
      </c>
      <c r="H820" s="1413" t="s">
        <v>587</v>
      </c>
      <c r="I820" s="1413"/>
    </row>
    <row r="821" spans="1:9">
      <c r="A821" s="1414">
        <v>42080</v>
      </c>
      <c r="B821" s="1408" t="s">
        <v>592</v>
      </c>
      <c r="C821" s="1434">
        <v>27418</v>
      </c>
      <c r="D821" s="1435">
        <v>3189926.33</v>
      </c>
      <c r="E821" s="1435">
        <v>2894420.02</v>
      </c>
      <c r="F821" s="1421">
        <f t="shared" si="36"/>
        <v>295506.31000000006</v>
      </c>
      <c r="G821" s="1422">
        <f t="shared" si="35"/>
        <v>0.10209517207526779</v>
      </c>
      <c r="H821" s="1413" t="s">
        <v>874</v>
      </c>
      <c r="I821" s="1413" t="s">
        <v>936</v>
      </c>
    </row>
    <row r="822" spans="1:9">
      <c r="A822" s="1414">
        <v>42080</v>
      </c>
      <c r="B822" s="1408" t="s">
        <v>592</v>
      </c>
      <c r="C822" s="1434">
        <v>27065</v>
      </c>
      <c r="D822" s="1435">
        <v>3148856.81</v>
      </c>
      <c r="E822" s="1435">
        <v>2224447.09</v>
      </c>
      <c r="F822" s="1421">
        <f t="shared" si="36"/>
        <v>924409.7200000002</v>
      </c>
      <c r="G822" s="1422">
        <f t="shared" si="35"/>
        <v>0.41556831095497093</v>
      </c>
      <c r="H822" s="1413" t="s">
        <v>874</v>
      </c>
      <c r="I822" s="1413" t="s">
        <v>937</v>
      </c>
    </row>
    <row r="823" spans="1:9">
      <c r="A823" s="1414">
        <v>42080</v>
      </c>
      <c r="B823" s="1408" t="s">
        <v>592</v>
      </c>
      <c r="C823" s="1434">
        <v>26976</v>
      </c>
      <c r="D823" s="1435">
        <v>3138502.18</v>
      </c>
      <c r="E823" s="1435">
        <v>2884387.73</v>
      </c>
      <c r="F823" s="1421">
        <f t="shared" si="36"/>
        <v>254114.45000000019</v>
      </c>
      <c r="G823" s="1422">
        <f t="shared" si="35"/>
        <v>8.8099962205844012E-2</v>
      </c>
      <c r="H823" s="1413" t="s">
        <v>874</v>
      </c>
      <c r="I823" s="1413" t="s">
        <v>938</v>
      </c>
    </row>
    <row r="824" spans="1:9">
      <c r="A824" s="1414">
        <v>42080</v>
      </c>
      <c r="B824" s="1408" t="s">
        <v>592</v>
      </c>
      <c r="C824" s="1434">
        <v>27073</v>
      </c>
      <c r="D824" s="1435">
        <v>3149787.57</v>
      </c>
      <c r="E824" s="1435">
        <v>2843466.37</v>
      </c>
      <c r="F824" s="1421">
        <f t="shared" si="36"/>
        <v>306321.19999999972</v>
      </c>
      <c r="G824" s="1422">
        <f t="shared" si="35"/>
        <v>0.10772808964151727</v>
      </c>
      <c r="H824" s="1413" t="s">
        <v>874</v>
      </c>
      <c r="I824" s="1413" t="s">
        <v>939</v>
      </c>
    </row>
    <row r="825" spans="1:9">
      <c r="A825" s="1414">
        <v>42082</v>
      </c>
      <c r="B825" s="1408" t="s">
        <v>478</v>
      </c>
      <c r="C825" s="1436">
        <v>290</v>
      </c>
      <c r="D825" s="1435">
        <v>27500</v>
      </c>
      <c r="E825" s="1435">
        <v>27298.74</v>
      </c>
      <c r="F825" s="1421">
        <f t="shared" si="36"/>
        <v>201.2599999999984</v>
      </c>
      <c r="G825" s="1422">
        <f t="shared" si="35"/>
        <v>7.3725014414584115E-3</v>
      </c>
      <c r="H825" s="1413" t="s">
        <v>587</v>
      </c>
      <c r="I825" s="1413"/>
    </row>
    <row r="826" spans="1:9">
      <c r="A826" s="1414">
        <v>42082</v>
      </c>
      <c r="B826" s="1408" t="s">
        <v>476</v>
      </c>
      <c r="C826" s="1436">
        <v>275</v>
      </c>
      <c r="D826" s="1435">
        <v>28200</v>
      </c>
      <c r="E826" s="1435">
        <v>26125</v>
      </c>
      <c r="F826" s="1421">
        <f t="shared" si="36"/>
        <v>2075</v>
      </c>
      <c r="G826" s="1422">
        <f t="shared" si="35"/>
        <v>7.9425837320574164E-2</v>
      </c>
      <c r="H826" s="1413" t="s">
        <v>587</v>
      </c>
      <c r="I826" s="1413"/>
    </row>
    <row r="827" spans="1:9">
      <c r="A827" s="1414">
        <v>42082</v>
      </c>
      <c r="B827" s="1408" t="s">
        <v>489</v>
      </c>
      <c r="C827" s="1434">
        <v>14855</v>
      </c>
      <c r="D827" s="1435">
        <v>564490</v>
      </c>
      <c r="E827" s="1435">
        <v>5165.21</v>
      </c>
      <c r="F827" s="1421">
        <f t="shared" si="36"/>
        <v>559324.79</v>
      </c>
      <c r="G827" s="1422">
        <f t="shared" si="35"/>
        <v>108.28694089882116</v>
      </c>
      <c r="H827" s="1413" t="s">
        <v>591</v>
      </c>
      <c r="I827" s="1413"/>
    </row>
    <row r="828" spans="1:9">
      <c r="A828" s="1414">
        <v>42086</v>
      </c>
      <c r="B828" s="1408" t="s">
        <v>592</v>
      </c>
      <c r="C828" s="1434">
        <v>27205</v>
      </c>
      <c r="D828" s="1435">
        <v>3041069.96</v>
      </c>
      <c r="E828" s="1435">
        <v>2876523.71</v>
      </c>
      <c r="F828" s="1421">
        <f t="shared" si="36"/>
        <v>164546.25</v>
      </c>
      <c r="G828" s="1422">
        <f t="shared" si="35"/>
        <v>5.7203161381207596E-2</v>
      </c>
      <c r="H828" s="1413" t="s">
        <v>874</v>
      </c>
      <c r="I828" s="1413" t="s">
        <v>940</v>
      </c>
    </row>
    <row r="829" spans="1:9">
      <c r="A829" s="1414">
        <v>42086</v>
      </c>
      <c r="B829" s="1408" t="s">
        <v>592</v>
      </c>
      <c r="C829" s="1434">
        <v>27027</v>
      </c>
      <c r="D829" s="1435">
        <v>3021172.5</v>
      </c>
      <c r="E829" s="1435">
        <v>2742789.81</v>
      </c>
      <c r="F829" s="1421">
        <f t="shared" si="36"/>
        <v>278382.68999999994</v>
      </c>
      <c r="G829" s="1422">
        <f t="shared" si="35"/>
        <v>0.10149618063514679</v>
      </c>
      <c r="H829" s="1413" t="s">
        <v>874</v>
      </c>
      <c r="I829" s="1413" t="s">
        <v>941</v>
      </c>
    </row>
    <row r="830" spans="1:9">
      <c r="A830" s="1414">
        <v>42086</v>
      </c>
      <c r="B830" s="1408" t="s">
        <v>592</v>
      </c>
      <c r="C830" s="1434">
        <v>27325</v>
      </c>
      <c r="D830" s="1435">
        <v>3054483.98</v>
      </c>
      <c r="E830" s="1435">
        <v>2835113.23</v>
      </c>
      <c r="F830" s="1421">
        <f t="shared" si="36"/>
        <v>219370.75</v>
      </c>
      <c r="G830" s="1422">
        <f t="shared" si="35"/>
        <v>7.7376362848125116E-2</v>
      </c>
      <c r="H830" s="1413" t="s">
        <v>874</v>
      </c>
      <c r="I830" s="1413" t="s">
        <v>942</v>
      </c>
    </row>
    <row r="831" spans="1:9">
      <c r="A831" s="1414">
        <v>42086</v>
      </c>
      <c r="B831" s="1408" t="s">
        <v>592</v>
      </c>
      <c r="C831" s="1434">
        <v>27317</v>
      </c>
      <c r="D831" s="1435">
        <v>3053589.71</v>
      </c>
      <c r="E831" s="1435">
        <v>2890006.72</v>
      </c>
      <c r="F831" s="1421">
        <f t="shared" si="36"/>
        <v>163582.98999999976</v>
      </c>
      <c r="G831" s="1422">
        <f t="shared" si="35"/>
        <v>5.6602979110027728E-2</v>
      </c>
      <c r="H831" s="1413" t="s">
        <v>874</v>
      </c>
      <c r="I831" s="1413" t="s">
        <v>943</v>
      </c>
    </row>
    <row r="832" spans="1:9">
      <c r="A832" s="1414">
        <v>42089</v>
      </c>
      <c r="B832" s="1408" t="s">
        <v>321</v>
      </c>
      <c r="C832" s="1436">
        <v>3.2</v>
      </c>
      <c r="D832" s="1437">
        <v>400</v>
      </c>
      <c r="E832" s="1437">
        <v>298.13</v>
      </c>
      <c r="F832" s="1421">
        <f t="shared" si="36"/>
        <v>101.87</v>
      </c>
      <c r="G832" s="1422">
        <f t="shared" si="35"/>
        <v>0.34169657531949149</v>
      </c>
      <c r="H832" s="1413" t="s">
        <v>590</v>
      </c>
      <c r="I832" s="1413"/>
    </row>
    <row r="833" spans="1:9">
      <c r="A833" s="1415" t="s">
        <v>3</v>
      </c>
      <c r="B833" s="1416"/>
      <c r="C833" s="1417">
        <f>SUM(C834:C849)</f>
        <v>434880</v>
      </c>
      <c r="D833" s="1417">
        <f>SUM(D834:D849)</f>
        <v>46375564.280000001</v>
      </c>
      <c r="E833" s="1417">
        <f>SUM(E834:E849)</f>
        <v>44601112.039999999</v>
      </c>
      <c r="F833" s="1417">
        <f>SUM(F834:F849)</f>
        <v>1774452.2399999998</v>
      </c>
      <c r="G833" s="1420">
        <f t="shared" si="35"/>
        <v>3.9784932680795103E-2</v>
      </c>
      <c r="H833" s="1423"/>
      <c r="I833" s="1423"/>
    </row>
    <row r="834" spans="1:9">
      <c r="A834" s="1414">
        <v>42096</v>
      </c>
      <c r="B834" s="1408" t="s">
        <v>592</v>
      </c>
      <c r="C834" s="1434">
        <v>27316</v>
      </c>
      <c r="D834" s="1435">
        <v>3177772.36</v>
      </c>
      <c r="E834" s="1435">
        <v>2879887.43</v>
      </c>
      <c r="F834" s="1421">
        <f t="shared" ref="F834:F849" si="37">D834-E834</f>
        <v>297884.9299999997</v>
      </c>
      <c r="G834" s="1422">
        <f t="shared" si="35"/>
        <v>0.10343631035606127</v>
      </c>
      <c r="H834" s="1413" t="s">
        <v>874</v>
      </c>
      <c r="I834" s="1413" t="s">
        <v>944</v>
      </c>
    </row>
    <row r="835" spans="1:9">
      <c r="A835" s="1414">
        <v>42096</v>
      </c>
      <c r="B835" s="1408" t="s">
        <v>592</v>
      </c>
      <c r="C835" s="1434">
        <v>27161</v>
      </c>
      <c r="D835" s="1435">
        <v>3159740.63</v>
      </c>
      <c r="E835" s="1435">
        <v>2847531.45</v>
      </c>
      <c r="F835" s="1421">
        <f t="shared" si="37"/>
        <v>312209.1799999997</v>
      </c>
      <c r="G835" s="1422">
        <f t="shared" si="35"/>
        <v>0.1096420480272482</v>
      </c>
      <c r="H835" s="1413" t="s">
        <v>874</v>
      </c>
      <c r="I835" s="1413" t="s">
        <v>945</v>
      </c>
    </row>
    <row r="836" spans="1:9">
      <c r="A836" s="1414">
        <v>42096</v>
      </c>
      <c r="B836" s="1408" t="s">
        <v>592</v>
      </c>
      <c r="C836" s="1434">
        <v>27212</v>
      </c>
      <c r="D836" s="1435">
        <v>3165673.65</v>
      </c>
      <c r="E836" s="1435">
        <v>2883353</v>
      </c>
      <c r="F836" s="1421">
        <f t="shared" si="37"/>
        <v>282320.64999999991</v>
      </c>
      <c r="G836" s="1422">
        <f t="shared" si="35"/>
        <v>9.7914008447803624E-2</v>
      </c>
      <c r="H836" s="1413" t="s">
        <v>874</v>
      </c>
      <c r="I836" s="1413" t="s">
        <v>946</v>
      </c>
    </row>
    <row r="837" spans="1:9">
      <c r="A837" s="1414">
        <v>42096</v>
      </c>
      <c r="B837" s="1408" t="s">
        <v>592</v>
      </c>
      <c r="C837" s="1434">
        <v>27128</v>
      </c>
      <c r="D837" s="1435">
        <v>3155901.62</v>
      </c>
      <c r="E837" s="1435">
        <v>2905839.76</v>
      </c>
      <c r="F837" s="1421">
        <f t="shared" si="37"/>
        <v>250061.86000000034</v>
      </c>
      <c r="G837" s="1422">
        <f t="shared" si="35"/>
        <v>8.6054937867599532E-2</v>
      </c>
      <c r="H837" s="1413" t="s">
        <v>874</v>
      </c>
      <c r="I837" s="1413" t="s">
        <v>947</v>
      </c>
    </row>
    <row r="838" spans="1:9">
      <c r="A838" s="1414">
        <v>42108</v>
      </c>
      <c r="B838" s="1408" t="s">
        <v>592</v>
      </c>
      <c r="C838" s="1434">
        <v>27405</v>
      </c>
      <c r="D838" s="1435">
        <v>2847965.22</v>
      </c>
      <c r="E838" s="1435">
        <v>2857140.45</v>
      </c>
      <c r="F838" s="1421">
        <f t="shared" si="37"/>
        <v>-9175.2299999999814</v>
      </c>
      <c r="G838" s="1422">
        <f t="shared" si="35"/>
        <v>-3.2113332055482189E-3</v>
      </c>
      <c r="H838" s="1413" t="s">
        <v>874</v>
      </c>
      <c r="I838" s="1413" t="s">
        <v>948</v>
      </c>
    </row>
    <row r="839" spans="1:9">
      <c r="A839" s="1414">
        <v>42108</v>
      </c>
      <c r="B839" s="1408" t="s">
        <v>592</v>
      </c>
      <c r="C839" s="1434">
        <v>26959</v>
      </c>
      <c r="D839" s="1435">
        <v>2801616.29</v>
      </c>
      <c r="E839" s="1435">
        <v>2835379.68</v>
      </c>
      <c r="F839" s="1421">
        <f t="shared" si="37"/>
        <v>-33763.39000000013</v>
      </c>
      <c r="G839" s="1422">
        <f t="shared" si="35"/>
        <v>-1.1907890233593029E-2</v>
      </c>
      <c r="H839" s="1413" t="s">
        <v>874</v>
      </c>
      <c r="I839" s="1413" t="s">
        <v>949</v>
      </c>
    </row>
    <row r="840" spans="1:9">
      <c r="A840" s="1414">
        <v>42108</v>
      </c>
      <c r="B840" s="1408" t="s">
        <v>592</v>
      </c>
      <c r="C840" s="1434">
        <v>27424</v>
      </c>
      <c r="D840" s="1435">
        <v>2849939.73</v>
      </c>
      <c r="E840" s="1435">
        <v>2843774.79</v>
      </c>
      <c r="F840" s="1421">
        <f t="shared" si="37"/>
        <v>6164.9399999999441</v>
      </c>
      <c r="G840" s="1422">
        <f t="shared" si="35"/>
        <v>2.1678720908838017E-3</v>
      </c>
      <c r="H840" s="1413" t="s">
        <v>874</v>
      </c>
      <c r="I840" s="1413" t="s">
        <v>950</v>
      </c>
    </row>
    <row r="841" spans="1:9">
      <c r="A841" s="1414">
        <v>42108</v>
      </c>
      <c r="B841" s="1408" t="s">
        <v>592</v>
      </c>
      <c r="C841" s="1434">
        <v>26910</v>
      </c>
      <c r="D841" s="1435">
        <v>2796524.14</v>
      </c>
      <c r="E841" s="1435">
        <v>2867546.03</v>
      </c>
      <c r="F841" s="1421">
        <f t="shared" si="37"/>
        <v>-71021.889999999665</v>
      </c>
      <c r="G841" s="1422">
        <f t="shared" si="35"/>
        <v>-2.4767480367176416E-2</v>
      </c>
      <c r="H841" s="1413" t="s">
        <v>874</v>
      </c>
      <c r="I841" s="1413" t="s">
        <v>951</v>
      </c>
    </row>
    <row r="842" spans="1:9">
      <c r="A842" s="1414">
        <v>42116</v>
      </c>
      <c r="B842" s="1408" t="s">
        <v>592</v>
      </c>
      <c r="C842" s="1434">
        <v>27459</v>
      </c>
      <c r="D842" s="1435">
        <v>2896497.25</v>
      </c>
      <c r="E842" s="1435">
        <v>2884052.84</v>
      </c>
      <c r="F842" s="1421">
        <f t="shared" si="37"/>
        <v>12444.410000000149</v>
      </c>
      <c r="G842" s="1422">
        <f t="shared" si="35"/>
        <v>4.3149036062737848E-3</v>
      </c>
      <c r="H842" s="1413" t="s">
        <v>874</v>
      </c>
      <c r="I842" s="1413" t="s">
        <v>952</v>
      </c>
    </row>
    <row r="843" spans="1:9">
      <c r="A843" s="1414">
        <v>42116</v>
      </c>
      <c r="B843" s="1408" t="s">
        <v>592</v>
      </c>
      <c r="C843" s="1434">
        <v>27116</v>
      </c>
      <c r="D843" s="1435">
        <v>2860316.08</v>
      </c>
      <c r="E843" s="1435">
        <v>2880505.82</v>
      </c>
      <c r="F843" s="1421">
        <f t="shared" si="37"/>
        <v>-20189.739999999758</v>
      </c>
      <c r="G843" s="1422">
        <f t="shared" si="35"/>
        <v>-7.0090953678405548E-3</v>
      </c>
      <c r="H843" s="1413" t="s">
        <v>874</v>
      </c>
      <c r="I843" s="1413" t="s">
        <v>953</v>
      </c>
    </row>
    <row r="844" spans="1:9">
      <c r="A844" s="1414">
        <v>42116</v>
      </c>
      <c r="B844" s="1408" t="s">
        <v>592</v>
      </c>
      <c r="C844" s="1434">
        <v>27344</v>
      </c>
      <c r="D844" s="1435">
        <v>2884366.54</v>
      </c>
      <c r="E844" s="1435">
        <v>2856529.67</v>
      </c>
      <c r="F844" s="1421">
        <f t="shared" si="37"/>
        <v>27836.870000000112</v>
      </c>
      <c r="G844" s="1422">
        <f t="shared" si="35"/>
        <v>9.7449959271734485E-3</v>
      </c>
      <c r="H844" s="1413" t="s">
        <v>874</v>
      </c>
      <c r="I844" s="1413" t="s">
        <v>954</v>
      </c>
    </row>
    <row r="845" spans="1:9">
      <c r="A845" s="1414">
        <v>42116</v>
      </c>
      <c r="B845" s="1408" t="s">
        <v>592</v>
      </c>
      <c r="C845" s="1434">
        <v>27071</v>
      </c>
      <c r="D845" s="1435">
        <v>2728678.8</v>
      </c>
      <c r="E845" s="1435">
        <v>2829229.99</v>
      </c>
      <c r="F845" s="1421">
        <f t="shared" si="37"/>
        <v>-100551.19000000041</v>
      </c>
      <c r="G845" s="1422">
        <f t="shared" si="35"/>
        <v>-3.5540125884216435E-2</v>
      </c>
      <c r="H845" s="1413" t="s">
        <v>874</v>
      </c>
      <c r="I845" s="1413" t="s">
        <v>955</v>
      </c>
    </row>
    <row r="846" spans="1:9">
      <c r="A846" s="1414">
        <v>42116</v>
      </c>
      <c r="B846" s="1408" t="s">
        <v>592</v>
      </c>
      <c r="C846" s="1434">
        <v>27045</v>
      </c>
      <c r="D846" s="1435">
        <v>2726058.07</v>
      </c>
      <c r="E846" s="1435">
        <f>2654560.19-156933.68</f>
        <v>2497626.5099999998</v>
      </c>
      <c r="F846" s="1421">
        <f t="shared" si="37"/>
        <v>228431.56000000006</v>
      </c>
      <c r="G846" s="1422">
        <f t="shared" si="35"/>
        <v>9.1459455240967991E-2</v>
      </c>
      <c r="H846" s="1413" t="s">
        <v>874</v>
      </c>
      <c r="I846" s="1413" t="s">
        <v>956</v>
      </c>
    </row>
    <row r="847" spans="1:9">
      <c r="A847" s="1414">
        <v>42116</v>
      </c>
      <c r="B847" s="1408" t="s">
        <v>592</v>
      </c>
      <c r="C847" s="1434">
        <v>27070</v>
      </c>
      <c r="D847" s="1435">
        <v>2728578</v>
      </c>
      <c r="E847" s="1435">
        <f>2705469.33-123721.84</f>
        <v>2581747.4900000002</v>
      </c>
      <c r="F847" s="1421">
        <f t="shared" si="37"/>
        <v>146830.50999999978</v>
      </c>
      <c r="G847" s="1422">
        <f t="shared" si="35"/>
        <v>5.6872529388999143E-2</v>
      </c>
      <c r="H847" s="1413" t="s">
        <v>874</v>
      </c>
      <c r="I847" s="1413" t="s">
        <v>957</v>
      </c>
    </row>
    <row r="848" spans="1:9">
      <c r="A848" s="1414">
        <v>42116</v>
      </c>
      <c r="B848" s="1408" t="s">
        <v>592</v>
      </c>
      <c r="C848" s="1434">
        <v>27233</v>
      </c>
      <c r="D848" s="1435">
        <v>2745007.93</v>
      </c>
      <c r="E848" s="1435">
        <f>2714193.43-114481.13</f>
        <v>2599712.3000000003</v>
      </c>
      <c r="F848" s="1421">
        <f t="shared" si="37"/>
        <v>145295.62999999989</v>
      </c>
      <c r="G848" s="1422">
        <f t="shared" si="35"/>
        <v>5.5889118961355788E-2</v>
      </c>
      <c r="H848" s="1413" t="s">
        <v>874</v>
      </c>
      <c r="I848" s="1413" t="s">
        <v>958</v>
      </c>
    </row>
    <row r="849" spans="1:9">
      <c r="A849" s="1414">
        <v>42116</v>
      </c>
      <c r="B849" s="1408" t="s">
        <v>592</v>
      </c>
      <c r="C849" s="1434">
        <v>27027</v>
      </c>
      <c r="D849" s="1435">
        <v>2850927.97</v>
      </c>
      <c r="E849" s="1435">
        <f>2682929.96-131675.13</f>
        <v>2551254.83</v>
      </c>
      <c r="F849" s="1421">
        <f t="shared" si="37"/>
        <v>299673.14000000013</v>
      </c>
      <c r="G849" s="1422">
        <f t="shared" si="35"/>
        <v>0.11746107698696649</v>
      </c>
      <c r="H849" s="1413" t="s">
        <v>874</v>
      </c>
      <c r="I849" s="1413" t="s">
        <v>959</v>
      </c>
    </row>
    <row r="850" spans="1:9">
      <c r="A850" s="1415" t="s">
        <v>4</v>
      </c>
      <c r="B850" s="1416"/>
      <c r="C850" s="1417">
        <f>SUM(C851:C862)</f>
        <v>325995</v>
      </c>
      <c r="D850" s="1417">
        <f>SUM(D851:D862)</f>
        <v>30281854.479999997</v>
      </c>
      <c r="E850" s="1417">
        <f>SUM(E851:E862)</f>
        <v>31036775.879999995</v>
      </c>
      <c r="F850" s="1417">
        <f>SUM(F851:F862)</f>
        <v>-754921.39999999944</v>
      </c>
      <c r="G850" s="1420">
        <f t="shared" si="35"/>
        <v>-2.4323447864520894E-2</v>
      </c>
      <c r="H850" s="1423"/>
      <c r="I850" s="1423"/>
    </row>
    <row r="851" spans="1:9">
      <c r="A851" s="1414">
        <v>42137</v>
      </c>
      <c r="B851" s="1408" t="s">
        <v>592</v>
      </c>
      <c r="C851" s="1434">
        <v>27331</v>
      </c>
      <c r="D851" s="1435">
        <v>2518670.27</v>
      </c>
      <c r="E851" s="1435">
        <v>2585981.67</v>
      </c>
      <c r="F851" s="1421">
        <f t="shared" ref="F851:F862" si="38">D851-E851</f>
        <v>-67311.399999999907</v>
      </c>
      <c r="G851" s="1422">
        <f t="shared" si="35"/>
        <v>-2.6029341499547408E-2</v>
      </c>
      <c r="H851" s="1413" t="s">
        <v>874</v>
      </c>
      <c r="I851" s="1413" t="s">
        <v>960</v>
      </c>
    </row>
    <row r="852" spans="1:9">
      <c r="A852" s="1414">
        <v>42137</v>
      </c>
      <c r="B852" s="1408" t="s">
        <v>592</v>
      </c>
      <c r="C852" s="1434">
        <v>27182</v>
      </c>
      <c r="D852" s="1435">
        <v>2504939.27</v>
      </c>
      <c r="E852" s="1435">
        <v>2567389.6</v>
      </c>
      <c r="F852" s="1421">
        <f t="shared" si="38"/>
        <v>-62450.330000000075</v>
      </c>
      <c r="G852" s="1422">
        <f t="shared" si="35"/>
        <v>-2.4324446122240297E-2</v>
      </c>
      <c r="H852" s="1413" t="s">
        <v>874</v>
      </c>
      <c r="I852" s="1413" t="s">
        <v>961</v>
      </c>
    </row>
    <row r="853" spans="1:9">
      <c r="A853" s="1414">
        <v>42137</v>
      </c>
      <c r="B853" s="1408" t="s">
        <v>592</v>
      </c>
      <c r="C853" s="1434">
        <v>27022</v>
      </c>
      <c r="D853" s="1435">
        <v>2490194.58</v>
      </c>
      <c r="E853" s="1435">
        <v>2555379.42</v>
      </c>
      <c r="F853" s="1421">
        <f t="shared" si="38"/>
        <v>-65184.839999999851</v>
      </c>
      <c r="G853" s="1422">
        <f t="shared" si="35"/>
        <v>-2.5508869442174599E-2</v>
      </c>
      <c r="H853" s="1413" t="s">
        <v>874</v>
      </c>
      <c r="I853" s="1413" t="s">
        <v>962</v>
      </c>
    </row>
    <row r="854" spans="1:9">
      <c r="A854" s="1414">
        <v>42137</v>
      </c>
      <c r="B854" s="1408" t="s">
        <v>592</v>
      </c>
      <c r="C854" s="1434">
        <v>27349</v>
      </c>
      <c r="D854" s="1435">
        <v>2520329.04</v>
      </c>
      <c r="E854" s="1435">
        <v>2590763.7200000002</v>
      </c>
      <c r="F854" s="1421">
        <f t="shared" si="38"/>
        <v>-70434.680000000168</v>
      </c>
      <c r="G854" s="1422">
        <f t="shared" si="35"/>
        <v>-2.7186840488873359E-2</v>
      </c>
      <c r="H854" s="1413" t="s">
        <v>874</v>
      </c>
      <c r="I854" s="1413" t="s">
        <v>963</v>
      </c>
    </row>
    <row r="855" spans="1:9">
      <c r="A855" s="1414">
        <v>42139</v>
      </c>
      <c r="B855" s="1408" t="s">
        <v>592</v>
      </c>
      <c r="C855" s="1434">
        <v>26834</v>
      </c>
      <c r="D855" s="1435">
        <v>2432236.2799999998</v>
      </c>
      <c r="E855" s="1435">
        <v>2811617.55</v>
      </c>
      <c r="F855" s="1421">
        <f t="shared" si="38"/>
        <v>-379381.27</v>
      </c>
      <c r="G855" s="1422">
        <f t="shared" si="35"/>
        <v>-0.13493345494304518</v>
      </c>
      <c r="H855" s="1413" t="s">
        <v>874</v>
      </c>
      <c r="I855" s="1413" t="s">
        <v>964</v>
      </c>
    </row>
    <row r="856" spans="1:9">
      <c r="A856" s="1414">
        <v>42139</v>
      </c>
      <c r="B856" s="1408" t="s">
        <v>592</v>
      </c>
      <c r="C856" s="1434">
        <v>27352</v>
      </c>
      <c r="D856" s="1435">
        <v>2479187.85</v>
      </c>
      <c r="E856" s="1435">
        <v>2604642.79</v>
      </c>
      <c r="F856" s="1421">
        <f t="shared" si="38"/>
        <v>-125454.93999999994</v>
      </c>
      <c r="G856" s="1422">
        <f t="shared" si="35"/>
        <v>-4.8165890724693169E-2</v>
      </c>
      <c r="H856" s="1413" t="s">
        <v>874</v>
      </c>
      <c r="I856" s="1413" t="s">
        <v>965</v>
      </c>
    </row>
    <row r="857" spans="1:9">
      <c r="A857" s="1414">
        <v>42139</v>
      </c>
      <c r="B857" s="1408" t="s">
        <v>592</v>
      </c>
      <c r="C857" s="1434">
        <v>27030</v>
      </c>
      <c r="D857" s="1435">
        <v>2450001.7400000002</v>
      </c>
      <c r="E857" s="1435">
        <v>2585884.87</v>
      </c>
      <c r="F857" s="1421">
        <f t="shared" si="38"/>
        <v>-135883.12999999989</v>
      </c>
      <c r="G857" s="1422">
        <f t="shared" si="35"/>
        <v>-5.2548020051642857E-2</v>
      </c>
      <c r="H857" s="1413" t="s">
        <v>874</v>
      </c>
      <c r="I857" s="1413" t="s">
        <v>966</v>
      </c>
    </row>
    <row r="858" spans="1:9">
      <c r="A858" s="1414">
        <v>42139</v>
      </c>
      <c r="B858" s="1408" t="s">
        <v>592</v>
      </c>
      <c r="C858" s="1434">
        <v>27322</v>
      </c>
      <c r="D858" s="1435">
        <v>2476468.65</v>
      </c>
      <c r="E858" s="1435">
        <v>2563399.31</v>
      </c>
      <c r="F858" s="1421">
        <f t="shared" si="38"/>
        <v>-86930.660000000149</v>
      </c>
      <c r="G858" s="1422">
        <f t="shared" si="35"/>
        <v>-3.39122584846136E-2</v>
      </c>
      <c r="H858" s="1413" t="s">
        <v>874</v>
      </c>
      <c r="I858" s="1413" t="s">
        <v>967</v>
      </c>
    </row>
    <row r="859" spans="1:9">
      <c r="A859" s="1414">
        <v>42155</v>
      </c>
      <c r="B859" s="1408" t="s">
        <v>592</v>
      </c>
      <c r="C859" s="1434">
        <v>26901</v>
      </c>
      <c r="D859" s="1435">
        <v>2579230.11</v>
      </c>
      <c r="E859" s="1435">
        <v>2492238.2599999998</v>
      </c>
      <c r="F859" s="1421">
        <f t="shared" si="38"/>
        <v>86991.850000000093</v>
      </c>
      <c r="G859" s="1422">
        <f t="shared" si="35"/>
        <v>3.4905109754634817E-2</v>
      </c>
      <c r="H859" s="1413" t="s">
        <v>874</v>
      </c>
      <c r="I859" s="1413" t="s">
        <v>968</v>
      </c>
    </row>
    <row r="860" spans="1:9">
      <c r="A860" s="1414">
        <v>42155</v>
      </c>
      <c r="B860" s="1408" t="s">
        <v>592</v>
      </c>
      <c r="C860" s="1434">
        <v>27358</v>
      </c>
      <c r="D860" s="1435">
        <v>2623046.63</v>
      </c>
      <c r="E860" s="1435">
        <v>2601713.5499999998</v>
      </c>
      <c r="F860" s="1421">
        <f t="shared" si="38"/>
        <v>21333.080000000075</v>
      </c>
      <c r="G860" s="1422">
        <f t="shared" si="35"/>
        <v>8.1996267421523307E-3</v>
      </c>
      <c r="H860" s="1413" t="s">
        <v>874</v>
      </c>
      <c r="I860" s="1413" t="s">
        <v>969</v>
      </c>
    </row>
    <row r="861" spans="1:9">
      <c r="A861" s="1414">
        <v>42155</v>
      </c>
      <c r="B861" s="1408" t="s">
        <v>592</v>
      </c>
      <c r="C861" s="1434">
        <v>27187</v>
      </c>
      <c r="D861" s="1435">
        <v>2606651.39</v>
      </c>
      <c r="E861" s="1435">
        <v>2547125.63</v>
      </c>
      <c r="F861" s="1421">
        <f t="shared" si="38"/>
        <v>59525.760000000242</v>
      </c>
      <c r="G861" s="1422">
        <f t="shared" si="35"/>
        <v>2.3369777799299302E-2</v>
      </c>
      <c r="H861" s="1413" t="s">
        <v>874</v>
      </c>
      <c r="I861" s="1413" t="s">
        <v>970</v>
      </c>
    </row>
    <row r="862" spans="1:9">
      <c r="A862" s="1414">
        <v>42155</v>
      </c>
      <c r="B862" s="1408" t="s">
        <v>592</v>
      </c>
      <c r="C862" s="1434">
        <v>27127</v>
      </c>
      <c r="D862" s="1435">
        <v>2600898.67</v>
      </c>
      <c r="E862" s="1435">
        <v>2530639.5099999998</v>
      </c>
      <c r="F862" s="1421">
        <f t="shared" si="38"/>
        <v>70259.160000000149</v>
      </c>
      <c r="G862" s="1422">
        <f t="shared" si="35"/>
        <v>2.7763401196561639E-2</v>
      </c>
      <c r="H862" s="1413" t="s">
        <v>874</v>
      </c>
      <c r="I862" s="1413" t="s">
        <v>971</v>
      </c>
    </row>
    <row r="863" spans="1:9">
      <c r="A863" s="1415" t="s">
        <v>5</v>
      </c>
      <c r="B863" s="1416"/>
      <c r="C863" s="1417">
        <f>SUM(C864:C894)</f>
        <v>524419.4</v>
      </c>
      <c r="D863" s="1417">
        <f>SUM(D864:D894)</f>
        <v>45036793.050000004</v>
      </c>
      <c r="E863" s="1417">
        <f>SUM(E864:E894)</f>
        <v>37158094.070000008</v>
      </c>
      <c r="F863" s="1417">
        <f>SUM(F864:F894)</f>
        <v>7878698.9800000023</v>
      </c>
      <c r="G863" s="1420">
        <f t="shared" si="35"/>
        <v>0.21203183793974395</v>
      </c>
      <c r="H863" s="1423"/>
      <c r="I863" s="1423"/>
    </row>
    <row r="864" spans="1:9">
      <c r="A864" s="1414">
        <v>42156</v>
      </c>
      <c r="B864" s="1408" t="s">
        <v>586</v>
      </c>
      <c r="C864" s="1434">
        <v>1996</v>
      </c>
      <c r="D864" s="1435">
        <v>307678</v>
      </c>
      <c r="E864" s="1435">
        <v>139358.43</v>
      </c>
      <c r="F864" s="1421">
        <f t="shared" ref="F864:F894" si="39">D864-E864</f>
        <v>168319.57</v>
      </c>
      <c r="G864" s="1422">
        <f t="shared" ref="G864:G927" si="40">F864/E864</f>
        <v>1.2078176397366132</v>
      </c>
      <c r="H864" s="1413" t="s">
        <v>880</v>
      </c>
      <c r="I864" s="1413"/>
    </row>
    <row r="865" spans="1:9">
      <c r="A865" s="1414">
        <v>42156</v>
      </c>
      <c r="B865" s="1408" t="s">
        <v>481</v>
      </c>
      <c r="C865" s="1434">
        <v>1235</v>
      </c>
      <c r="D865" s="1435">
        <v>328500</v>
      </c>
      <c r="E865" s="1435">
        <v>86016.73</v>
      </c>
      <c r="F865" s="1421">
        <f t="shared" si="39"/>
        <v>242483.27000000002</v>
      </c>
      <c r="G865" s="1422">
        <f t="shared" si="40"/>
        <v>2.8190245083718022</v>
      </c>
      <c r="H865" s="1413" t="s">
        <v>880</v>
      </c>
      <c r="I865" s="1413"/>
    </row>
    <row r="866" spans="1:9">
      <c r="A866" s="1414">
        <v>42158</v>
      </c>
      <c r="B866" s="1408" t="s">
        <v>321</v>
      </c>
      <c r="C866" s="1436">
        <v>5</v>
      </c>
      <c r="D866" s="1437">
        <v>500</v>
      </c>
      <c r="E866" s="1437">
        <v>362.88</v>
      </c>
      <c r="F866" s="1421">
        <f t="shared" si="39"/>
        <v>137.12</v>
      </c>
      <c r="G866" s="1422">
        <f t="shared" si="40"/>
        <v>0.37786596119929455</v>
      </c>
      <c r="H866" s="1413" t="s">
        <v>590</v>
      </c>
      <c r="I866" s="1413"/>
    </row>
    <row r="867" spans="1:9">
      <c r="A867" s="1414">
        <v>42158</v>
      </c>
      <c r="B867" s="1408" t="s">
        <v>592</v>
      </c>
      <c r="C867" s="1434">
        <v>27109</v>
      </c>
      <c r="D867" s="1435">
        <v>2629463.4700000002</v>
      </c>
      <c r="E867" s="1435">
        <v>2569317.2799999998</v>
      </c>
      <c r="F867" s="1421">
        <f t="shared" si="39"/>
        <v>60146.19000000041</v>
      </c>
      <c r="G867" s="1422">
        <f t="shared" si="40"/>
        <v>2.3409405474438101E-2</v>
      </c>
      <c r="H867" s="1413" t="s">
        <v>874</v>
      </c>
      <c r="I867" s="1413" t="s">
        <v>972</v>
      </c>
    </row>
    <row r="868" spans="1:9">
      <c r="A868" s="1414">
        <v>42158</v>
      </c>
      <c r="B868" s="1408" t="s">
        <v>592</v>
      </c>
      <c r="C868" s="1434">
        <v>27252</v>
      </c>
      <c r="D868" s="1435">
        <v>2643333.89</v>
      </c>
      <c r="E868" s="1435">
        <v>2191116.5099999998</v>
      </c>
      <c r="F868" s="1421">
        <f t="shared" si="39"/>
        <v>452217.38000000035</v>
      </c>
      <c r="G868" s="1422">
        <f t="shared" si="40"/>
        <v>0.20638673385743436</v>
      </c>
      <c r="H868" s="1413" t="s">
        <v>874</v>
      </c>
      <c r="I868" s="1413" t="s">
        <v>973</v>
      </c>
    </row>
    <row r="869" spans="1:9">
      <c r="A869" s="1414">
        <v>42158</v>
      </c>
      <c r="B869" s="1408" t="s">
        <v>592</v>
      </c>
      <c r="C869" s="1434">
        <v>27185</v>
      </c>
      <c r="D869" s="1435">
        <v>2636835.16</v>
      </c>
      <c r="E869" s="1435">
        <v>2165647.17</v>
      </c>
      <c r="F869" s="1421">
        <f t="shared" si="39"/>
        <v>471187.99000000022</v>
      </c>
      <c r="G869" s="1422">
        <f t="shared" si="40"/>
        <v>0.21757375648591928</v>
      </c>
      <c r="H869" s="1413" t="s">
        <v>874</v>
      </c>
      <c r="I869" s="1413" t="s">
        <v>974</v>
      </c>
    </row>
    <row r="870" spans="1:9">
      <c r="A870" s="1414">
        <v>42158</v>
      </c>
      <c r="B870" s="1408" t="s">
        <v>592</v>
      </c>
      <c r="C870" s="1434">
        <v>27190</v>
      </c>
      <c r="D870" s="1435">
        <v>2637320.14</v>
      </c>
      <c r="E870" s="1435">
        <v>2170805.86</v>
      </c>
      <c r="F870" s="1421">
        <f t="shared" si="39"/>
        <v>466514.28000000026</v>
      </c>
      <c r="G870" s="1422">
        <f t="shared" si="40"/>
        <v>0.21490373164922277</v>
      </c>
      <c r="H870" s="1413" t="s">
        <v>874</v>
      </c>
      <c r="I870" s="1413" t="s">
        <v>975</v>
      </c>
    </row>
    <row r="871" spans="1:9">
      <c r="A871" s="1414">
        <v>42161</v>
      </c>
      <c r="B871" s="1408" t="s">
        <v>489</v>
      </c>
      <c r="C871" s="1434">
        <v>20011</v>
      </c>
      <c r="D871" s="1435">
        <v>640352</v>
      </c>
      <c r="E871" s="1435">
        <v>3397.83</v>
      </c>
      <c r="F871" s="1421">
        <f t="shared" si="39"/>
        <v>636954.17000000004</v>
      </c>
      <c r="G871" s="1422">
        <f t="shared" si="40"/>
        <v>187.4591047815812</v>
      </c>
      <c r="H871" s="1413" t="s">
        <v>591</v>
      </c>
      <c r="I871" s="1413"/>
    </row>
    <row r="872" spans="1:9">
      <c r="A872" s="1414">
        <v>42163</v>
      </c>
      <c r="B872" s="1408" t="s">
        <v>592</v>
      </c>
      <c r="C872" s="1434">
        <v>27355</v>
      </c>
      <c r="D872" s="1435">
        <v>2704889.63</v>
      </c>
      <c r="E872" s="1435">
        <v>2176007.0099999998</v>
      </c>
      <c r="F872" s="1421">
        <f t="shared" si="39"/>
        <v>528882.62000000011</v>
      </c>
      <c r="G872" s="1422">
        <f t="shared" si="40"/>
        <v>0.24305189163889696</v>
      </c>
      <c r="H872" s="1413" t="s">
        <v>874</v>
      </c>
      <c r="I872" s="1413" t="s">
        <v>976</v>
      </c>
    </row>
    <row r="873" spans="1:9">
      <c r="A873" s="1414">
        <v>42163</v>
      </c>
      <c r="B873" s="1408" t="s">
        <v>592</v>
      </c>
      <c r="C873" s="1434">
        <v>27207</v>
      </c>
      <c r="D873" s="1435">
        <v>2690255.24</v>
      </c>
      <c r="E873" s="1435">
        <v>2186687.3199999998</v>
      </c>
      <c r="F873" s="1421">
        <f t="shared" si="39"/>
        <v>503567.92000000039</v>
      </c>
      <c r="G873" s="1422">
        <f t="shared" si="40"/>
        <v>0.23028803221852515</v>
      </c>
      <c r="H873" s="1413" t="s">
        <v>874</v>
      </c>
      <c r="I873" s="1413" t="s">
        <v>977</v>
      </c>
    </row>
    <row r="874" spans="1:9">
      <c r="A874" s="1414">
        <v>42163</v>
      </c>
      <c r="B874" s="1408" t="s">
        <v>592</v>
      </c>
      <c r="C874" s="1434">
        <v>27181</v>
      </c>
      <c r="D874" s="1435">
        <v>2687684.34</v>
      </c>
      <c r="E874" s="1435">
        <v>2178076.67</v>
      </c>
      <c r="F874" s="1421">
        <f t="shared" si="39"/>
        <v>509607.66999999993</v>
      </c>
      <c r="G874" s="1422">
        <f t="shared" si="40"/>
        <v>0.23397141019833795</v>
      </c>
      <c r="H874" s="1413" t="s">
        <v>874</v>
      </c>
      <c r="I874" s="1413" t="s">
        <v>978</v>
      </c>
    </row>
    <row r="875" spans="1:9">
      <c r="A875" s="1414">
        <v>42163</v>
      </c>
      <c r="B875" s="1408" t="s">
        <v>592</v>
      </c>
      <c r="C875" s="1434">
        <v>27126</v>
      </c>
      <c r="D875" s="1435">
        <v>2682245.88</v>
      </c>
      <c r="E875" s="1435">
        <v>2586251.16</v>
      </c>
      <c r="F875" s="1421">
        <f t="shared" si="39"/>
        <v>95994.719999999739</v>
      </c>
      <c r="G875" s="1422">
        <f t="shared" si="40"/>
        <v>3.7117323129591068E-2</v>
      </c>
      <c r="H875" s="1413" t="s">
        <v>874</v>
      </c>
      <c r="I875" s="1413" t="s">
        <v>979</v>
      </c>
    </row>
    <row r="876" spans="1:9">
      <c r="A876" s="1414">
        <v>42165</v>
      </c>
      <c r="B876" s="1408" t="s">
        <v>489</v>
      </c>
      <c r="C876" s="1434">
        <v>21956</v>
      </c>
      <c r="D876" s="1435">
        <v>886365</v>
      </c>
      <c r="E876" s="1441"/>
      <c r="F876" s="1421">
        <f t="shared" si="39"/>
        <v>886365</v>
      </c>
      <c r="G876" s="1422" t="e">
        <f t="shared" si="40"/>
        <v>#DIV/0!</v>
      </c>
      <c r="H876" s="1413" t="s">
        <v>980</v>
      </c>
      <c r="I876" s="1413"/>
    </row>
    <row r="877" spans="1:9">
      <c r="A877" s="1414">
        <v>42166</v>
      </c>
      <c r="B877" s="1408" t="s">
        <v>320</v>
      </c>
      <c r="C877" s="1436">
        <v>13</v>
      </c>
      <c r="D877" s="1437">
        <v>130</v>
      </c>
      <c r="E877" s="1437">
        <v>41.55</v>
      </c>
      <c r="F877" s="1421">
        <f t="shared" si="39"/>
        <v>88.45</v>
      </c>
      <c r="G877" s="1422">
        <f t="shared" si="40"/>
        <v>2.1287605294825513</v>
      </c>
      <c r="H877" s="1413" t="s">
        <v>590</v>
      </c>
      <c r="I877" s="1413"/>
    </row>
    <row r="878" spans="1:9">
      <c r="A878" s="1414">
        <v>42167</v>
      </c>
      <c r="B878" s="1408" t="s">
        <v>321</v>
      </c>
      <c r="C878" s="1436">
        <v>46</v>
      </c>
      <c r="D878" s="1435">
        <v>5060</v>
      </c>
      <c r="E878" s="1435">
        <v>3413.65</v>
      </c>
      <c r="F878" s="1421">
        <f t="shared" si="39"/>
        <v>1646.35</v>
      </c>
      <c r="G878" s="1422">
        <f t="shared" si="40"/>
        <v>0.48228435838472011</v>
      </c>
      <c r="H878" s="1413" t="s">
        <v>590</v>
      </c>
      <c r="I878" s="1413"/>
    </row>
    <row r="879" spans="1:9">
      <c r="A879" s="1414">
        <v>42169</v>
      </c>
      <c r="B879" s="1408" t="s">
        <v>321</v>
      </c>
      <c r="C879" s="1436">
        <v>0.4</v>
      </c>
      <c r="D879" s="1437">
        <v>40</v>
      </c>
      <c r="E879" s="1437">
        <v>29.44</v>
      </c>
      <c r="F879" s="1421">
        <f t="shared" si="39"/>
        <v>10.559999999999999</v>
      </c>
      <c r="G879" s="1422">
        <f t="shared" si="40"/>
        <v>0.35869565217391297</v>
      </c>
      <c r="H879" s="1413" t="s">
        <v>590</v>
      </c>
      <c r="I879" s="1413"/>
    </row>
    <row r="880" spans="1:9">
      <c r="A880" s="1414">
        <v>42170</v>
      </c>
      <c r="B880" s="1408" t="s">
        <v>320</v>
      </c>
      <c r="C880" s="1436">
        <v>24</v>
      </c>
      <c r="D880" s="1437">
        <v>240</v>
      </c>
      <c r="E880" s="1437">
        <v>180.78</v>
      </c>
      <c r="F880" s="1421">
        <f t="shared" si="39"/>
        <v>59.22</v>
      </c>
      <c r="G880" s="1422">
        <f t="shared" si="40"/>
        <v>0.32758048456687688</v>
      </c>
      <c r="H880" s="1413" t="s">
        <v>590</v>
      </c>
      <c r="I880" s="1413"/>
    </row>
    <row r="881" spans="1:9">
      <c r="A881" s="1414">
        <v>42170</v>
      </c>
      <c r="B881" s="1408" t="s">
        <v>321</v>
      </c>
      <c r="C881" s="1436">
        <v>44</v>
      </c>
      <c r="D881" s="1435">
        <v>4620</v>
      </c>
      <c r="E881" s="1435">
        <v>3241.23</v>
      </c>
      <c r="F881" s="1421">
        <f t="shared" si="39"/>
        <v>1378.77</v>
      </c>
      <c r="G881" s="1422">
        <f t="shared" si="40"/>
        <v>0.42538480761932967</v>
      </c>
      <c r="H881" s="1413" t="s">
        <v>590</v>
      </c>
      <c r="I881" s="1413"/>
    </row>
    <row r="882" spans="1:9">
      <c r="A882" s="1414">
        <v>42171</v>
      </c>
      <c r="B882" s="1408" t="s">
        <v>592</v>
      </c>
      <c r="C882" s="1434">
        <v>27341</v>
      </c>
      <c r="D882" s="1435">
        <v>2585457.29</v>
      </c>
      <c r="E882" s="1435">
        <v>2158504.6800000002</v>
      </c>
      <c r="F882" s="1421">
        <f t="shared" si="39"/>
        <v>426952.60999999987</v>
      </c>
      <c r="G882" s="1422">
        <f t="shared" si="40"/>
        <v>0.19780017803806654</v>
      </c>
      <c r="H882" s="1413" t="s">
        <v>874</v>
      </c>
      <c r="I882" s="1413" t="s">
        <v>981</v>
      </c>
    </row>
    <row r="883" spans="1:9">
      <c r="A883" s="1414">
        <v>42171</v>
      </c>
      <c r="B883" s="1408" t="s">
        <v>592</v>
      </c>
      <c r="C883" s="1434">
        <v>27032</v>
      </c>
      <c r="D883" s="1435">
        <v>2556237.2000000002</v>
      </c>
      <c r="E883" s="1435">
        <v>2164324.0099999998</v>
      </c>
      <c r="F883" s="1421">
        <f t="shared" si="39"/>
        <v>391913.19000000041</v>
      </c>
      <c r="G883" s="1422">
        <f t="shared" si="40"/>
        <v>0.18107879790142903</v>
      </c>
      <c r="H883" s="1413" t="s">
        <v>874</v>
      </c>
      <c r="I883" s="1413" t="s">
        <v>982</v>
      </c>
    </row>
    <row r="884" spans="1:9">
      <c r="A884" s="1414">
        <v>42171</v>
      </c>
      <c r="B884" s="1408" t="s">
        <v>592</v>
      </c>
      <c r="C884" s="1434">
        <v>26940</v>
      </c>
      <c r="D884" s="1435">
        <v>2547537.37</v>
      </c>
      <c r="E884" s="1435">
        <v>2147162.86</v>
      </c>
      <c r="F884" s="1421">
        <f t="shared" si="39"/>
        <v>400374.51000000024</v>
      </c>
      <c r="G884" s="1422">
        <f t="shared" si="40"/>
        <v>0.18646676386718064</v>
      </c>
      <c r="H884" s="1413" t="s">
        <v>874</v>
      </c>
      <c r="I884" s="1413" t="s">
        <v>983</v>
      </c>
    </row>
    <row r="885" spans="1:9">
      <c r="A885" s="1414">
        <v>42171</v>
      </c>
      <c r="B885" s="1408" t="s">
        <v>592</v>
      </c>
      <c r="C885" s="1434">
        <v>27115</v>
      </c>
      <c r="D885" s="1435">
        <v>2564085.96</v>
      </c>
      <c r="E885" s="1435">
        <v>2162916.46</v>
      </c>
      <c r="F885" s="1421">
        <f t="shared" si="39"/>
        <v>401169.5</v>
      </c>
      <c r="G885" s="1422">
        <f t="shared" si="40"/>
        <v>0.18547618801698887</v>
      </c>
      <c r="H885" s="1413" t="s">
        <v>874</v>
      </c>
      <c r="I885" s="1413" t="s">
        <v>984</v>
      </c>
    </row>
    <row r="886" spans="1:9">
      <c r="A886" s="1414">
        <v>42171</v>
      </c>
      <c r="B886" s="1408" t="s">
        <v>476</v>
      </c>
      <c r="C886" s="1436">
        <v>254</v>
      </c>
      <c r="D886" s="1435">
        <v>22098</v>
      </c>
      <c r="E886" s="1435">
        <v>18641.84</v>
      </c>
      <c r="F886" s="1421">
        <f t="shared" si="39"/>
        <v>3456.16</v>
      </c>
      <c r="G886" s="1422">
        <f t="shared" si="40"/>
        <v>0.18539800792196479</v>
      </c>
      <c r="H886" s="1413" t="s">
        <v>880</v>
      </c>
      <c r="I886" s="1413"/>
    </row>
    <row r="887" spans="1:9">
      <c r="A887" s="1414">
        <v>42172</v>
      </c>
      <c r="B887" s="1408" t="s">
        <v>592</v>
      </c>
      <c r="C887" s="1434">
        <v>27317</v>
      </c>
      <c r="D887" s="1435">
        <v>2480075.25</v>
      </c>
      <c r="E887" s="1435">
        <v>2193130.0699999998</v>
      </c>
      <c r="F887" s="1421">
        <f t="shared" si="39"/>
        <v>286945.18000000017</v>
      </c>
      <c r="G887" s="1422">
        <f t="shared" si="40"/>
        <v>0.1308381951098779</v>
      </c>
      <c r="H887" s="1413" t="s">
        <v>874</v>
      </c>
      <c r="I887" s="1413" t="s">
        <v>985</v>
      </c>
    </row>
    <row r="888" spans="1:9">
      <c r="A888" s="1414">
        <v>42172</v>
      </c>
      <c r="B888" s="1408" t="s">
        <v>592</v>
      </c>
      <c r="C888" s="1434">
        <v>27047</v>
      </c>
      <c r="D888" s="1435">
        <v>2455562.29</v>
      </c>
      <c r="E888" s="1435">
        <v>2190216.9</v>
      </c>
      <c r="F888" s="1421">
        <f t="shared" si="39"/>
        <v>265345.39000000013</v>
      </c>
      <c r="G888" s="1422">
        <f t="shared" si="40"/>
        <v>0.12115027968234568</v>
      </c>
      <c r="H888" s="1413" t="s">
        <v>874</v>
      </c>
      <c r="I888" s="1413" t="s">
        <v>986</v>
      </c>
    </row>
    <row r="889" spans="1:9">
      <c r="A889" s="1414">
        <v>42172</v>
      </c>
      <c r="B889" s="1408" t="s">
        <v>592</v>
      </c>
      <c r="C889" s="1434">
        <v>27221</v>
      </c>
      <c r="D889" s="1435">
        <v>2471359.5299999998</v>
      </c>
      <c r="E889" s="1435">
        <v>2242419.2999999998</v>
      </c>
      <c r="F889" s="1421">
        <f t="shared" si="39"/>
        <v>228940.22999999998</v>
      </c>
      <c r="G889" s="1422">
        <f t="shared" si="40"/>
        <v>0.10209519245575527</v>
      </c>
      <c r="H889" s="1413" t="s">
        <v>874</v>
      </c>
      <c r="I889" s="1413" t="s">
        <v>987</v>
      </c>
    </row>
    <row r="890" spans="1:9">
      <c r="A890" s="1414">
        <v>42172</v>
      </c>
      <c r="B890" s="1408" t="s">
        <v>592</v>
      </c>
      <c r="C890" s="1434">
        <v>27145</v>
      </c>
      <c r="D890" s="1435">
        <v>2464459.59</v>
      </c>
      <c r="E890" s="1435">
        <v>2233641.2799999998</v>
      </c>
      <c r="F890" s="1421">
        <f t="shared" si="39"/>
        <v>230818.31000000006</v>
      </c>
      <c r="G890" s="1422">
        <f t="shared" si="40"/>
        <v>0.10333723327319599</v>
      </c>
      <c r="H890" s="1413" t="s">
        <v>874</v>
      </c>
      <c r="I890" s="1413" t="s">
        <v>988</v>
      </c>
    </row>
    <row r="891" spans="1:9">
      <c r="A891" s="1414">
        <v>42173</v>
      </c>
      <c r="B891" s="1408" t="s">
        <v>321</v>
      </c>
      <c r="C891" s="1436">
        <v>5</v>
      </c>
      <c r="D891" s="1437">
        <v>500</v>
      </c>
      <c r="E891" s="1437">
        <v>363.57</v>
      </c>
      <c r="F891" s="1421">
        <f t="shared" si="39"/>
        <v>136.43</v>
      </c>
      <c r="G891" s="1422">
        <f t="shared" si="40"/>
        <v>0.37525098330445311</v>
      </c>
      <c r="H891" s="1413" t="s">
        <v>590</v>
      </c>
      <c r="I891" s="1413"/>
    </row>
    <row r="892" spans="1:9">
      <c r="A892" s="1414">
        <v>42174</v>
      </c>
      <c r="B892" s="1408" t="s">
        <v>321</v>
      </c>
      <c r="C892" s="1436">
        <v>2</v>
      </c>
      <c r="D892" s="1437">
        <v>200</v>
      </c>
      <c r="E892" s="1437">
        <v>144.31</v>
      </c>
      <c r="F892" s="1421">
        <f t="shared" si="39"/>
        <v>55.69</v>
      </c>
      <c r="G892" s="1422">
        <f t="shared" si="40"/>
        <v>0.38590534266509596</v>
      </c>
      <c r="H892" s="1413" t="s">
        <v>590</v>
      </c>
      <c r="I892" s="1413"/>
    </row>
    <row r="893" spans="1:9">
      <c r="A893" s="1414">
        <v>42176</v>
      </c>
      <c r="B893" s="1408" t="s">
        <v>989</v>
      </c>
      <c r="C893" s="1434">
        <v>14455</v>
      </c>
      <c r="D893" s="1435">
        <v>1217099.82</v>
      </c>
      <c r="E893" s="1435">
        <v>1186627.6299999999</v>
      </c>
      <c r="F893" s="1421">
        <f t="shared" si="39"/>
        <v>30472.190000000177</v>
      </c>
      <c r="G893" s="1422">
        <f t="shared" si="40"/>
        <v>2.5679656557466287E-2</v>
      </c>
      <c r="H893" s="1413" t="s">
        <v>611</v>
      </c>
      <c r="I893" s="1413"/>
    </row>
    <row r="894" spans="1:9">
      <c r="A894" s="1414" t="s">
        <v>990</v>
      </c>
      <c r="B894" s="1408" t="s">
        <v>320</v>
      </c>
      <c r="C894" s="1434">
        <v>29610</v>
      </c>
      <c r="D894" s="1435">
        <v>186608</v>
      </c>
      <c r="E894" s="1437">
        <v>49.66</v>
      </c>
      <c r="F894" s="1421">
        <f t="shared" si="39"/>
        <v>186558.34</v>
      </c>
      <c r="G894" s="1422">
        <f t="shared" si="40"/>
        <v>3756.7124446234398</v>
      </c>
      <c r="H894" s="1413" t="s">
        <v>980</v>
      </c>
      <c r="I894" s="1413"/>
    </row>
    <row r="895" spans="1:9">
      <c r="A895" s="1415" t="s">
        <v>6</v>
      </c>
      <c r="B895" s="1416"/>
      <c r="C895" s="1417">
        <f>SUM(C896:C927)</f>
        <v>655288.5</v>
      </c>
      <c r="D895" s="1417">
        <f>SUM(D896:D927)</f>
        <v>60766137.970000014</v>
      </c>
      <c r="E895" s="1417">
        <f>SUM(E896:E927)</f>
        <v>54548786.409999989</v>
      </c>
      <c r="F895" s="1417">
        <f>SUM(F896:F927)</f>
        <v>6217351.5599999987</v>
      </c>
      <c r="G895" s="1420">
        <f t="shared" si="40"/>
        <v>0.11397781635816964</v>
      </c>
      <c r="H895" s="1423"/>
      <c r="I895" s="1423"/>
    </row>
    <row r="896" spans="1:9">
      <c r="A896" s="1414">
        <v>42186</v>
      </c>
      <c r="B896" s="1408" t="s">
        <v>592</v>
      </c>
      <c r="C896" s="1434">
        <v>26904</v>
      </c>
      <c r="D896" s="1435">
        <v>2468368.17</v>
      </c>
      <c r="E896" s="1435">
        <v>2209359.9300000002</v>
      </c>
      <c r="F896" s="1421">
        <f t="shared" ref="F896:F927" si="41">D896-E896</f>
        <v>259008.23999999976</v>
      </c>
      <c r="G896" s="1422">
        <f t="shared" si="40"/>
        <v>0.11723225196720198</v>
      </c>
      <c r="H896" s="1413" t="s">
        <v>874</v>
      </c>
      <c r="I896" s="1413" t="s">
        <v>868</v>
      </c>
    </row>
    <row r="897" spans="1:9">
      <c r="A897" s="1414">
        <v>42186</v>
      </c>
      <c r="B897" s="1408" t="s">
        <v>592</v>
      </c>
      <c r="C897" s="1434">
        <v>27028</v>
      </c>
      <c r="D897" s="1435">
        <v>2479744.83</v>
      </c>
      <c r="E897" s="1435">
        <v>2502752.89</v>
      </c>
      <c r="F897" s="1421">
        <f t="shared" si="41"/>
        <v>-23008.060000000056</v>
      </c>
      <c r="G897" s="1422">
        <f t="shared" si="40"/>
        <v>-9.1931009617174202E-3</v>
      </c>
      <c r="H897" s="1413" t="s">
        <v>874</v>
      </c>
      <c r="I897" s="1413" t="s">
        <v>869</v>
      </c>
    </row>
    <row r="898" spans="1:9">
      <c r="A898" s="1414">
        <v>42186</v>
      </c>
      <c r="B898" s="1408" t="s">
        <v>592</v>
      </c>
      <c r="C898" s="1434">
        <v>27049</v>
      </c>
      <c r="D898" s="1435">
        <v>2481671.52</v>
      </c>
      <c r="E898" s="1435">
        <v>2211535.9500000002</v>
      </c>
      <c r="F898" s="1421">
        <f t="shared" si="41"/>
        <v>270135.56999999983</v>
      </c>
      <c r="G898" s="1422">
        <f t="shared" si="40"/>
        <v>0.12214839645722232</v>
      </c>
      <c r="H898" s="1413" t="s">
        <v>874</v>
      </c>
      <c r="I898" s="1413" t="s">
        <v>991</v>
      </c>
    </row>
    <row r="899" spans="1:9">
      <c r="A899" s="1414">
        <v>42186</v>
      </c>
      <c r="B899" s="1408" t="s">
        <v>592</v>
      </c>
      <c r="C899" s="1434">
        <v>27359</v>
      </c>
      <c r="D899" s="1435">
        <v>2510113.17</v>
      </c>
      <c r="E899" s="1435">
        <v>2170841.58</v>
      </c>
      <c r="F899" s="1421">
        <f t="shared" si="41"/>
        <v>339271.58999999985</v>
      </c>
      <c r="G899" s="1422">
        <f t="shared" si="40"/>
        <v>0.15628574333830469</v>
      </c>
      <c r="H899" s="1413" t="s">
        <v>874</v>
      </c>
      <c r="I899" s="1413" t="s">
        <v>992</v>
      </c>
    </row>
    <row r="900" spans="1:9">
      <c r="A900" s="1414">
        <v>42186</v>
      </c>
      <c r="B900" s="1408" t="s">
        <v>592</v>
      </c>
      <c r="C900" s="1434">
        <v>27296</v>
      </c>
      <c r="D900" s="1435">
        <v>2528721</v>
      </c>
      <c r="E900" s="1435">
        <v>2253524.5299999998</v>
      </c>
      <c r="F900" s="1421">
        <f t="shared" si="41"/>
        <v>275196.4700000002</v>
      </c>
      <c r="G900" s="1422">
        <f t="shared" si="40"/>
        <v>0.12211824914104673</v>
      </c>
      <c r="H900" s="1413" t="s">
        <v>874</v>
      </c>
      <c r="I900" s="1413" t="s">
        <v>872</v>
      </c>
    </row>
    <row r="901" spans="1:9">
      <c r="A901" s="1414">
        <v>42186</v>
      </c>
      <c r="B901" s="1408" t="s">
        <v>592</v>
      </c>
      <c r="C901" s="1434">
        <v>27288</v>
      </c>
      <c r="D901" s="1435">
        <v>2527979.88</v>
      </c>
      <c r="E901" s="1435">
        <v>2259466.08</v>
      </c>
      <c r="F901" s="1421">
        <f t="shared" si="41"/>
        <v>268513.79999999981</v>
      </c>
      <c r="G901" s="1422">
        <f t="shared" si="40"/>
        <v>0.1188394914961502</v>
      </c>
      <c r="H901" s="1413" t="s">
        <v>874</v>
      </c>
      <c r="I901" s="1413" t="s">
        <v>873</v>
      </c>
    </row>
    <row r="902" spans="1:9">
      <c r="A902" s="1414">
        <v>42186</v>
      </c>
      <c r="B902" s="1408" t="s">
        <v>592</v>
      </c>
      <c r="C902" s="1434">
        <v>27290</v>
      </c>
      <c r="D902" s="1435">
        <v>2528165.16</v>
      </c>
      <c r="E902" s="1435">
        <v>2185734.69</v>
      </c>
      <c r="F902" s="1421">
        <f t="shared" si="41"/>
        <v>342430.4700000002</v>
      </c>
      <c r="G902" s="1422">
        <f t="shared" si="40"/>
        <v>0.15666607277025019</v>
      </c>
      <c r="H902" s="1413" t="s">
        <v>874</v>
      </c>
      <c r="I902" s="1413" t="s">
        <v>993</v>
      </c>
    </row>
    <row r="903" spans="1:9">
      <c r="A903" s="1414">
        <v>42186</v>
      </c>
      <c r="B903" s="1408" t="s">
        <v>592</v>
      </c>
      <c r="C903" s="1434">
        <v>26875</v>
      </c>
      <c r="D903" s="1435">
        <v>2489719.2599999998</v>
      </c>
      <c r="E903" s="1435">
        <v>2223922.15</v>
      </c>
      <c r="F903" s="1421">
        <f t="shared" si="41"/>
        <v>265797.10999999987</v>
      </c>
      <c r="G903" s="1422">
        <f t="shared" si="40"/>
        <v>0.11951727267071821</v>
      </c>
      <c r="H903" s="1413" t="s">
        <v>874</v>
      </c>
      <c r="I903" s="1413" t="s">
        <v>994</v>
      </c>
    </row>
    <row r="904" spans="1:9">
      <c r="A904" s="1414">
        <v>42190</v>
      </c>
      <c r="B904" s="1408" t="s">
        <v>321</v>
      </c>
      <c r="C904" s="1442">
        <v>2.1</v>
      </c>
      <c r="D904" s="1443">
        <v>210</v>
      </c>
      <c r="E904" s="1443">
        <v>150.76</v>
      </c>
      <c r="F904" s="1421">
        <f t="shared" si="41"/>
        <v>59.240000000000009</v>
      </c>
      <c r="G904" s="1422">
        <f t="shared" si="40"/>
        <v>0.39294242504643151</v>
      </c>
      <c r="H904" s="1413" t="s">
        <v>590</v>
      </c>
      <c r="I904" s="1413"/>
    </row>
    <row r="905" spans="1:9">
      <c r="A905" s="1414">
        <v>42191</v>
      </c>
      <c r="B905" s="1408" t="s">
        <v>489</v>
      </c>
      <c r="C905" s="1434">
        <v>20161</v>
      </c>
      <c r="D905" s="1435">
        <v>823034</v>
      </c>
      <c r="E905" s="1435">
        <v>4590.1000000000004</v>
      </c>
      <c r="F905" s="1421">
        <f t="shared" si="41"/>
        <v>818443.9</v>
      </c>
      <c r="G905" s="1422">
        <f t="shared" si="40"/>
        <v>178.30633319535522</v>
      </c>
      <c r="H905" s="1413" t="s">
        <v>980</v>
      </c>
      <c r="I905" s="1413"/>
    </row>
    <row r="906" spans="1:9">
      <c r="A906" s="1414">
        <v>42193</v>
      </c>
      <c r="B906" s="1408" t="s">
        <v>321</v>
      </c>
      <c r="C906" s="1436">
        <v>3</v>
      </c>
      <c r="D906" s="1437">
        <v>300</v>
      </c>
      <c r="E906" s="1437">
        <v>218.03</v>
      </c>
      <c r="F906" s="1421">
        <f t="shared" si="41"/>
        <v>81.97</v>
      </c>
      <c r="G906" s="1422">
        <f t="shared" si="40"/>
        <v>0.37595743704994727</v>
      </c>
      <c r="H906" s="1413" t="s">
        <v>590</v>
      </c>
      <c r="I906" s="1413"/>
    </row>
    <row r="907" spans="1:9">
      <c r="A907" s="1414">
        <v>42193</v>
      </c>
      <c r="B907" s="1408" t="s">
        <v>592</v>
      </c>
      <c r="C907" s="1434">
        <v>19952</v>
      </c>
      <c r="D907" s="1435">
        <v>1935075.53</v>
      </c>
      <c r="E907" s="1435">
        <v>2061483.56</v>
      </c>
      <c r="F907" s="1421">
        <f t="shared" si="41"/>
        <v>-126408.03000000003</v>
      </c>
      <c r="G907" s="1422">
        <f t="shared" si="40"/>
        <v>-6.1318960991374592E-2</v>
      </c>
      <c r="H907" s="1413" t="s">
        <v>874</v>
      </c>
      <c r="I907" s="1413" t="s">
        <v>995</v>
      </c>
    </row>
    <row r="908" spans="1:9">
      <c r="A908" s="1414">
        <v>42193</v>
      </c>
      <c r="B908" s="1408" t="s">
        <v>592</v>
      </c>
      <c r="C908" s="1434">
        <v>19951</v>
      </c>
      <c r="D908" s="1435">
        <v>1934978.54</v>
      </c>
      <c r="E908" s="1435">
        <v>2083987.74</v>
      </c>
      <c r="F908" s="1421">
        <f t="shared" si="41"/>
        <v>-149009.19999999995</v>
      </c>
      <c r="G908" s="1422">
        <f t="shared" si="40"/>
        <v>-7.1501956148743925E-2</v>
      </c>
      <c r="H908" s="1413" t="s">
        <v>874</v>
      </c>
      <c r="I908" s="1413" t="s">
        <v>996</v>
      </c>
    </row>
    <row r="909" spans="1:9">
      <c r="A909" s="1414">
        <v>42193</v>
      </c>
      <c r="B909" s="1408" t="s">
        <v>592</v>
      </c>
      <c r="C909" s="1434">
        <v>19962</v>
      </c>
      <c r="D909" s="1435">
        <v>1936045.39</v>
      </c>
      <c r="E909" s="1435">
        <v>2078915.29</v>
      </c>
      <c r="F909" s="1421">
        <f t="shared" si="41"/>
        <v>-142869.90000000014</v>
      </c>
      <c r="G909" s="1422">
        <f t="shared" si="40"/>
        <v>-6.872329078882293E-2</v>
      </c>
      <c r="H909" s="1413" t="s">
        <v>874</v>
      </c>
      <c r="I909" s="1413" t="s">
        <v>997</v>
      </c>
    </row>
    <row r="910" spans="1:9">
      <c r="A910" s="1414">
        <v>42193</v>
      </c>
      <c r="B910" s="1408" t="s">
        <v>592</v>
      </c>
      <c r="C910" s="1434">
        <v>19848</v>
      </c>
      <c r="D910" s="1435">
        <v>1924988.93</v>
      </c>
      <c r="E910" s="1435">
        <v>2047602.12</v>
      </c>
      <c r="F910" s="1421">
        <f t="shared" si="41"/>
        <v>-122613.19000000018</v>
      </c>
      <c r="G910" s="1422">
        <f t="shared" si="40"/>
        <v>-5.9881355270329652E-2</v>
      </c>
      <c r="H910" s="1413" t="s">
        <v>874</v>
      </c>
      <c r="I910" s="1413" t="s">
        <v>998</v>
      </c>
    </row>
    <row r="911" spans="1:9">
      <c r="A911" s="1414">
        <v>42193</v>
      </c>
      <c r="B911" s="1408" t="s">
        <v>592</v>
      </c>
      <c r="C911" s="1434">
        <v>19990</v>
      </c>
      <c r="D911" s="1435">
        <v>1938761.01</v>
      </c>
      <c r="E911" s="1435">
        <v>2075259.55</v>
      </c>
      <c r="F911" s="1421">
        <f t="shared" si="41"/>
        <v>-136498.54000000004</v>
      </c>
      <c r="G911" s="1422">
        <f t="shared" si="40"/>
        <v>-6.5774201593241696E-2</v>
      </c>
      <c r="H911" s="1413" t="s">
        <v>874</v>
      </c>
      <c r="I911" s="1413" t="s">
        <v>999</v>
      </c>
    </row>
    <row r="912" spans="1:9">
      <c r="A912" s="1414">
        <v>42194</v>
      </c>
      <c r="B912" s="1408" t="s">
        <v>592</v>
      </c>
      <c r="C912" s="1434">
        <v>27183</v>
      </c>
      <c r="D912" s="1435">
        <v>2595863.44</v>
      </c>
      <c r="E912" s="1435">
        <v>2251804.86</v>
      </c>
      <c r="F912" s="1421">
        <f t="shared" si="41"/>
        <v>344058.58000000007</v>
      </c>
      <c r="G912" s="1422">
        <f t="shared" si="40"/>
        <v>0.15279236052452613</v>
      </c>
      <c r="H912" s="1413" t="s">
        <v>874</v>
      </c>
      <c r="I912" s="1413" t="s">
        <v>1000</v>
      </c>
    </row>
    <row r="913" spans="1:9">
      <c r="A913" s="1414">
        <v>42194</v>
      </c>
      <c r="B913" s="1408" t="s">
        <v>592</v>
      </c>
      <c r="C913" s="1434">
        <v>27133</v>
      </c>
      <c r="D913" s="1435">
        <v>2591088.6400000001</v>
      </c>
      <c r="E913" s="1435">
        <v>2212220.56</v>
      </c>
      <c r="F913" s="1421">
        <f t="shared" si="41"/>
        <v>378868.08000000007</v>
      </c>
      <c r="G913" s="1422">
        <f t="shared" si="40"/>
        <v>0.17126144058619547</v>
      </c>
      <c r="H913" s="1413" t="s">
        <v>874</v>
      </c>
      <c r="I913" s="1413" t="s">
        <v>1001</v>
      </c>
    </row>
    <row r="914" spans="1:9">
      <c r="A914" s="1414">
        <v>42194</v>
      </c>
      <c r="B914" s="1408" t="s">
        <v>592</v>
      </c>
      <c r="C914" s="1434">
        <v>27000</v>
      </c>
      <c r="D914" s="1435">
        <v>2578387.7000000002</v>
      </c>
      <c r="E914" s="1435">
        <v>2218632.7799999998</v>
      </c>
      <c r="F914" s="1421">
        <f t="shared" si="41"/>
        <v>359754.92000000039</v>
      </c>
      <c r="G914" s="1422">
        <f t="shared" si="40"/>
        <v>0.16215162925700594</v>
      </c>
      <c r="H914" s="1413" t="s">
        <v>874</v>
      </c>
      <c r="I914" s="1413" t="s">
        <v>1002</v>
      </c>
    </row>
    <row r="915" spans="1:9">
      <c r="A915" s="1414">
        <v>42194</v>
      </c>
      <c r="B915" s="1408" t="s">
        <v>592</v>
      </c>
      <c r="C915" s="1434">
        <v>26825</v>
      </c>
      <c r="D915" s="1435">
        <v>2561675.92</v>
      </c>
      <c r="E915" s="1435">
        <v>2242699.2200000002</v>
      </c>
      <c r="F915" s="1421">
        <f t="shared" si="41"/>
        <v>318976.69999999972</v>
      </c>
      <c r="G915" s="1422">
        <f t="shared" si="40"/>
        <v>0.14222892537502185</v>
      </c>
      <c r="H915" s="1413" t="s">
        <v>874</v>
      </c>
      <c r="I915" s="1413" t="s">
        <v>1003</v>
      </c>
    </row>
    <row r="916" spans="1:9">
      <c r="A916" s="1414">
        <v>42202</v>
      </c>
      <c r="B916" s="1408" t="s">
        <v>479</v>
      </c>
      <c r="C916" s="1434">
        <v>1877</v>
      </c>
      <c r="D916" s="1435">
        <v>125759</v>
      </c>
      <c r="E916" s="1435">
        <v>113810.26</v>
      </c>
      <c r="F916" s="1421">
        <f t="shared" si="41"/>
        <v>11948.740000000005</v>
      </c>
      <c r="G916" s="1422">
        <f t="shared" si="40"/>
        <v>0.10498824974127997</v>
      </c>
      <c r="H916" s="1413" t="s">
        <v>646</v>
      </c>
      <c r="I916" s="1413"/>
    </row>
    <row r="917" spans="1:9">
      <c r="A917" s="1414">
        <v>42202</v>
      </c>
      <c r="B917" s="1408" t="s">
        <v>321</v>
      </c>
      <c r="C917" s="1436">
        <v>2.2000000000000002</v>
      </c>
      <c r="D917" s="1437">
        <v>220</v>
      </c>
      <c r="E917" s="1437">
        <v>161.82</v>
      </c>
      <c r="F917" s="1421">
        <f t="shared" si="41"/>
        <v>58.180000000000007</v>
      </c>
      <c r="G917" s="1422">
        <f t="shared" si="40"/>
        <v>0.35953528612038071</v>
      </c>
      <c r="H917" s="1413" t="s">
        <v>590</v>
      </c>
      <c r="I917" s="1413"/>
    </row>
    <row r="918" spans="1:9">
      <c r="A918" s="1414">
        <v>42206</v>
      </c>
      <c r="B918" s="1408" t="s">
        <v>321</v>
      </c>
      <c r="C918" s="1436">
        <v>2.2000000000000002</v>
      </c>
      <c r="D918" s="1437">
        <v>220</v>
      </c>
      <c r="E918" s="1437">
        <v>161.86000000000001</v>
      </c>
      <c r="F918" s="1421">
        <f t="shared" si="41"/>
        <v>58.139999999999986</v>
      </c>
      <c r="G918" s="1422">
        <f t="shared" si="40"/>
        <v>0.35919930804398853</v>
      </c>
      <c r="H918" s="1413" t="s">
        <v>590</v>
      </c>
      <c r="I918" s="1413"/>
    </row>
    <row r="919" spans="1:9">
      <c r="A919" s="1414">
        <v>42207</v>
      </c>
      <c r="B919" s="1408" t="s">
        <v>592</v>
      </c>
      <c r="C919" s="1434">
        <v>19921</v>
      </c>
      <c r="D919" s="1435">
        <v>1924751.83</v>
      </c>
      <c r="E919" s="1435">
        <v>1604279.78</v>
      </c>
      <c r="F919" s="1421">
        <f t="shared" si="41"/>
        <v>320472.05000000005</v>
      </c>
      <c r="G919" s="1422">
        <f t="shared" si="40"/>
        <v>0.19976069884767858</v>
      </c>
      <c r="H919" s="1413" t="s">
        <v>874</v>
      </c>
      <c r="I919" s="1413" t="s">
        <v>1004</v>
      </c>
    </row>
    <row r="920" spans="1:9">
      <c r="A920" s="1414">
        <v>42207</v>
      </c>
      <c r="B920" s="1408" t="s">
        <v>592</v>
      </c>
      <c r="C920" s="1434">
        <v>19828</v>
      </c>
      <c r="D920" s="1435">
        <v>1915766.24</v>
      </c>
      <c r="E920" s="1435">
        <v>1592601.22</v>
      </c>
      <c r="F920" s="1421">
        <f t="shared" si="41"/>
        <v>323165.02</v>
      </c>
      <c r="G920" s="1422">
        <f t="shared" si="40"/>
        <v>0.20291647145667766</v>
      </c>
      <c r="H920" s="1413" t="s">
        <v>874</v>
      </c>
      <c r="I920" s="1413" t="s">
        <v>1005</v>
      </c>
    </row>
    <row r="921" spans="1:9">
      <c r="A921" s="1414">
        <v>42207</v>
      </c>
      <c r="B921" s="1408" t="s">
        <v>592</v>
      </c>
      <c r="C921" s="1434">
        <v>19982</v>
      </c>
      <c r="D921" s="1435">
        <v>1930645.6</v>
      </c>
      <c r="E921" s="1435">
        <v>1699549.35</v>
      </c>
      <c r="F921" s="1421">
        <f t="shared" si="41"/>
        <v>231096.25</v>
      </c>
      <c r="G921" s="1422">
        <f t="shared" si="40"/>
        <v>0.1359750159652616</v>
      </c>
      <c r="H921" s="1413" t="s">
        <v>874</v>
      </c>
      <c r="I921" s="1413" t="s">
        <v>1006</v>
      </c>
    </row>
    <row r="922" spans="1:9">
      <c r="A922" s="1414">
        <v>42207</v>
      </c>
      <c r="B922" s="1408" t="s">
        <v>592</v>
      </c>
      <c r="C922" s="1434">
        <v>20359</v>
      </c>
      <c r="D922" s="1435">
        <v>1967071.06</v>
      </c>
      <c r="E922" s="1435">
        <v>1665377.13</v>
      </c>
      <c r="F922" s="1421">
        <f t="shared" si="41"/>
        <v>301693.93000000017</v>
      </c>
      <c r="G922" s="1422">
        <f t="shared" si="40"/>
        <v>0.18115652278712402</v>
      </c>
      <c r="H922" s="1413" t="s">
        <v>874</v>
      </c>
      <c r="I922" s="1413" t="s">
        <v>1007</v>
      </c>
    </row>
    <row r="923" spans="1:9">
      <c r="A923" s="1414">
        <v>42207</v>
      </c>
      <c r="B923" s="1408" t="s">
        <v>592</v>
      </c>
      <c r="C923" s="1434">
        <v>19750</v>
      </c>
      <c r="D923" s="1435">
        <v>1908229.94</v>
      </c>
      <c r="E923" s="1435">
        <v>1610467.5</v>
      </c>
      <c r="F923" s="1421">
        <f t="shared" si="41"/>
        <v>297762.43999999994</v>
      </c>
      <c r="G923" s="1422">
        <f t="shared" si="40"/>
        <v>0.18489192734407864</v>
      </c>
      <c r="H923" s="1413" t="s">
        <v>874</v>
      </c>
      <c r="I923" s="1413" t="s">
        <v>1008</v>
      </c>
    </row>
    <row r="924" spans="1:9">
      <c r="A924" s="1414">
        <v>42207</v>
      </c>
      <c r="B924" s="1408" t="s">
        <v>592</v>
      </c>
      <c r="C924" s="1434">
        <v>27030</v>
      </c>
      <c r="D924" s="1435">
        <v>2531497.56</v>
      </c>
      <c r="E924" s="1435">
        <v>2233059.83</v>
      </c>
      <c r="F924" s="1421">
        <f t="shared" si="41"/>
        <v>298437.73</v>
      </c>
      <c r="G924" s="1422">
        <f t="shared" si="40"/>
        <v>0.13364520107819949</v>
      </c>
      <c r="H924" s="1413" t="s">
        <v>874</v>
      </c>
      <c r="I924" s="1413" t="s">
        <v>1009</v>
      </c>
    </row>
    <row r="925" spans="1:9">
      <c r="A925" s="1414">
        <v>42207</v>
      </c>
      <c r="B925" s="1408" t="s">
        <v>592</v>
      </c>
      <c r="C925" s="1434">
        <v>27291</v>
      </c>
      <c r="D925" s="1435">
        <v>2555941.54</v>
      </c>
      <c r="E925" s="1435">
        <v>2246849.44</v>
      </c>
      <c r="F925" s="1421">
        <f t="shared" si="41"/>
        <v>309092.10000000009</v>
      </c>
      <c r="G925" s="1422">
        <f t="shared" si="40"/>
        <v>0.13756689455791934</v>
      </c>
      <c r="H925" s="1413" t="s">
        <v>874</v>
      </c>
      <c r="I925" s="1413" t="s">
        <v>1010</v>
      </c>
    </row>
    <row r="926" spans="1:9">
      <c r="A926" s="1414">
        <v>42207</v>
      </c>
      <c r="B926" s="1408" t="s">
        <v>592</v>
      </c>
      <c r="C926" s="1434">
        <v>26978</v>
      </c>
      <c r="D926" s="1435">
        <v>2526627.4900000002</v>
      </c>
      <c r="E926" s="1435">
        <v>2224992.12</v>
      </c>
      <c r="F926" s="1421">
        <f t="shared" si="41"/>
        <v>301635.37000000011</v>
      </c>
      <c r="G926" s="1422">
        <f t="shared" si="40"/>
        <v>0.13556693854718016</v>
      </c>
      <c r="H926" s="1413" t="s">
        <v>874</v>
      </c>
      <c r="I926" s="1413" t="s">
        <v>1011</v>
      </c>
    </row>
    <row r="927" spans="1:9">
      <c r="A927" s="1414">
        <v>42207</v>
      </c>
      <c r="B927" s="1408" t="s">
        <v>592</v>
      </c>
      <c r="C927" s="1434">
        <v>27169</v>
      </c>
      <c r="D927" s="1435">
        <v>2544515.62</v>
      </c>
      <c r="E927" s="1435">
        <v>2262773.73</v>
      </c>
      <c r="F927" s="1421">
        <f t="shared" si="41"/>
        <v>281741.89000000013</v>
      </c>
      <c r="G927" s="1422">
        <f t="shared" si="40"/>
        <v>0.12451173807820375</v>
      </c>
      <c r="H927" s="1413" t="s">
        <v>874</v>
      </c>
      <c r="I927" s="1413" t="s">
        <v>1012</v>
      </c>
    </row>
    <row r="928" spans="1:9">
      <c r="A928" s="1415" t="s">
        <v>7</v>
      </c>
      <c r="B928" s="1416"/>
      <c r="C928" s="1417">
        <f>SUM(C929:C958)</f>
        <v>587099.69999999995</v>
      </c>
      <c r="D928" s="1417">
        <f>SUM(D929:D958)</f>
        <v>59619330.739999995</v>
      </c>
      <c r="E928" s="1417">
        <f>SUM(E929:E958)</f>
        <v>47694943.030000001</v>
      </c>
      <c r="F928" s="1417">
        <f>SUM(F929:F958)</f>
        <v>11924387.709999999</v>
      </c>
      <c r="G928" s="1420">
        <f t="shared" ref="G928:G991" si="42">F928/E928</f>
        <v>0.25001366921645318</v>
      </c>
      <c r="H928" s="1423"/>
      <c r="I928" s="1423"/>
    </row>
    <row r="929" spans="1:9">
      <c r="A929" s="1414">
        <v>42218</v>
      </c>
      <c r="B929" s="1408" t="s">
        <v>321</v>
      </c>
      <c r="C929" s="1436">
        <v>1.6</v>
      </c>
      <c r="D929" s="1437">
        <v>172.8</v>
      </c>
      <c r="E929" s="1437">
        <v>122.89</v>
      </c>
      <c r="F929" s="1421">
        <f t="shared" ref="F929:F958" si="43">D929-E929</f>
        <v>49.910000000000011</v>
      </c>
      <c r="G929" s="1422">
        <f t="shared" si="42"/>
        <v>0.40613556839449921</v>
      </c>
      <c r="H929" s="1413" t="s">
        <v>590</v>
      </c>
      <c r="I929" s="1413"/>
    </row>
    <row r="930" spans="1:9">
      <c r="A930" s="1414">
        <v>42218</v>
      </c>
      <c r="B930" s="1408" t="s">
        <v>489</v>
      </c>
      <c r="C930" s="1434">
        <v>21828</v>
      </c>
      <c r="D930" s="1435">
        <v>821650</v>
      </c>
      <c r="E930" s="1441"/>
      <c r="F930" s="1421">
        <f t="shared" si="43"/>
        <v>821650</v>
      </c>
      <c r="G930" s="1422" t="e">
        <f t="shared" si="42"/>
        <v>#DIV/0!</v>
      </c>
      <c r="H930" s="1413" t="s">
        <v>980</v>
      </c>
      <c r="I930" s="1413"/>
    </row>
    <row r="931" spans="1:9">
      <c r="A931" s="1414">
        <v>42220</v>
      </c>
      <c r="B931" s="1408" t="s">
        <v>321</v>
      </c>
      <c r="C931" s="1436">
        <v>2.2000000000000002</v>
      </c>
      <c r="D931" s="1437">
        <v>237.6</v>
      </c>
      <c r="E931" s="1437">
        <v>169.96</v>
      </c>
      <c r="F931" s="1421">
        <f t="shared" si="43"/>
        <v>67.639999999999986</v>
      </c>
      <c r="G931" s="1422">
        <f t="shared" si="42"/>
        <v>0.39797599435161207</v>
      </c>
      <c r="H931" s="1413" t="s">
        <v>590</v>
      </c>
      <c r="I931" s="1413"/>
    </row>
    <row r="932" spans="1:9">
      <c r="A932" s="1414">
        <v>42222</v>
      </c>
      <c r="B932" s="1408" t="s">
        <v>321</v>
      </c>
      <c r="C932" s="1442">
        <v>1.2</v>
      </c>
      <c r="D932" s="1443">
        <v>132</v>
      </c>
      <c r="E932" s="1443">
        <v>92.85</v>
      </c>
      <c r="F932" s="1421">
        <f t="shared" si="43"/>
        <v>39.150000000000006</v>
      </c>
      <c r="G932" s="1422">
        <f t="shared" si="42"/>
        <v>0.42164781906300491</v>
      </c>
      <c r="H932" s="1413" t="s">
        <v>590</v>
      </c>
      <c r="I932" s="1413"/>
    </row>
    <row r="933" spans="1:9">
      <c r="A933" s="1414">
        <v>42227</v>
      </c>
      <c r="B933" s="1408" t="s">
        <v>592</v>
      </c>
      <c r="C933" s="1434">
        <v>26969</v>
      </c>
      <c r="D933" s="1435">
        <v>2831805.83</v>
      </c>
      <c r="E933" s="1435">
        <v>2236948.02</v>
      </c>
      <c r="F933" s="1421">
        <f t="shared" si="43"/>
        <v>594857.81000000006</v>
      </c>
      <c r="G933" s="1422">
        <f t="shared" si="42"/>
        <v>0.26592384118071732</v>
      </c>
      <c r="H933" s="1413" t="s">
        <v>874</v>
      </c>
      <c r="I933" s="1413" t="s">
        <v>1013</v>
      </c>
    </row>
    <row r="934" spans="1:9">
      <c r="A934" s="1414">
        <v>42227</v>
      </c>
      <c r="B934" s="1408" t="s">
        <v>592</v>
      </c>
      <c r="C934" s="1434">
        <v>26894</v>
      </c>
      <c r="D934" s="1435">
        <v>2823930.66</v>
      </c>
      <c r="E934" s="1435">
        <v>2235840.79</v>
      </c>
      <c r="F934" s="1421">
        <f t="shared" si="43"/>
        <v>588089.87000000011</v>
      </c>
      <c r="G934" s="1422">
        <f t="shared" si="42"/>
        <v>0.2630285092884454</v>
      </c>
      <c r="H934" s="1413" t="s">
        <v>874</v>
      </c>
      <c r="I934" s="1413" t="s">
        <v>1014</v>
      </c>
    </row>
    <row r="935" spans="1:9">
      <c r="A935" s="1414">
        <v>42227</v>
      </c>
      <c r="B935" s="1408" t="s">
        <v>592</v>
      </c>
      <c r="C935" s="1434">
        <v>26703</v>
      </c>
      <c r="D935" s="1435">
        <v>2759095.9</v>
      </c>
      <c r="E935" s="1435">
        <v>2306287.6</v>
      </c>
      <c r="F935" s="1421">
        <f t="shared" si="43"/>
        <v>452808.29999999981</v>
      </c>
      <c r="G935" s="1422">
        <f t="shared" si="42"/>
        <v>0.19633644130072928</v>
      </c>
      <c r="H935" s="1413" t="s">
        <v>874</v>
      </c>
      <c r="I935" s="1413" t="s">
        <v>1015</v>
      </c>
    </row>
    <row r="936" spans="1:9">
      <c r="A936" s="1414">
        <v>42227</v>
      </c>
      <c r="B936" s="1408" t="s">
        <v>592</v>
      </c>
      <c r="C936" s="1434">
        <v>27060</v>
      </c>
      <c r="D936" s="1435">
        <v>2796109.8</v>
      </c>
      <c r="E936" s="1435">
        <v>2376823.5699999998</v>
      </c>
      <c r="F936" s="1421">
        <f t="shared" si="43"/>
        <v>419286.23</v>
      </c>
      <c r="G936" s="1422">
        <f t="shared" si="42"/>
        <v>0.17640612256298013</v>
      </c>
      <c r="H936" s="1413" t="s">
        <v>874</v>
      </c>
      <c r="I936" s="1413" t="s">
        <v>1016</v>
      </c>
    </row>
    <row r="937" spans="1:9">
      <c r="A937" s="1414">
        <v>42229</v>
      </c>
      <c r="B937" s="1408" t="s">
        <v>592</v>
      </c>
      <c r="C937" s="1434">
        <v>27218</v>
      </c>
      <c r="D937" s="1435">
        <v>2861491.68</v>
      </c>
      <c r="E937" s="1435">
        <v>2343794.02</v>
      </c>
      <c r="F937" s="1421">
        <f t="shared" si="43"/>
        <v>517697.66000000015</v>
      </c>
      <c r="G937" s="1422">
        <f t="shared" si="42"/>
        <v>0.22088018639112328</v>
      </c>
      <c r="H937" s="1413" t="s">
        <v>874</v>
      </c>
      <c r="I937" s="1413" t="s">
        <v>1017</v>
      </c>
    </row>
    <row r="938" spans="1:9">
      <c r="A938" s="1414">
        <v>42229</v>
      </c>
      <c r="B938" s="1408" t="s">
        <v>592</v>
      </c>
      <c r="C938" s="1434">
        <v>27396</v>
      </c>
      <c r="D938" s="1435">
        <v>2880205.24</v>
      </c>
      <c r="E938" s="1435">
        <v>2422385.75</v>
      </c>
      <c r="F938" s="1421">
        <f t="shared" si="43"/>
        <v>457819.49000000022</v>
      </c>
      <c r="G938" s="1422">
        <f t="shared" si="42"/>
        <v>0.18899528698102697</v>
      </c>
      <c r="H938" s="1413" t="s">
        <v>874</v>
      </c>
      <c r="I938" s="1413" t="s">
        <v>1018</v>
      </c>
    </row>
    <row r="939" spans="1:9">
      <c r="A939" s="1414">
        <v>42229</v>
      </c>
      <c r="B939" s="1408" t="s">
        <v>592</v>
      </c>
      <c r="C939" s="1434">
        <v>27153</v>
      </c>
      <c r="D939" s="1435">
        <v>2854658.08</v>
      </c>
      <c r="E939" s="1435">
        <v>2445086.38</v>
      </c>
      <c r="F939" s="1421">
        <f t="shared" si="43"/>
        <v>409571.70000000019</v>
      </c>
      <c r="G939" s="1422">
        <f t="shared" si="42"/>
        <v>0.16750806979669985</v>
      </c>
      <c r="H939" s="1413" t="s">
        <v>874</v>
      </c>
      <c r="I939" s="1413" t="s">
        <v>1019</v>
      </c>
    </row>
    <row r="940" spans="1:9">
      <c r="A940" s="1414">
        <v>42229</v>
      </c>
      <c r="B940" s="1408" t="s">
        <v>592</v>
      </c>
      <c r="C940" s="1434">
        <v>27216</v>
      </c>
      <c r="D940" s="1435">
        <v>2861281.42</v>
      </c>
      <c r="E940" s="1435">
        <v>2412934.65</v>
      </c>
      <c r="F940" s="1421">
        <f t="shared" si="43"/>
        <v>448346.77</v>
      </c>
      <c r="G940" s="1422">
        <f t="shared" si="42"/>
        <v>0.18580974416360593</v>
      </c>
      <c r="H940" s="1413" t="s">
        <v>874</v>
      </c>
      <c r="I940" s="1413" t="s">
        <v>1020</v>
      </c>
    </row>
    <row r="941" spans="1:9">
      <c r="A941" s="1414">
        <v>42233</v>
      </c>
      <c r="B941" s="1408" t="s">
        <v>321</v>
      </c>
      <c r="C941" s="1436">
        <v>2.1</v>
      </c>
      <c r="D941" s="1437">
        <v>226.8</v>
      </c>
      <c r="E941" s="1437">
        <v>171.6</v>
      </c>
      <c r="F941" s="1421">
        <f t="shared" si="43"/>
        <v>55.200000000000017</v>
      </c>
      <c r="G941" s="1422">
        <f t="shared" si="42"/>
        <v>0.32167832167832178</v>
      </c>
      <c r="H941" s="1408" t="s">
        <v>321</v>
      </c>
      <c r="I941" s="1413"/>
    </row>
    <row r="942" spans="1:9">
      <c r="A942" s="1414">
        <v>42235</v>
      </c>
      <c r="B942" s="1408" t="s">
        <v>321</v>
      </c>
      <c r="C942" s="1436">
        <v>8</v>
      </c>
      <c r="D942" s="1437">
        <v>960</v>
      </c>
      <c r="E942" s="1437">
        <v>653.37</v>
      </c>
      <c r="F942" s="1421">
        <f t="shared" si="43"/>
        <v>306.63</v>
      </c>
      <c r="G942" s="1422">
        <f t="shared" si="42"/>
        <v>0.46930529409063776</v>
      </c>
      <c r="H942" s="1413" t="s">
        <v>590</v>
      </c>
      <c r="I942" s="1413"/>
    </row>
    <row r="943" spans="1:9">
      <c r="A943" s="1414">
        <v>42236</v>
      </c>
      <c r="B943" s="1408" t="s">
        <v>321</v>
      </c>
      <c r="C943" s="1436">
        <v>2.6</v>
      </c>
      <c r="D943" s="1437">
        <v>312</v>
      </c>
      <c r="E943" s="1437">
        <v>212.77</v>
      </c>
      <c r="F943" s="1421">
        <f t="shared" si="43"/>
        <v>99.22999999999999</v>
      </c>
      <c r="G943" s="1422">
        <f t="shared" si="42"/>
        <v>0.46637213892936025</v>
      </c>
      <c r="H943" s="1413" t="s">
        <v>590</v>
      </c>
      <c r="I943" s="1413"/>
    </row>
    <row r="944" spans="1:9">
      <c r="A944" s="1414">
        <v>42240</v>
      </c>
      <c r="B944" s="1408" t="s">
        <v>489</v>
      </c>
      <c r="C944" s="1434">
        <v>22739</v>
      </c>
      <c r="D944" s="1435">
        <v>932351.14</v>
      </c>
      <c r="E944" s="1441"/>
      <c r="F944" s="1421">
        <f t="shared" si="43"/>
        <v>932351.14</v>
      </c>
      <c r="G944" s="1422" t="e">
        <f t="shared" si="42"/>
        <v>#DIV/0!</v>
      </c>
      <c r="H944" s="1413" t="s">
        <v>980</v>
      </c>
      <c r="I944" s="1413"/>
    </row>
    <row r="945" spans="1:9">
      <c r="A945" s="1414">
        <v>42241</v>
      </c>
      <c r="B945" s="1408" t="s">
        <v>321</v>
      </c>
      <c r="C945" s="1436">
        <v>4</v>
      </c>
      <c r="D945" s="1437">
        <v>480</v>
      </c>
      <c r="E945" s="1437">
        <v>357.02</v>
      </c>
      <c r="F945" s="1421">
        <f t="shared" si="43"/>
        <v>122.98000000000002</v>
      </c>
      <c r="G945" s="1422">
        <f t="shared" si="42"/>
        <v>0.34446249509831389</v>
      </c>
      <c r="H945" s="1413" t="s">
        <v>590</v>
      </c>
      <c r="I945" s="1413"/>
    </row>
    <row r="946" spans="1:9">
      <c r="A946" s="1414">
        <v>42241</v>
      </c>
      <c r="B946" s="1408" t="s">
        <v>592</v>
      </c>
      <c r="C946" s="1434">
        <v>26598</v>
      </c>
      <c r="D946" s="1435">
        <v>2828218.26</v>
      </c>
      <c r="E946" s="1435">
        <v>2157743.44</v>
      </c>
      <c r="F946" s="1421">
        <f t="shared" si="43"/>
        <v>670474.81999999983</v>
      </c>
      <c r="G946" s="1422">
        <f t="shared" si="42"/>
        <v>0.31072962965420942</v>
      </c>
      <c r="H946" s="1413" t="s">
        <v>874</v>
      </c>
      <c r="I946" s="1413" t="s">
        <v>1021</v>
      </c>
    </row>
    <row r="947" spans="1:9">
      <c r="A947" s="1414">
        <v>42241</v>
      </c>
      <c r="B947" s="1408" t="s">
        <v>592</v>
      </c>
      <c r="C947" s="1434">
        <v>27210</v>
      </c>
      <c r="D947" s="1435">
        <v>2893293.43</v>
      </c>
      <c r="E947" s="1435">
        <v>2222086.4900000002</v>
      </c>
      <c r="F947" s="1421">
        <f t="shared" si="43"/>
        <v>671206.94</v>
      </c>
      <c r="G947" s="1422">
        <f t="shared" si="42"/>
        <v>0.30206157276983392</v>
      </c>
      <c r="H947" s="1413" t="s">
        <v>874</v>
      </c>
      <c r="I947" s="1413" t="s">
        <v>1022</v>
      </c>
    </row>
    <row r="948" spans="1:9">
      <c r="A948" s="1414">
        <v>42241</v>
      </c>
      <c r="B948" s="1408" t="s">
        <v>592</v>
      </c>
      <c r="C948" s="1434">
        <v>27027</v>
      </c>
      <c r="D948" s="1435">
        <v>2873834.68</v>
      </c>
      <c r="E948" s="1435">
        <v>2273588.67</v>
      </c>
      <c r="F948" s="1421">
        <f t="shared" si="43"/>
        <v>600246.01000000024</v>
      </c>
      <c r="G948" s="1422">
        <f t="shared" si="42"/>
        <v>0.2640081813919315</v>
      </c>
      <c r="H948" s="1413" t="s">
        <v>874</v>
      </c>
      <c r="I948" s="1413" t="s">
        <v>1023</v>
      </c>
    </row>
    <row r="949" spans="1:9">
      <c r="A949" s="1414">
        <v>42241</v>
      </c>
      <c r="B949" s="1408" t="s">
        <v>592</v>
      </c>
      <c r="C949" s="1434">
        <v>27213</v>
      </c>
      <c r="D949" s="1435">
        <v>2893612.43</v>
      </c>
      <c r="E949" s="1435">
        <v>2244128.87</v>
      </c>
      <c r="F949" s="1421">
        <f t="shared" si="43"/>
        <v>649483.56000000006</v>
      </c>
      <c r="G949" s="1422">
        <f t="shared" si="42"/>
        <v>0.28941455576925046</v>
      </c>
      <c r="H949" s="1413" t="s">
        <v>874</v>
      </c>
      <c r="I949" s="1413" t="s">
        <v>1024</v>
      </c>
    </row>
    <row r="950" spans="1:9">
      <c r="A950" s="1414">
        <v>42241</v>
      </c>
      <c r="B950" s="1408" t="s">
        <v>592</v>
      </c>
      <c r="C950" s="1434">
        <v>26362</v>
      </c>
      <c r="D950" s="1435">
        <v>2900104.91</v>
      </c>
      <c r="E950" s="1435">
        <v>2409960.8199999998</v>
      </c>
      <c r="F950" s="1421">
        <f t="shared" si="43"/>
        <v>490144.09000000032</v>
      </c>
      <c r="G950" s="1422">
        <f t="shared" si="42"/>
        <v>0.20338259690047589</v>
      </c>
      <c r="H950" s="1413" t="s">
        <v>874</v>
      </c>
      <c r="I950" s="1413" t="s">
        <v>1025</v>
      </c>
    </row>
    <row r="951" spans="1:9">
      <c r="A951" s="1414">
        <v>42241</v>
      </c>
      <c r="B951" s="1408" t="s">
        <v>592</v>
      </c>
      <c r="C951" s="1434">
        <v>27199</v>
      </c>
      <c r="D951" s="1435">
        <v>2932532.7</v>
      </c>
      <c r="E951" s="1435">
        <v>2511086.61</v>
      </c>
      <c r="F951" s="1421">
        <f t="shared" si="43"/>
        <v>421446.09000000032</v>
      </c>
      <c r="G951" s="1422">
        <f t="shared" si="42"/>
        <v>0.16783415128799573</v>
      </c>
      <c r="H951" s="1413" t="s">
        <v>874</v>
      </c>
      <c r="I951" s="1413" t="s">
        <v>1026</v>
      </c>
    </row>
    <row r="952" spans="1:9">
      <c r="A952" s="1414">
        <v>42241</v>
      </c>
      <c r="B952" s="1408" t="s">
        <v>592</v>
      </c>
      <c r="C952" s="1434">
        <v>27517</v>
      </c>
      <c r="D952" s="1435">
        <v>2966818.72</v>
      </c>
      <c r="E952" s="1435">
        <v>2523259.35</v>
      </c>
      <c r="F952" s="1421">
        <f t="shared" si="43"/>
        <v>443559.37000000011</v>
      </c>
      <c r="G952" s="1422">
        <f t="shared" si="42"/>
        <v>0.17578825973636047</v>
      </c>
      <c r="H952" s="1413" t="s">
        <v>874</v>
      </c>
      <c r="I952" s="1413" t="s">
        <v>1027</v>
      </c>
    </row>
    <row r="953" spans="1:9">
      <c r="A953" s="1414">
        <v>42241</v>
      </c>
      <c r="B953" s="1408" t="s">
        <v>592</v>
      </c>
      <c r="C953" s="1434">
        <v>27398</v>
      </c>
      <c r="D953" s="1435">
        <v>2953988.41</v>
      </c>
      <c r="E953" s="1435">
        <v>2504986.35</v>
      </c>
      <c r="F953" s="1421">
        <f t="shared" si="43"/>
        <v>449002.06000000006</v>
      </c>
      <c r="G953" s="1422">
        <f t="shared" si="42"/>
        <v>0.1792433160364327</v>
      </c>
      <c r="H953" s="1413" t="s">
        <v>874</v>
      </c>
      <c r="I953" s="1413" t="s">
        <v>1028</v>
      </c>
    </row>
    <row r="954" spans="1:9">
      <c r="A954" s="1414">
        <v>42241</v>
      </c>
      <c r="B954" s="1408" t="s">
        <v>592</v>
      </c>
      <c r="C954" s="1434">
        <v>26479</v>
      </c>
      <c r="D954" s="1435">
        <v>2912976.17</v>
      </c>
      <c r="E954" s="1435">
        <v>2399526.08</v>
      </c>
      <c r="F954" s="1421">
        <f t="shared" si="43"/>
        <v>513450.08999999985</v>
      </c>
      <c r="G954" s="1422">
        <f t="shared" si="42"/>
        <v>0.21397979137613701</v>
      </c>
      <c r="H954" s="1413" t="s">
        <v>874</v>
      </c>
      <c r="I954" s="1413" t="s">
        <v>1029</v>
      </c>
    </row>
    <row r="955" spans="1:9">
      <c r="A955" s="1414">
        <v>42241</v>
      </c>
      <c r="B955" s="1408" t="s">
        <v>592</v>
      </c>
      <c r="C955" s="1434">
        <v>27204</v>
      </c>
      <c r="D955" s="1435">
        <v>2992734.01</v>
      </c>
      <c r="E955" s="1435">
        <v>2521062.89</v>
      </c>
      <c r="F955" s="1421">
        <f t="shared" si="43"/>
        <v>471671.11999999965</v>
      </c>
      <c r="G955" s="1422">
        <f t="shared" si="42"/>
        <v>0.18709216730408484</v>
      </c>
      <c r="H955" s="1413" t="s">
        <v>874</v>
      </c>
      <c r="I955" s="1413" t="s">
        <v>1030</v>
      </c>
    </row>
    <row r="956" spans="1:9">
      <c r="A956" s="1414">
        <v>42241</v>
      </c>
      <c r="B956" s="1408" t="s">
        <v>592</v>
      </c>
      <c r="C956" s="1434">
        <v>26903</v>
      </c>
      <c r="D956" s="1435">
        <v>2959620.75</v>
      </c>
      <c r="E956" s="1435">
        <v>2490026.58</v>
      </c>
      <c r="F956" s="1421">
        <f t="shared" si="43"/>
        <v>469594.16999999993</v>
      </c>
      <c r="G956" s="1422">
        <f t="shared" si="42"/>
        <v>0.18859002300288694</v>
      </c>
      <c r="H956" s="1413" t="s">
        <v>874</v>
      </c>
      <c r="I956" s="1413" t="s">
        <v>1031</v>
      </c>
    </row>
    <row r="957" spans="1:9">
      <c r="A957" s="1414">
        <v>42241</v>
      </c>
      <c r="B957" s="1408" t="s">
        <v>592</v>
      </c>
      <c r="C957" s="1434">
        <v>27404</v>
      </c>
      <c r="D957" s="1435">
        <v>2954635.32</v>
      </c>
      <c r="E957" s="1435">
        <v>2544821.33</v>
      </c>
      <c r="F957" s="1421">
        <f t="shared" si="43"/>
        <v>409813.98999999976</v>
      </c>
      <c r="G957" s="1422">
        <f t="shared" si="42"/>
        <v>0.16103841364768809</v>
      </c>
      <c r="H957" s="1413" t="s">
        <v>874</v>
      </c>
      <c r="I957" s="1413" t="s">
        <v>1032</v>
      </c>
    </row>
    <row r="958" spans="1:9">
      <c r="A958" s="1414">
        <v>42247</v>
      </c>
      <c r="B958" s="1408" t="s">
        <v>476</v>
      </c>
      <c r="C958" s="1434">
        <v>1388</v>
      </c>
      <c r="D958" s="1435">
        <v>131860</v>
      </c>
      <c r="E958" s="1435">
        <v>110784.31</v>
      </c>
      <c r="F958" s="1421">
        <f t="shared" si="43"/>
        <v>21075.690000000002</v>
      </c>
      <c r="G958" s="1422">
        <f t="shared" si="42"/>
        <v>0.19024074799039686</v>
      </c>
      <c r="H958" s="1413" t="s">
        <v>880</v>
      </c>
      <c r="I958" s="1413"/>
    </row>
    <row r="959" spans="1:9">
      <c r="A959" s="1415" t="s">
        <v>8</v>
      </c>
      <c r="B959" s="1416"/>
      <c r="C959" s="1417">
        <f>SUM(C960:C998)</f>
        <v>820962.6</v>
      </c>
      <c r="D959" s="1417">
        <f>SUM(D960:D998)</f>
        <v>82748986.399999991</v>
      </c>
      <c r="E959" s="1417">
        <f>SUM(E960:E998)</f>
        <v>68625497.719999999</v>
      </c>
      <c r="F959" s="1433">
        <f>SUM(F960:F998)</f>
        <v>14123488.679999998</v>
      </c>
      <c r="G959" s="1420">
        <f t="shared" si="42"/>
        <v>0.20580526406708877</v>
      </c>
      <c r="H959" s="1423"/>
      <c r="I959" s="1423"/>
    </row>
    <row r="960" spans="1:9">
      <c r="A960" s="1414">
        <v>42249</v>
      </c>
      <c r="B960" s="1408" t="s">
        <v>321</v>
      </c>
      <c r="C960" s="1436">
        <v>4</v>
      </c>
      <c r="D960" s="1444">
        <v>448</v>
      </c>
      <c r="E960" s="1437">
        <v>329.45</v>
      </c>
      <c r="F960" s="1421">
        <f t="shared" ref="F960:F998" si="44">D960-E960</f>
        <v>118.55000000000001</v>
      </c>
      <c r="G960" s="1422">
        <f t="shared" si="42"/>
        <v>0.3598421611777205</v>
      </c>
      <c r="H960" s="1413" t="s">
        <v>590</v>
      </c>
      <c r="I960" s="1413"/>
    </row>
    <row r="961" spans="1:9">
      <c r="A961" s="1414">
        <v>42251</v>
      </c>
      <c r="B961" s="1408" t="s">
        <v>321</v>
      </c>
      <c r="C961" s="1436">
        <v>1</v>
      </c>
      <c r="D961" s="1444">
        <v>112</v>
      </c>
      <c r="E961" s="1437">
        <v>82.91</v>
      </c>
      <c r="F961" s="1421">
        <f t="shared" si="44"/>
        <v>29.090000000000003</v>
      </c>
      <c r="G961" s="1422">
        <f t="shared" si="42"/>
        <v>0.35086238089494637</v>
      </c>
      <c r="H961" s="1413" t="s">
        <v>590</v>
      </c>
      <c r="I961" s="1413"/>
    </row>
    <row r="962" spans="1:9">
      <c r="A962" s="1414">
        <v>42252</v>
      </c>
      <c r="B962" s="1408" t="s">
        <v>321</v>
      </c>
      <c r="C962" s="1438">
        <v>4.9000000000000004</v>
      </c>
      <c r="D962" s="1440">
        <v>532</v>
      </c>
      <c r="E962" s="1440">
        <v>306.25</v>
      </c>
      <c r="F962" s="1421">
        <f t="shared" si="44"/>
        <v>225.75</v>
      </c>
      <c r="G962" s="1422">
        <f t="shared" si="42"/>
        <v>0.7371428571428571</v>
      </c>
      <c r="H962" s="1413" t="s">
        <v>590</v>
      </c>
      <c r="I962" s="1413"/>
    </row>
    <row r="963" spans="1:9">
      <c r="A963" s="1445">
        <v>42256</v>
      </c>
      <c r="B963" s="1446" t="s">
        <v>592</v>
      </c>
      <c r="C963" s="1447">
        <v>67503</v>
      </c>
      <c r="D963" s="1448">
        <v>7727195.6399999997</v>
      </c>
      <c r="E963" s="1448">
        <v>5582076.1900000004</v>
      </c>
      <c r="F963" s="1449">
        <f t="shared" si="44"/>
        <v>2145119.4499999993</v>
      </c>
      <c r="G963" s="1450">
        <f t="shared" si="42"/>
        <v>0.38428702457391561</v>
      </c>
      <c r="H963" s="1451" t="s">
        <v>874</v>
      </c>
      <c r="I963" s="1451" t="s">
        <v>1033</v>
      </c>
    </row>
    <row r="964" spans="1:9">
      <c r="A964" s="1445">
        <v>42256</v>
      </c>
      <c r="B964" s="1446" t="s">
        <v>592</v>
      </c>
      <c r="C964" s="1447">
        <v>20084</v>
      </c>
      <c r="D964" s="1448">
        <v>2299053.33</v>
      </c>
      <c r="E964" s="1448">
        <v>1663054.55</v>
      </c>
      <c r="F964" s="1449">
        <f t="shared" si="44"/>
        <v>635998.78</v>
      </c>
      <c r="G964" s="1450">
        <f t="shared" si="42"/>
        <v>0.38242809293297086</v>
      </c>
      <c r="H964" s="1451" t="s">
        <v>874</v>
      </c>
      <c r="I964" s="1451" t="s">
        <v>1034</v>
      </c>
    </row>
    <row r="965" spans="1:9">
      <c r="A965" s="1445">
        <v>42256</v>
      </c>
      <c r="B965" s="1446" t="s">
        <v>592</v>
      </c>
      <c r="C965" s="1447">
        <v>20122</v>
      </c>
      <c r="D965" s="1448">
        <v>2303403.27</v>
      </c>
      <c r="E965" s="1448">
        <v>1681040.86</v>
      </c>
      <c r="F965" s="1449">
        <f t="shared" si="44"/>
        <v>622362.40999999992</v>
      </c>
      <c r="G965" s="1450">
        <f t="shared" si="42"/>
        <v>0.37022443939881383</v>
      </c>
      <c r="H965" s="1451" t="s">
        <v>874</v>
      </c>
      <c r="I965" s="1451" t="s">
        <v>1035</v>
      </c>
    </row>
    <row r="966" spans="1:9">
      <c r="A966" s="1445">
        <v>42256</v>
      </c>
      <c r="B966" s="1446" t="s">
        <v>345</v>
      </c>
      <c r="C966" s="1447">
        <v>27130</v>
      </c>
      <c r="D966" s="1448">
        <v>2881659.09</v>
      </c>
      <c r="E966" s="1448">
        <f>2492151.24+5535.3</f>
        <v>2497686.54</v>
      </c>
      <c r="F966" s="1449">
        <f t="shared" si="44"/>
        <v>383972.54999999981</v>
      </c>
      <c r="G966" s="1450">
        <f t="shared" si="42"/>
        <v>0.15373128046724382</v>
      </c>
      <c r="H966" s="1451" t="s">
        <v>874</v>
      </c>
      <c r="I966" s="1451" t="s">
        <v>1036</v>
      </c>
    </row>
    <row r="967" spans="1:9">
      <c r="A967" s="1445">
        <v>42256</v>
      </c>
      <c r="B967" s="1446" t="s">
        <v>345</v>
      </c>
      <c r="C967" s="1447">
        <v>27379</v>
      </c>
      <c r="D967" s="1448">
        <v>2908107.05</v>
      </c>
      <c r="E967" s="1448">
        <v>2485453.87</v>
      </c>
      <c r="F967" s="1449">
        <f t="shared" si="44"/>
        <v>422653.1799999997</v>
      </c>
      <c r="G967" s="1450">
        <f t="shared" si="42"/>
        <v>0.17005070385796364</v>
      </c>
      <c r="H967" s="1451" t="s">
        <v>874</v>
      </c>
      <c r="I967" s="1451" t="s">
        <v>1037</v>
      </c>
    </row>
    <row r="968" spans="1:9">
      <c r="A968" s="1445">
        <v>42256</v>
      </c>
      <c r="B968" s="1446" t="s">
        <v>345</v>
      </c>
      <c r="C968" s="1447">
        <v>27360</v>
      </c>
      <c r="D968" s="1448">
        <v>2906088.93</v>
      </c>
      <c r="E968" s="1448">
        <f>2542057.95-10111.9</f>
        <v>2531946.0500000003</v>
      </c>
      <c r="F968" s="1449">
        <f t="shared" si="44"/>
        <v>374142.87999999989</v>
      </c>
      <c r="G968" s="1450">
        <f t="shared" si="42"/>
        <v>0.14776889894632622</v>
      </c>
      <c r="H968" s="1451" t="s">
        <v>874</v>
      </c>
      <c r="I968" s="1451" t="s">
        <v>1038</v>
      </c>
    </row>
    <row r="969" spans="1:9">
      <c r="A969" s="1445">
        <v>42256</v>
      </c>
      <c r="B969" s="1446" t="s">
        <v>345</v>
      </c>
      <c r="C969" s="1447">
        <v>27053</v>
      </c>
      <c r="D969" s="1448">
        <v>2873480.41</v>
      </c>
      <c r="E969" s="1448">
        <f>2514834.15-608.9</f>
        <v>2514225.25</v>
      </c>
      <c r="F969" s="1449">
        <f t="shared" si="44"/>
        <v>359255.16000000015</v>
      </c>
      <c r="G969" s="1450">
        <f t="shared" si="42"/>
        <v>0.1428890112371595</v>
      </c>
      <c r="H969" s="1451" t="s">
        <v>874</v>
      </c>
      <c r="I969" s="1451" t="s">
        <v>1039</v>
      </c>
    </row>
    <row r="970" spans="1:9">
      <c r="A970" s="1414">
        <v>42257</v>
      </c>
      <c r="B970" s="1408" t="s">
        <v>321</v>
      </c>
      <c r="C970" s="1452">
        <v>2</v>
      </c>
      <c r="D970" s="1444">
        <v>230</v>
      </c>
      <c r="E970" s="1444">
        <v>165.43</v>
      </c>
      <c r="F970" s="1421">
        <f t="shared" si="44"/>
        <v>64.569999999999993</v>
      </c>
      <c r="G970" s="1422">
        <f t="shared" si="42"/>
        <v>0.39031614580184965</v>
      </c>
      <c r="H970" s="1413" t="s">
        <v>590</v>
      </c>
      <c r="I970" s="1413"/>
    </row>
    <row r="971" spans="1:9">
      <c r="A971" s="1414">
        <v>42258</v>
      </c>
      <c r="B971" s="1408" t="s">
        <v>476</v>
      </c>
      <c r="C971" s="1452">
        <v>270</v>
      </c>
      <c r="D971" s="1453">
        <v>27000</v>
      </c>
      <c r="E971" s="1453">
        <v>22424.07</v>
      </c>
      <c r="F971" s="1421">
        <f t="shared" si="44"/>
        <v>4575.93</v>
      </c>
      <c r="G971" s="1422">
        <f t="shared" si="42"/>
        <v>0.2040633123246583</v>
      </c>
      <c r="H971" s="1413" t="s">
        <v>880</v>
      </c>
      <c r="I971" s="1413"/>
    </row>
    <row r="972" spans="1:9">
      <c r="A972" s="1414">
        <v>42262</v>
      </c>
      <c r="B972" s="1408" t="s">
        <v>321</v>
      </c>
      <c r="C972" s="1452">
        <v>3</v>
      </c>
      <c r="D972" s="1444">
        <v>351</v>
      </c>
      <c r="E972" s="1444">
        <v>247.87</v>
      </c>
      <c r="F972" s="1421">
        <f t="shared" si="44"/>
        <v>103.13</v>
      </c>
      <c r="G972" s="1422">
        <f t="shared" si="42"/>
        <v>0.41606487271553633</v>
      </c>
      <c r="H972" s="1413" t="s">
        <v>590</v>
      </c>
      <c r="I972" s="1413"/>
    </row>
    <row r="973" spans="1:9">
      <c r="A973" s="1454">
        <v>42262</v>
      </c>
      <c r="B973" s="1455" t="s">
        <v>592</v>
      </c>
      <c r="C973" s="1456">
        <v>67461</v>
      </c>
      <c r="D973" s="1457">
        <v>7563626.7800000003</v>
      </c>
      <c r="E973" s="1457">
        <v>5621933.3799999999</v>
      </c>
      <c r="F973" s="1458">
        <f t="shared" si="44"/>
        <v>1941693.4000000004</v>
      </c>
      <c r="G973" s="1459">
        <f t="shared" si="42"/>
        <v>0.34537823000670287</v>
      </c>
      <c r="H973" s="1460" t="s">
        <v>1040</v>
      </c>
      <c r="I973" s="1460" t="s">
        <v>1041</v>
      </c>
    </row>
    <row r="974" spans="1:9">
      <c r="A974" s="1454">
        <v>42262</v>
      </c>
      <c r="B974" s="1455" t="s">
        <v>592</v>
      </c>
      <c r="C974" s="1456">
        <v>67534</v>
      </c>
      <c r="D974" s="1457">
        <v>7571811.3099999996</v>
      </c>
      <c r="E974" s="1457">
        <v>5554620.9699999997</v>
      </c>
      <c r="F974" s="1458">
        <f t="shared" si="44"/>
        <v>2017190.3399999999</v>
      </c>
      <c r="G974" s="1459">
        <f t="shared" si="42"/>
        <v>0.36315535315454656</v>
      </c>
      <c r="H974" s="1460" t="s">
        <v>1040</v>
      </c>
      <c r="I974" s="1460" t="s">
        <v>1042</v>
      </c>
    </row>
    <row r="975" spans="1:9">
      <c r="A975" s="1454">
        <v>42262</v>
      </c>
      <c r="B975" s="1455" t="s">
        <v>592</v>
      </c>
      <c r="C975" s="1456">
        <v>20953</v>
      </c>
      <c r="D975" s="1457">
        <v>2323264.27</v>
      </c>
      <c r="E975" s="1457">
        <v>1715671.34</v>
      </c>
      <c r="F975" s="1458">
        <f t="shared" si="44"/>
        <v>607592.92999999993</v>
      </c>
      <c r="G975" s="1459">
        <f t="shared" si="42"/>
        <v>0.35414296190318123</v>
      </c>
      <c r="H975" s="1460" t="s">
        <v>1040</v>
      </c>
      <c r="I975" s="1460" t="s">
        <v>1043</v>
      </c>
    </row>
    <row r="976" spans="1:9">
      <c r="A976" s="1454">
        <v>42262</v>
      </c>
      <c r="B976" s="1455" t="s">
        <v>592</v>
      </c>
      <c r="C976" s="1456">
        <v>20839</v>
      </c>
      <c r="D976" s="1457">
        <v>2310623.91</v>
      </c>
      <c r="E976" s="1457">
        <v>1701216.03</v>
      </c>
      <c r="F976" s="1458">
        <f t="shared" si="44"/>
        <v>609407.88000000012</v>
      </c>
      <c r="G976" s="1459">
        <f t="shared" si="42"/>
        <v>0.3582189852749037</v>
      </c>
      <c r="H976" s="1460" t="s">
        <v>1040</v>
      </c>
      <c r="I976" s="1460" t="s">
        <v>1044</v>
      </c>
    </row>
    <row r="977" spans="1:9">
      <c r="A977" s="1445">
        <v>42262</v>
      </c>
      <c r="B977" s="1446" t="s">
        <v>345</v>
      </c>
      <c r="C977" s="1447">
        <v>26916</v>
      </c>
      <c r="D977" s="1448">
        <v>2791257.42</v>
      </c>
      <c r="E977" s="1448">
        <f>2536721.16+3202.16</f>
        <v>2539923.3200000003</v>
      </c>
      <c r="F977" s="1449">
        <f t="shared" si="44"/>
        <v>251334.09999999963</v>
      </c>
      <c r="G977" s="1450">
        <f t="shared" si="42"/>
        <v>9.8953420373336154E-2</v>
      </c>
      <c r="H977" s="1451" t="s">
        <v>874</v>
      </c>
      <c r="I977" s="1451" t="s">
        <v>1045</v>
      </c>
    </row>
    <row r="978" spans="1:9">
      <c r="A978" s="1445">
        <v>42262</v>
      </c>
      <c r="B978" s="1446" t="s">
        <v>345</v>
      </c>
      <c r="C978" s="1447">
        <v>26988</v>
      </c>
      <c r="D978" s="1448">
        <v>2798724</v>
      </c>
      <c r="E978" s="1448">
        <f>2501407.07-1307.98</f>
        <v>2500099.09</v>
      </c>
      <c r="F978" s="1449">
        <f t="shared" si="44"/>
        <v>298624.91000000015</v>
      </c>
      <c r="G978" s="1450">
        <f t="shared" si="42"/>
        <v>0.11944522966887691</v>
      </c>
      <c r="H978" s="1451" t="s">
        <v>874</v>
      </c>
      <c r="I978" s="1451" t="s">
        <v>1046</v>
      </c>
    </row>
    <row r="979" spans="1:9">
      <c r="A979" s="1414">
        <v>42262</v>
      </c>
      <c r="B979" s="1408" t="s">
        <v>489</v>
      </c>
      <c r="C979" s="1461">
        <v>22225</v>
      </c>
      <c r="D979" s="1453">
        <v>865497.71</v>
      </c>
      <c r="E979" s="1444">
        <v>455.68</v>
      </c>
      <c r="F979" s="1421">
        <f t="shared" si="44"/>
        <v>865042.02999999991</v>
      </c>
      <c r="G979" s="1422">
        <f t="shared" si="42"/>
        <v>1898.3541739817413</v>
      </c>
      <c r="H979" s="1413" t="s">
        <v>980</v>
      </c>
      <c r="I979" s="1413"/>
    </row>
    <row r="980" spans="1:9">
      <c r="A980" s="1414">
        <v>42265</v>
      </c>
      <c r="B980" s="1408" t="s">
        <v>320</v>
      </c>
      <c r="C980" s="1461">
        <v>26150</v>
      </c>
      <c r="D980" s="1453">
        <v>152863.4</v>
      </c>
      <c r="E980" s="1444">
        <v>34.590000000000003</v>
      </c>
      <c r="F980" s="1421">
        <f t="shared" si="44"/>
        <v>152828.81</v>
      </c>
      <c r="G980" s="1422">
        <f t="shared" si="42"/>
        <v>4418.2945938132407</v>
      </c>
      <c r="H980" s="1413" t="s">
        <v>599</v>
      </c>
      <c r="I980" s="1413"/>
    </row>
    <row r="981" spans="1:9">
      <c r="A981" s="1414">
        <v>42266</v>
      </c>
      <c r="B981" s="1408" t="s">
        <v>321</v>
      </c>
      <c r="C981" s="1452">
        <v>3</v>
      </c>
      <c r="D981" s="1444">
        <v>345</v>
      </c>
      <c r="E981" s="1444">
        <v>245.86</v>
      </c>
      <c r="F981" s="1421">
        <f t="shared" si="44"/>
        <v>99.139999999999986</v>
      </c>
      <c r="G981" s="1422">
        <f t="shared" si="42"/>
        <v>0.40323761490279014</v>
      </c>
      <c r="H981" s="1413" t="s">
        <v>590</v>
      </c>
      <c r="I981" s="1413"/>
    </row>
    <row r="982" spans="1:9">
      <c r="A982" s="1462">
        <v>42269</v>
      </c>
      <c r="B982" s="1463" t="s">
        <v>345</v>
      </c>
      <c r="C982" s="1464">
        <v>27104</v>
      </c>
      <c r="D982" s="1465">
        <v>2635427.23</v>
      </c>
      <c r="E982" s="1465">
        <f>2510871.72-1918.07</f>
        <v>2508953.6500000004</v>
      </c>
      <c r="F982" s="1466">
        <f t="shared" si="44"/>
        <v>126473.57999999961</v>
      </c>
      <c r="G982" s="1467">
        <f t="shared" si="42"/>
        <v>5.0408894560487236E-2</v>
      </c>
      <c r="H982" s="1468" t="s">
        <v>856</v>
      </c>
      <c r="I982" s="1468" t="s">
        <v>857</v>
      </c>
    </row>
    <row r="983" spans="1:9">
      <c r="A983" s="1462">
        <v>42269</v>
      </c>
      <c r="B983" s="1463" t="s">
        <v>345</v>
      </c>
      <c r="C983" s="1464">
        <v>26974</v>
      </c>
      <c r="D983" s="1465">
        <v>2622786.8199999998</v>
      </c>
      <c r="E983" s="1465">
        <f>2454701.85+4601.05</f>
        <v>2459302.9</v>
      </c>
      <c r="F983" s="1466">
        <f t="shared" si="44"/>
        <v>163483.91999999993</v>
      </c>
      <c r="G983" s="1467">
        <f t="shared" si="42"/>
        <v>6.6475715537114163E-2</v>
      </c>
      <c r="H983" s="1468" t="s">
        <v>856</v>
      </c>
      <c r="I983" s="1468" t="s">
        <v>858</v>
      </c>
    </row>
    <row r="984" spans="1:9">
      <c r="A984" s="1462">
        <v>42269</v>
      </c>
      <c r="B984" s="1463" t="s">
        <v>345</v>
      </c>
      <c r="C984" s="1464">
        <v>27131</v>
      </c>
      <c r="D984" s="1465">
        <v>2638052.56</v>
      </c>
      <c r="E984" s="1465">
        <f>2498226.7-578.65</f>
        <v>2497648.0500000003</v>
      </c>
      <c r="F984" s="1466">
        <f t="shared" si="44"/>
        <v>140404.50999999978</v>
      </c>
      <c r="G984" s="1467">
        <f t="shared" si="42"/>
        <v>5.6214689655734229E-2</v>
      </c>
      <c r="H984" s="1468" t="s">
        <v>856</v>
      </c>
      <c r="I984" s="1468" t="s">
        <v>859</v>
      </c>
    </row>
    <row r="985" spans="1:9">
      <c r="A985" s="1462">
        <v>42269</v>
      </c>
      <c r="B985" s="1463" t="s">
        <v>345</v>
      </c>
      <c r="C985" s="1464">
        <v>27145</v>
      </c>
      <c r="D985" s="1465">
        <v>2639413.8199999998</v>
      </c>
      <c r="E985" s="1465">
        <f>2478112.7+29774.57</f>
        <v>2507887.27</v>
      </c>
      <c r="F985" s="1466">
        <f t="shared" si="44"/>
        <v>131526.54999999981</v>
      </c>
      <c r="G985" s="1467">
        <f t="shared" si="42"/>
        <v>5.2445160344069139E-2</v>
      </c>
      <c r="H985" s="1468" t="s">
        <v>856</v>
      </c>
      <c r="I985" s="1468" t="s">
        <v>860</v>
      </c>
    </row>
    <row r="986" spans="1:9">
      <c r="A986" s="1414">
        <v>42270</v>
      </c>
      <c r="B986" s="1408" t="s">
        <v>321</v>
      </c>
      <c r="C986" s="1436">
        <v>2.1</v>
      </c>
      <c r="D986" s="1444">
        <v>239.4</v>
      </c>
      <c r="E986" s="1437">
        <v>171.08</v>
      </c>
      <c r="F986" s="1421">
        <f t="shared" si="44"/>
        <v>68.319999999999993</v>
      </c>
      <c r="G986" s="1422">
        <f t="shared" si="42"/>
        <v>0.39934533551554824</v>
      </c>
      <c r="H986" s="1413" t="s">
        <v>590</v>
      </c>
      <c r="I986" s="1413"/>
    </row>
    <row r="987" spans="1:9">
      <c r="A987" s="1414">
        <v>42274</v>
      </c>
      <c r="B987" s="1408" t="s">
        <v>321</v>
      </c>
      <c r="C987" s="1436">
        <v>1</v>
      </c>
      <c r="D987" s="1444">
        <v>114</v>
      </c>
      <c r="E987" s="1437">
        <v>81.03</v>
      </c>
      <c r="F987" s="1421">
        <f t="shared" si="44"/>
        <v>32.97</v>
      </c>
      <c r="G987" s="1422">
        <f t="shared" si="42"/>
        <v>0.40688633839318766</v>
      </c>
      <c r="H987" s="1413" t="s">
        <v>590</v>
      </c>
      <c r="I987" s="1413"/>
    </row>
    <row r="988" spans="1:9">
      <c r="A988" s="1414">
        <v>42275</v>
      </c>
      <c r="B988" s="1408" t="s">
        <v>321</v>
      </c>
      <c r="C988" s="1436">
        <v>1.6</v>
      </c>
      <c r="D988" s="1444">
        <v>192</v>
      </c>
      <c r="E988" s="1437">
        <v>129.25</v>
      </c>
      <c r="F988" s="1421">
        <f t="shared" si="44"/>
        <v>62.75</v>
      </c>
      <c r="G988" s="1422">
        <f t="shared" si="42"/>
        <v>0.48549323017408125</v>
      </c>
      <c r="H988" s="1413" t="s">
        <v>590</v>
      </c>
      <c r="I988" s="1413"/>
    </row>
    <row r="989" spans="1:9">
      <c r="A989" s="1414">
        <v>42277</v>
      </c>
      <c r="B989" s="1408" t="s">
        <v>1047</v>
      </c>
      <c r="C989" s="1436">
        <v>108</v>
      </c>
      <c r="D989" s="1453">
        <v>2464.42</v>
      </c>
      <c r="E989" s="1435">
        <v>5378.13</v>
      </c>
      <c r="F989" s="1421">
        <f t="shared" si="44"/>
        <v>-2913.71</v>
      </c>
      <c r="G989" s="1422">
        <f t="shared" si="42"/>
        <v>-0.54177009480990601</v>
      </c>
      <c r="H989" s="1413" t="s">
        <v>1048</v>
      </c>
      <c r="I989" s="1413"/>
    </row>
    <row r="990" spans="1:9">
      <c r="A990" s="1414">
        <v>42277</v>
      </c>
      <c r="B990" s="1408" t="s">
        <v>321</v>
      </c>
      <c r="C990" s="1436">
        <v>47</v>
      </c>
      <c r="D990" s="1453">
        <v>3741</v>
      </c>
      <c r="E990" s="1435">
        <v>3877.63</v>
      </c>
      <c r="F990" s="1421">
        <f t="shared" si="44"/>
        <v>-136.63000000000011</v>
      </c>
      <c r="G990" s="1422">
        <f t="shared" si="42"/>
        <v>-3.5235440204454807E-2</v>
      </c>
      <c r="H990" s="1413" t="s">
        <v>1048</v>
      </c>
      <c r="I990" s="1413"/>
    </row>
    <row r="991" spans="1:9">
      <c r="A991" s="1445">
        <v>42277</v>
      </c>
      <c r="B991" s="1446" t="s">
        <v>345</v>
      </c>
      <c r="C991" s="1447">
        <v>27342</v>
      </c>
      <c r="D991" s="1448">
        <v>2763652.92</v>
      </c>
      <c r="E991" s="1448">
        <v>2564117.61</v>
      </c>
      <c r="F991" s="1449">
        <f t="shared" si="44"/>
        <v>199535.31000000006</v>
      </c>
      <c r="G991" s="1450">
        <f t="shared" si="42"/>
        <v>7.7818314269913716E-2</v>
      </c>
      <c r="H991" s="1451" t="s">
        <v>874</v>
      </c>
      <c r="I991" s="1451" t="s">
        <v>1049</v>
      </c>
    </row>
    <row r="992" spans="1:9">
      <c r="A992" s="1445">
        <v>42277</v>
      </c>
      <c r="B992" s="1446" t="s">
        <v>345</v>
      </c>
      <c r="C992" s="1447">
        <v>27247</v>
      </c>
      <c r="D992" s="1448">
        <v>2754050.58</v>
      </c>
      <c r="E992" s="1448">
        <v>2543344.37</v>
      </c>
      <c r="F992" s="1449">
        <f t="shared" si="44"/>
        <v>210706.20999999996</v>
      </c>
      <c r="G992" s="1450">
        <f t="shared" ref="G992:G1055" si="45">F992/E992</f>
        <v>8.2846118868283636E-2</v>
      </c>
      <c r="H992" s="1451" t="s">
        <v>874</v>
      </c>
      <c r="I992" s="1451" t="s">
        <v>1050</v>
      </c>
    </row>
    <row r="993" spans="1:9">
      <c r="A993" s="1445">
        <v>42277</v>
      </c>
      <c r="B993" s="1446" t="s">
        <v>345</v>
      </c>
      <c r="C993" s="1447">
        <v>27384</v>
      </c>
      <c r="D993" s="1448">
        <v>2767898.16</v>
      </c>
      <c r="E993" s="1448">
        <v>2531046.91</v>
      </c>
      <c r="F993" s="1449">
        <f t="shared" si="44"/>
        <v>236851.25</v>
      </c>
      <c r="G993" s="1450">
        <f t="shared" si="45"/>
        <v>9.3578372279160951E-2</v>
      </c>
      <c r="H993" s="1451" t="s">
        <v>874</v>
      </c>
      <c r="I993" s="1451" t="s">
        <v>1051</v>
      </c>
    </row>
    <row r="994" spans="1:9">
      <c r="A994" s="1445">
        <v>42277</v>
      </c>
      <c r="B994" s="1446" t="s">
        <v>345</v>
      </c>
      <c r="C994" s="1447">
        <v>27276</v>
      </c>
      <c r="D994" s="1448">
        <v>2756981.82</v>
      </c>
      <c r="E994" s="1448">
        <v>2519747.02</v>
      </c>
      <c r="F994" s="1449">
        <f t="shared" si="44"/>
        <v>237234.79999999981</v>
      </c>
      <c r="G994" s="1450">
        <f t="shared" si="45"/>
        <v>9.415024528930678E-2</v>
      </c>
      <c r="H994" s="1451" t="s">
        <v>874</v>
      </c>
      <c r="I994" s="1451" t="s">
        <v>1052</v>
      </c>
    </row>
    <row r="995" spans="1:9">
      <c r="A995" s="1445">
        <v>42277</v>
      </c>
      <c r="B995" s="1446" t="s">
        <v>592</v>
      </c>
      <c r="C995" s="1447">
        <v>26596</v>
      </c>
      <c r="D995" s="1448">
        <v>2693534.22</v>
      </c>
      <c r="E995" s="1448">
        <v>2428043.69</v>
      </c>
      <c r="F995" s="1449">
        <f t="shared" si="44"/>
        <v>265490.53000000026</v>
      </c>
      <c r="G995" s="1450">
        <f t="shared" si="45"/>
        <v>0.10934339076905171</v>
      </c>
      <c r="H995" s="1451" t="s">
        <v>874</v>
      </c>
      <c r="I995" s="1451" t="s">
        <v>1053</v>
      </c>
    </row>
    <row r="996" spans="1:9">
      <c r="A996" s="1445">
        <v>42277</v>
      </c>
      <c r="B996" s="1446" t="s">
        <v>592</v>
      </c>
      <c r="C996" s="1447">
        <v>27149</v>
      </c>
      <c r="D996" s="1448">
        <v>2749539.8</v>
      </c>
      <c r="E996" s="1448">
        <v>2548283.87</v>
      </c>
      <c r="F996" s="1449">
        <f t="shared" si="44"/>
        <v>201255.9299999997</v>
      </c>
      <c r="G996" s="1450">
        <f t="shared" si="45"/>
        <v>7.8977045049537467E-2</v>
      </c>
      <c r="H996" s="1451" t="s">
        <v>874</v>
      </c>
      <c r="I996" s="1451" t="s">
        <v>1054</v>
      </c>
    </row>
    <row r="997" spans="1:9">
      <c r="A997" s="1445">
        <v>42277</v>
      </c>
      <c r="B997" s="1446" t="s">
        <v>592</v>
      </c>
      <c r="C997" s="1447">
        <v>26866</v>
      </c>
      <c r="D997" s="1448">
        <v>2720878.71</v>
      </c>
      <c r="E997" s="1448">
        <v>2472309.46</v>
      </c>
      <c r="F997" s="1449">
        <f t="shared" si="44"/>
        <v>248569.25</v>
      </c>
      <c r="G997" s="1450">
        <f t="shared" si="45"/>
        <v>0.10054131734786956</v>
      </c>
      <c r="H997" s="1451" t="s">
        <v>874</v>
      </c>
      <c r="I997" s="1451" t="s">
        <v>1055</v>
      </c>
    </row>
    <row r="998" spans="1:9">
      <c r="A998" s="1445">
        <v>42277</v>
      </c>
      <c r="B998" s="1446" t="s">
        <v>592</v>
      </c>
      <c r="C998" s="1447">
        <v>26604</v>
      </c>
      <c r="D998" s="1448">
        <v>2694344.42</v>
      </c>
      <c r="E998" s="1448">
        <v>2421936.25</v>
      </c>
      <c r="F998" s="1449">
        <f t="shared" si="44"/>
        <v>272408.16999999993</v>
      </c>
      <c r="G998" s="1450">
        <f t="shared" si="45"/>
        <v>0.11247536759070348</v>
      </c>
      <c r="H998" s="1451" t="s">
        <v>874</v>
      </c>
      <c r="I998" s="1451" t="s">
        <v>1056</v>
      </c>
    </row>
    <row r="999" spans="1:9">
      <c r="A999" s="1415" t="s">
        <v>9</v>
      </c>
      <c r="B999" s="1416"/>
      <c r="C999" s="1417">
        <f>SUM(C1000:C1038)</f>
        <v>481969.80000000005</v>
      </c>
      <c r="D999" s="1417">
        <f>SUM(D1000:D1038)</f>
        <v>43017098.879999995</v>
      </c>
      <c r="E999" s="1417">
        <f>SUM(E1000:E1038)</f>
        <v>39795686.990000002</v>
      </c>
      <c r="F999" s="1433">
        <f>SUM(F1000:F1038)</f>
        <v>3221411.8899999997</v>
      </c>
      <c r="G999" s="1420">
        <f t="shared" si="45"/>
        <v>8.0948769418391672E-2</v>
      </c>
      <c r="H999" s="1423"/>
      <c r="I999" s="1423"/>
    </row>
    <row r="1000" spans="1:9">
      <c r="A1000" s="1414">
        <v>42278</v>
      </c>
      <c r="B1000" s="1408" t="s">
        <v>321</v>
      </c>
      <c r="C1000" s="1436">
        <v>3</v>
      </c>
      <c r="D1000" s="1437">
        <v>342</v>
      </c>
      <c r="E1000" s="1437">
        <v>240.12</v>
      </c>
      <c r="F1000" s="1421">
        <f t="shared" ref="F1000:F1063" si="46">D1000-E1000</f>
        <v>101.88</v>
      </c>
      <c r="G1000" s="1422">
        <f t="shared" si="45"/>
        <v>0.42428785607196401</v>
      </c>
      <c r="H1000" s="1413" t="s">
        <v>590</v>
      </c>
      <c r="I1000" s="1413"/>
    </row>
    <row r="1001" spans="1:9">
      <c r="A1001" s="1414">
        <v>42282</v>
      </c>
      <c r="B1001" s="1408" t="s">
        <v>321</v>
      </c>
      <c r="C1001" s="1409">
        <v>2.8</v>
      </c>
      <c r="D1001" s="1410">
        <v>316.39999999999998</v>
      </c>
      <c r="E1001" s="1411">
        <f>127.88+95.91</f>
        <v>223.79</v>
      </c>
      <c r="F1001" s="1421">
        <f t="shared" si="46"/>
        <v>92.609999999999985</v>
      </c>
      <c r="G1001" s="1422">
        <f t="shared" si="45"/>
        <v>0.41382546137003434</v>
      </c>
      <c r="H1001" s="1413" t="s">
        <v>590</v>
      </c>
      <c r="I1001" s="1413"/>
    </row>
    <row r="1002" spans="1:9">
      <c r="A1002" s="1445">
        <v>42282</v>
      </c>
      <c r="B1002" s="1446" t="s">
        <v>345</v>
      </c>
      <c r="C1002" s="1447">
        <v>27252</v>
      </c>
      <c r="D1002" s="1448">
        <v>2742275.46</v>
      </c>
      <c r="E1002" s="1448">
        <v>2524232.4300000002</v>
      </c>
      <c r="F1002" s="1449">
        <f t="shared" si="46"/>
        <v>218043.0299999998</v>
      </c>
      <c r="G1002" s="1450">
        <f t="shared" si="45"/>
        <v>8.6379933721079633E-2</v>
      </c>
      <c r="H1002" s="1451" t="s">
        <v>874</v>
      </c>
      <c r="I1002" s="1451" t="s">
        <v>1057</v>
      </c>
    </row>
    <row r="1003" spans="1:9">
      <c r="A1003" s="1445">
        <v>42282</v>
      </c>
      <c r="B1003" s="1446" t="s">
        <v>345</v>
      </c>
      <c r="C1003" s="1447">
        <v>27174</v>
      </c>
      <c r="D1003" s="1448">
        <v>2734426.59</v>
      </c>
      <c r="E1003" s="1448">
        <v>2522253.15</v>
      </c>
      <c r="F1003" s="1449">
        <f t="shared" si="46"/>
        <v>212173.43999999994</v>
      </c>
      <c r="G1003" s="1450">
        <f t="shared" si="45"/>
        <v>8.4120596697440916E-2</v>
      </c>
      <c r="H1003" s="1451" t="s">
        <v>874</v>
      </c>
      <c r="I1003" s="1451" t="s">
        <v>1058</v>
      </c>
    </row>
    <row r="1004" spans="1:9">
      <c r="A1004" s="1414">
        <v>42289</v>
      </c>
      <c r="B1004" s="1408" t="s">
        <v>320</v>
      </c>
      <c r="C1004" s="1436">
        <v>22</v>
      </c>
      <c r="D1004" s="1437">
        <v>0.22</v>
      </c>
      <c r="E1004" s="1437">
        <v>0.21</v>
      </c>
      <c r="F1004" s="1421">
        <f t="shared" si="46"/>
        <v>1.0000000000000009E-2</v>
      </c>
      <c r="G1004" s="1422">
        <f t="shared" si="45"/>
        <v>4.7619047619047665E-2</v>
      </c>
      <c r="H1004" s="1413" t="s">
        <v>1048</v>
      </c>
      <c r="I1004" s="1413"/>
    </row>
    <row r="1005" spans="1:9">
      <c r="A1005" s="1414">
        <v>42290</v>
      </c>
      <c r="B1005" s="1408" t="s">
        <v>321</v>
      </c>
      <c r="C1005" s="1436">
        <v>0.2</v>
      </c>
      <c r="D1005" s="1437">
        <v>21</v>
      </c>
      <c r="E1005" s="1437">
        <v>15.67</v>
      </c>
      <c r="F1005" s="1421">
        <f t="shared" si="46"/>
        <v>5.33</v>
      </c>
      <c r="G1005" s="1422">
        <f t="shared" si="45"/>
        <v>0.34014039566049775</v>
      </c>
      <c r="H1005" s="1413" t="s">
        <v>590</v>
      </c>
      <c r="I1005" s="1413"/>
    </row>
    <row r="1006" spans="1:9">
      <c r="A1006" s="1462">
        <v>42292</v>
      </c>
      <c r="B1006" s="1463" t="s">
        <v>592</v>
      </c>
      <c r="C1006" s="1464">
        <v>27226</v>
      </c>
      <c r="D1006" s="1465">
        <v>2474168.6800000002</v>
      </c>
      <c r="E1006" s="1465">
        <v>2394747.62</v>
      </c>
      <c r="F1006" s="1466">
        <f t="shared" si="46"/>
        <v>79421.060000000056</v>
      </c>
      <c r="G1006" s="1467">
        <f t="shared" si="45"/>
        <v>3.3164688978791032E-2</v>
      </c>
      <c r="H1006" s="1468" t="s">
        <v>856</v>
      </c>
      <c r="I1006" s="1468" t="s">
        <v>862</v>
      </c>
    </row>
    <row r="1007" spans="1:9">
      <c r="A1007" s="1462">
        <v>42292</v>
      </c>
      <c r="B1007" s="1463" t="s">
        <v>592</v>
      </c>
      <c r="C1007" s="1464">
        <v>27546</v>
      </c>
      <c r="D1007" s="1465">
        <v>2503248.7599999998</v>
      </c>
      <c r="E1007" s="1465">
        <v>2460548.4300000002</v>
      </c>
      <c r="F1007" s="1466">
        <f t="shared" si="46"/>
        <v>42700.329999999609</v>
      </c>
      <c r="G1007" s="1467">
        <f t="shared" si="45"/>
        <v>1.735398884223531E-2</v>
      </c>
      <c r="H1007" s="1468" t="s">
        <v>856</v>
      </c>
      <c r="I1007" s="1468" t="s">
        <v>863</v>
      </c>
    </row>
    <row r="1008" spans="1:9">
      <c r="A1008" s="1462">
        <v>42292</v>
      </c>
      <c r="B1008" s="1463" t="s">
        <v>592</v>
      </c>
      <c r="C1008" s="1464">
        <v>27083</v>
      </c>
      <c r="D1008" s="1465">
        <v>2461173.52</v>
      </c>
      <c r="E1008" s="1465">
        <v>2494861.11</v>
      </c>
      <c r="F1008" s="1466">
        <f t="shared" si="46"/>
        <v>-33687.589999999851</v>
      </c>
      <c r="G1008" s="1467">
        <f t="shared" si="45"/>
        <v>-1.3502791744587277E-2</v>
      </c>
      <c r="H1008" s="1468" t="s">
        <v>856</v>
      </c>
      <c r="I1008" s="1468" t="s">
        <v>864</v>
      </c>
    </row>
    <row r="1009" spans="1:9">
      <c r="A1009" s="1462">
        <v>42292</v>
      </c>
      <c r="B1009" s="1463" t="s">
        <v>592</v>
      </c>
      <c r="C1009" s="1464">
        <v>27324</v>
      </c>
      <c r="D1009" s="1465">
        <v>2483074.48</v>
      </c>
      <c r="E1009" s="1465">
        <v>2453204.11</v>
      </c>
      <c r="F1009" s="1466">
        <f t="shared" si="46"/>
        <v>29870.370000000112</v>
      </c>
      <c r="G1009" s="1467">
        <f t="shared" si="45"/>
        <v>1.2176063898735321E-2</v>
      </c>
      <c r="H1009" s="1468" t="s">
        <v>856</v>
      </c>
      <c r="I1009" s="1468" t="s">
        <v>865</v>
      </c>
    </row>
    <row r="1010" spans="1:9">
      <c r="A1010" s="1414">
        <v>42294</v>
      </c>
      <c r="B1010" s="1408" t="s">
        <v>321</v>
      </c>
      <c r="C1010" s="1436">
        <v>8</v>
      </c>
      <c r="D1010" s="1437">
        <v>896</v>
      </c>
      <c r="E1010" s="1437">
        <v>615.12</v>
      </c>
      <c r="F1010" s="1421">
        <f t="shared" si="46"/>
        <v>280.88</v>
      </c>
      <c r="G1010" s="1422">
        <f t="shared" si="45"/>
        <v>0.45662634933021196</v>
      </c>
      <c r="H1010" s="1413" t="s">
        <v>590</v>
      </c>
      <c r="I1010" s="1413"/>
    </row>
    <row r="1011" spans="1:9">
      <c r="A1011" s="1414">
        <v>42295</v>
      </c>
      <c r="B1011" s="1408" t="s">
        <v>321</v>
      </c>
      <c r="C1011" s="1436">
        <v>0.4</v>
      </c>
      <c r="D1011" s="1437">
        <v>44</v>
      </c>
      <c r="E1011" s="1437">
        <v>30.7</v>
      </c>
      <c r="F1011" s="1421">
        <f t="shared" si="46"/>
        <v>13.3</v>
      </c>
      <c r="G1011" s="1422">
        <f t="shared" si="45"/>
        <v>0.43322475570032576</v>
      </c>
      <c r="H1011" s="1413" t="s">
        <v>590</v>
      </c>
      <c r="I1011" s="1413"/>
    </row>
    <row r="1012" spans="1:9">
      <c r="A1012" s="1454">
        <v>42299</v>
      </c>
      <c r="B1012" s="1455" t="s">
        <v>592</v>
      </c>
      <c r="C1012" s="1456">
        <v>67353</v>
      </c>
      <c r="D1012" s="1457">
        <v>7267353.6799999997</v>
      </c>
      <c r="E1012" s="1457">
        <v>5694674.9500000002</v>
      </c>
      <c r="F1012" s="1458">
        <f t="shared" si="46"/>
        <v>1572678.7299999995</v>
      </c>
      <c r="G1012" s="1459">
        <f t="shared" si="45"/>
        <v>0.27616654924263928</v>
      </c>
      <c r="H1012" s="1460" t="s">
        <v>1040</v>
      </c>
      <c r="I1012" s="1460" t="s">
        <v>1059</v>
      </c>
    </row>
    <row r="1013" spans="1:9">
      <c r="A1013" s="1462">
        <v>42299</v>
      </c>
      <c r="B1013" s="1463" t="s">
        <v>345</v>
      </c>
      <c r="C1013" s="1464">
        <v>27303</v>
      </c>
      <c r="D1013" s="1465">
        <v>2505167.13</v>
      </c>
      <c r="E1013" s="1465">
        <v>2440262.2400000002</v>
      </c>
      <c r="F1013" s="1466">
        <f t="shared" si="46"/>
        <v>64904.889999999665</v>
      </c>
      <c r="G1013" s="1467">
        <f t="shared" si="45"/>
        <v>2.6597506176221315E-2</v>
      </c>
      <c r="H1013" s="1468" t="s">
        <v>1060</v>
      </c>
      <c r="I1013" s="1468" t="s">
        <v>857</v>
      </c>
    </row>
    <row r="1014" spans="1:9">
      <c r="A1014" s="1462">
        <v>42299</v>
      </c>
      <c r="B1014" s="1463" t="s">
        <v>345</v>
      </c>
      <c r="C1014" s="1464">
        <v>27276</v>
      </c>
      <c r="D1014" s="1465">
        <v>2502689.4700000002</v>
      </c>
      <c r="E1014" s="1465">
        <v>2415824.7000000002</v>
      </c>
      <c r="F1014" s="1466">
        <f t="shared" si="46"/>
        <v>86864.770000000019</v>
      </c>
      <c r="G1014" s="1467">
        <f t="shared" si="45"/>
        <v>3.5956570027618318E-2</v>
      </c>
      <c r="H1014" s="1468" t="s">
        <v>1060</v>
      </c>
      <c r="I1014" s="1468" t="s">
        <v>858</v>
      </c>
    </row>
    <row r="1015" spans="1:9">
      <c r="A1015" s="1414">
        <v>42301</v>
      </c>
      <c r="B1015" s="1408" t="s">
        <v>321</v>
      </c>
      <c r="C1015" s="1436">
        <v>4</v>
      </c>
      <c r="D1015" s="1437">
        <v>440</v>
      </c>
      <c r="E1015" s="1437">
        <v>304.64</v>
      </c>
      <c r="F1015" s="1421">
        <f t="shared" si="46"/>
        <v>135.36000000000001</v>
      </c>
      <c r="G1015" s="1422">
        <f t="shared" si="45"/>
        <v>0.44432773109243706</v>
      </c>
      <c r="H1015" s="1413" t="s">
        <v>590</v>
      </c>
      <c r="I1015" s="1413"/>
    </row>
    <row r="1016" spans="1:9">
      <c r="A1016" s="1414">
        <v>42304</v>
      </c>
      <c r="B1016" s="1408" t="s">
        <v>320</v>
      </c>
      <c r="C1016" s="1434">
        <v>32722</v>
      </c>
      <c r="D1016" s="1435">
        <v>275638</v>
      </c>
      <c r="E1016" s="1437">
        <v>25.58</v>
      </c>
      <c r="F1016" s="1421">
        <f t="shared" si="46"/>
        <v>275612.42</v>
      </c>
      <c r="G1016" s="1422">
        <f t="shared" si="45"/>
        <v>10774.527756059422</v>
      </c>
      <c r="H1016" s="1413" t="s">
        <v>599</v>
      </c>
      <c r="I1016" s="1413"/>
    </row>
    <row r="1017" spans="1:9">
      <c r="A1017" s="1414">
        <v>42304</v>
      </c>
      <c r="B1017" s="1408" t="s">
        <v>321</v>
      </c>
      <c r="C1017" s="1436">
        <v>0.4</v>
      </c>
      <c r="D1017" s="1437">
        <v>44</v>
      </c>
      <c r="E1017" s="1437">
        <v>30.53</v>
      </c>
      <c r="F1017" s="1421">
        <f t="shared" si="46"/>
        <v>13.469999999999999</v>
      </c>
      <c r="G1017" s="1422">
        <f t="shared" si="45"/>
        <v>0.44120537176547653</v>
      </c>
      <c r="H1017" s="1413" t="s">
        <v>590</v>
      </c>
      <c r="I1017" s="1413"/>
    </row>
    <row r="1018" spans="1:9">
      <c r="A1018" s="1462">
        <v>42304</v>
      </c>
      <c r="B1018" s="1463" t="s">
        <v>345</v>
      </c>
      <c r="C1018" s="1464">
        <v>27226</v>
      </c>
      <c r="D1018" s="1465">
        <v>2511503.0499999998</v>
      </c>
      <c r="E1018" s="1465">
        <v>2420326.2599999998</v>
      </c>
      <c r="F1018" s="1466">
        <f t="shared" si="46"/>
        <v>91176.790000000037</v>
      </c>
      <c r="G1018" s="1467">
        <f t="shared" si="45"/>
        <v>3.7671280730557394E-2</v>
      </c>
      <c r="H1018" s="1468" t="s">
        <v>1060</v>
      </c>
      <c r="I1018" s="1468" t="s">
        <v>862</v>
      </c>
    </row>
    <row r="1019" spans="1:9">
      <c r="A1019" s="1462">
        <v>42304</v>
      </c>
      <c r="B1019" s="1463" t="s">
        <v>345</v>
      </c>
      <c r="C1019" s="1464">
        <v>27018</v>
      </c>
      <c r="D1019" s="1465">
        <v>2488659.7999999998</v>
      </c>
      <c r="E1019" s="1465">
        <v>2377722.0499999998</v>
      </c>
      <c r="F1019" s="1466">
        <f t="shared" si="46"/>
        <v>110937.75</v>
      </c>
      <c r="G1019" s="1467">
        <f t="shared" si="45"/>
        <v>4.6657156583966575E-2</v>
      </c>
      <c r="H1019" s="1468" t="s">
        <v>1060</v>
      </c>
      <c r="I1019" s="1468" t="s">
        <v>863</v>
      </c>
    </row>
    <row r="1020" spans="1:9">
      <c r="A1020" s="1462">
        <v>42306</v>
      </c>
      <c r="B1020" s="1463" t="s">
        <v>345</v>
      </c>
      <c r="C1020" s="1464">
        <v>27363</v>
      </c>
      <c r="D1020" s="1465">
        <v>2517002.0699999998</v>
      </c>
      <c r="E1020" s="1465">
        <v>2403902.0699999998</v>
      </c>
      <c r="F1020" s="1466">
        <f t="shared" si="46"/>
        <v>113100</v>
      </c>
      <c r="G1020" s="1467">
        <f t="shared" si="45"/>
        <v>4.704850559906544E-2</v>
      </c>
      <c r="H1020" s="1468" t="s">
        <v>1060</v>
      </c>
      <c r="I1020" s="1468" t="s">
        <v>872</v>
      </c>
    </row>
    <row r="1021" spans="1:9">
      <c r="A1021" s="1462">
        <v>42306</v>
      </c>
      <c r="B1021" s="1463" t="s">
        <v>345</v>
      </c>
      <c r="C1021" s="1464">
        <v>27281</v>
      </c>
      <c r="D1021" s="1465">
        <v>2509459.2200000002</v>
      </c>
      <c r="E1021" s="1465">
        <v>2381433.67</v>
      </c>
      <c r="F1021" s="1466">
        <f t="shared" si="46"/>
        <v>128025.55000000028</v>
      </c>
      <c r="G1021" s="1467">
        <f t="shared" si="45"/>
        <v>5.3759863905846382E-2</v>
      </c>
      <c r="H1021" s="1468" t="s">
        <v>1060</v>
      </c>
      <c r="I1021" s="1468" t="s">
        <v>873</v>
      </c>
    </row>
    <row r="1022" spans="1:9">
      <c r="A1022" s="1462">
        <v>42306</v>
      </c>
      <c r="B1022" s="1463" t="s">
        <v>345</v>
      </c>
      <c r="C1022" s="1464">
        <v>27373</v>
      </c>
      <c r="D1022" s="1465">
        <v>2517921.94</v>
      </c>
      <c r="E1022" s="1465">
        <v>2406505.0699999998</v>
      </c>
      <c r="F1022" s="1466">
        <f t="shared" si="46"/>
        <v>111416.87000000011</v>
      </c>
      <c r="G1022" s="1467">
        <f t="shared" si="45"/>
        <v>4.6298207050941356E-2</v>
      </c>
      <c r="H1022" s="1468" t="s">
        <v>1060</v>
      </c>
      <c r="I1022" s="1468" t="s">
        <v>993</v>
      </c>
    </row>
    <row r="1023" spans="1:9">
      <c r="A1023" s="1462">
        <v>42306</v>
      </c>
      <c r="B1023" s="1463" t="s">
        <v>345</v>
      </c>
      <c r="C1023" s="1464">
        <v>27409</v>
      </c>
      <c r="D1023" s="1465">
        <v>2521233.41</v>
      </c>
      <c r="E1023" s="1465">
        <v>2403702.77</v>
      </c>
      <c r="F1023" s="1466">
        <f t="shared" si="46"/>
        <v>117530.64000000013</v>
      </c>
      <c r="G1023" s="1467">
        <f t="shared" si="45"/>
        <v>4.889566275284532E-2</v>
      </c>
      <c r="H1023" s="1468" t="s">
        <v>1060</v>
      </c>
      <c r="I1023" s="1468" t="s">
        <v>994</v>
      </c>
    </row>
    <row r="1024" spans="1:9">
      <c r="A1024" s="1414"/>
      <c r="B1024" s="1408"/>
      <c r="C1024" s="1409"/>
      <c r="D1024" s="1410"/>
      <c r="E1024" s="1411"/>
      <c r="F1024" s="1421">
        <f t="shared" si="46"/>
        <v>0</v>
      </c>
      <c r="G1024" s="1422" t="e">
        <f t="shared" si="45"/>
        <v>#DIV/0!</v>
      </c>
      <c r="H1024" s="1413"/>
      <c r="I1024" s="1413"/>
    </row>
    <row r="1025" spans="1:9">
      <c r="A1025" s="1414"/>
      <c r="B1025" s="1408"/>
      <c r="C1025" s="1409"/>
      <c r="D1025" s="1410"/>
      <c r="E1025" s="1411"/>
      <c r="F1025" s="1421">
        <f t="shared" si="46"/>
        <v>0</v>
      </c>
      <c r="G1025" s="1422" t="e">
        <f t="shared" si="45"/>
        <v>#DIV/0!</v>
      </c>
      <c r="H1025" s="1413"/>
      <c r="I1025" s="1413"/>
    </row>
    <row r="1026" spans="1:9">
      <c r="A1026" s="1414"/>
      <c r="B1026" s="1408"/>
      <c r="C1026" s="1409"/>
      <c r="D1026" s="1410"/>
      <c r="E1026" s="1411"/>
      <c r="F1026" s="1421">
        <f t="shared" si="46"/>
        <v>0</v>
      </c>
      <c r="G1026" s="1422" t="e">
        <f t="shared" si="45"/>
        <v>#DIV/0!</v>
      </c>
      <c r="H1026" s="1413"/>
      <c r="I1026" s="1413"/>
    </row>
    <row r="1027" spans="1:9">
      <c r="A1027" s="1414"/>
      <c r="B1027" s="1408"/>
      <c r="C1027" s="1409"/>
      <c r="D1027" s="1410"/>
      <c r="E1027" s="1411"/>
      <c r="F1027" s="1421">
        <f t="shared" si="46"/>
        <v>0</v>
      </c>
      <c r="G1027" s="1422" t="e">
        <f t="shared" si="45"/>
        <v>#DIV/0!</v>
      </c>
      <c r="H1027" s="1413"/>
      <c r="I1027" s="1413"/>
    </row>
    <row r="1028" spans="1:9">
      <c r="A1028" s="1414"/>
      <c r="B1028" s="1408"/>
      <c r="C1028" s="1409"/>
      <c r="D1028" s="1410"/>
      <c r="E1028" s="1411"/>
      <c r="F1028" s="1421">
        <f t="shared" si="46"/>
        <v>0</v>
      </c>
      <c r="G1028" s="1422" t="e">
        <f t="shared" si="45"/>
        <v>#DIV/0!</v>
      </c>
      <c r="H1028" s="1413"/>
      <c r="I1028" s="1413"/>
    </row>
    <row r="1029" spans="1:9">
      <c r="A1029" s="1414"/>
      <c r="B1029" s="1408"/>
      <c r="C1029" s="1409"/>
      <c r="D1029" s="1410"/>
      <c r="E1029" s="1411"/>
      <c r="F1029" s="1421">
        <f t="shared" si="46"/>
        <v>0</v>
      </c>
      <c r="G1029" s="1422" t="e">
        <f t="shared" si="45"/>
        <v>#DIV/0!</v>
      </c>
      <c r="H1029" s="1413"/>
      <c r="I1029" s="1413"/>
    </row>
    <row r="1030" spans="1:9">
      <c r="A1030" s="1414"/>
      <c r="B1030" s="1408"/>
      <c r="C1030" s="1409"/>
      <c r="D1030" s="1410"/>
      <c r="E1030" s="1411"/>
      <c r="F1030" s="1421">
        <f t="shared" si="46"/>
        <v>0</v>
      </c>
      <c r="G1030" s="1422" t="e">
        <f t="shared" si="45"/>
        <v>#DIV/0!</v>
      </c>
      <c r="H1030" s="1413"/>
      <c r="I1030" s="1413"/>
    </row>
    <row r="1031" spans="1:9">
      <c r="A1031" s="1414"/>
      <c r="B1031" s="1408"/>
      <c r="C1031" s="1409"/>
      <c r="D1031" s="1410"/>
      <c r="E1031" s="1411"/>
      <c r="F1031" s="1421">
        <f t="shared" si="46"/>
        <v>0</v>
      </c>
      <c r="G1031" s="1422" t="e">
        <f t="shared" si="45"/>
        <v>#DIV/0!</v>
      </c>
      <c r="H1031" s="1413"/>
      <c r="I1031" s="1413"/>
    </row>
    <row r="1032" spans="1:9">
      <c r="A1032" s="1414"/>
      <c r="B1032" s="1408"/>
      <c r="C1032" s="1409"/>
      <c r="D1032" s="1410"/>
      <c r="E1032" s="1411"/>
      <c r="F1032" s="1421">
        <f t="shared" si="46"/>
        <v>0</v>
      </c>
      <c r="G1032" s="1422" t="e">
        <f t="shared" si="45"/>
        <v>#DIV/0!</v>
      </c>
      <c r="H1032" s="1413"/>
      <c r="I1032" s="1413"/>
    </row>
    <row r="1033" spans="1:9">
      <c r="A1033" s="1414"/>
      <c r="B1033" s="1408"/>
      <c r="C1033" s="1409"/>
      <c r="D1033" s="1410"/>
      <c r="E1033" s="1411"/>
      <c r="F1033" s="1421">
        <f t="shared" si="46"/>
        <v>0</v>
      </c>
      <c r="G1033" s="1422" t="e">
        <f t="shared" si="45"/>
        <v>#DIV/0!</v>
      </c>
      <c r="H1033" s="1413"/>
      <c r="I1033" s="1413"/>
    </row>
    <row r="1034" spans="1:9">
      <c r="A1034" s="1414"/>
      <c r="B1034" s="1408"/>
      <c r="C1034" s="1409"/>
      <c r="D1034" s="1410"/>
      <c r="E1034" s="1411"/>
      <c r="F1034" s="1421">
        <f t="shared" si="46"/>
        <v>0</v>
      </c>
      <c r="G1034" s="1422" t="e">
        <f t="shared" si="45"/>
        <v>#DIV/0!</v>
      </c>
      <c r="H1034" s="1413"/>
      <c r="I1034" s="1413"/>
    </row>
    <row r="1035" spans="1:9">
      <c r="A1035" s="1414"/>
      <c r="B1035" s="1408"/>
      <c r="C1035" s="1409"/>
      <c r="D1035" s="1410"/>
      <c r="E1035" s="1411"/>
      <c r="F1035" s="1421">
        <f t="shared" si="46"/>
        <v>0</v>
      </c>
      <c r="G1035" s="1422" t="e">
        <f t="shared" si="45"/>
        <v>#DIV/0!</v>
      </c>
      <c r="H1035" s="1413"/>
      <c r="I1035" s="1413"/>
    </row>
    <row r="1036" spans="1:9">
      <c r="A1036" s="1414"/>
      <c r="B1036" s="1408"/>
      <c r="C1036" s="1409"/>
      <c r="D1036" s="1410"/>
      <c r="E1036" s="1411"/>
      <c r="F1036" s="1421">
        <f t="shared" si="46"/>
        <v>0</v>
      </c>
      <c r="G1036" s="1422" t="e">
        <f t="shared" si="45"/>
        <v>#DIV/0!</v>
      </c>
      <c r="H1036" s="1413"/>
      <c r="I1036" s="1413"/>
    </row>
    <row r="1037" spans="1:9">
      <c r="A1037" s="1414"/>
      <c r="B1037" s="1408"/>
      <c r="C1037" s="1409"/>
      <c r="D1037" s="1410"/>
      <c r="E1037" s="1411"/>
      <c r="F1037" s="1421">
        <f t="shared" si="46"/>
        <v>0</v>
      </c>
      <c r="G1037" s="1422" t="e">
        <f t="shared" si="45"/>
        <v>#DIV/0!</v>
      </c>
      <c r="H1037" s="1413"/>
      <c r="I1037" s="1413"/>
    </row>
    <row r="1038" spans="1:9">
      <c r="A1038" s="1414"/>
      <c r="B1038" s="1408"/>
      <c r="C1038" s="1409"/>
      <c r="D1038" s="1410"/>
      <c r="E1038" s="1411"/>
      <c r="F1038" s="1421">
        <f t="shared" si="46"/>
        <v>0</v>
      </c>
      <c r="G1038" s="1422" t="e">
        <f t="shared" si="45"/>
        <v>#DIV/0!</v>
      </c>
      <c r="H1038" s="1413"/>
      <c r="I1038" s="1413"/>
    </row>
    <row r="1039" spans="1:9">
      <c r="A1039" s="1414"/>
      <c r="B1039" s="1408"/>
      <c r="C1039" s="1409"/>
      <c r="D1039" s="1410"/>
      <c r="E1039" s="1411"/>
      <c r="F1039" s="1421">
        <f t="shared" si="46"/>
        <v>0</v>
      </c>
      <c r="G1039" s="1422" t="e">
        <f t="shared" si="45"/>
        <v>#DIV/0!</v>
      </c>
      <c r="H1039" s="1413"/>
      <c r="I1039" s="1413"/>
    </row>
    <row r="1040" spans="1:9">
      <c r="A1040" s="1414"/>
      <c r="B1040" s="1408"/>
      <c r="C1040" s="1409"/>
      <c r="D1040" s="1410"/>
      <c r="E1040" s="1411"/>
      <c r="F1040" s="1421">
        <f t="shared" si="46"/>
        <v>0</v>
      </c>
      <c r="G1040" s="1422" t="e">
        <f t="shared" si="45"/>
        <v>#DIV/0!</v>
      </c>
      <c r="H1040" s="1413"/>
      <c r="I1040" s="1413"/>
    </row>
    <row r="1041" spans="1:9">
      <c r="A1041" s="1414"/>
      <c r="B1041" s="1408"/>
      <c r="C1041" s="1409"/>
      <c r="D1041" s="1410"/>
      <c r="E1041" s="1411"/>
      <c r="F1041" s="1421">
        <f t="shared" si="46"/>
        <v>0</v>
      </c>
      <c r="G1041" s="1422" t="e">
        <f t="shared" si="45"/>
        <v>#DIV/0!</v>
      </c>
      <c r="H1041" s="1413"/>
      <c r="I1041" s="1413"/>
    </row>
    <row r="1042" spans="1:9">
      <c r="A1042" s="1414"/>
      <c r="B1042" s="1408"/>
      <c r="C1042" s="1409"/>
      <c r="D1042" s="1410"/>
      <c r="E1042" s="1411"/>
      <c r="F1042" s="1421">
        <f t="shared" si="46"/>
        <v>0</v>
      </c>
      <c r="G1042" s="1422" t="e">
        <f t="shared" si="45"/>
        <v>#DIV/0!</v>
      </c>
      <c r="H1042" s="1413"/>
      <c r="I1042" s="1413"/>
    </row>
    <row r="1043" spans="1:9">
      <c r="A1043" s="1414"/>
      <c r="B1043" s="1408"/>
      <c r="C1043" s="1409"/>
      <c r="D1043" s="1410"/>
      <c r="E1043" s="1411"/>
      <c r="F1043" s="1421">
        <f t="shared" si="46"/>
        <v>0</v>
      </c>
      <c r="G1043" s="1422" t="e">
        <f t="shared" si="45"/>
        <v>#DIV/0!</v>
      </c>
      <c r="H1043" s="1413"/>
      <c r="I1043" s="1413"/>
    </row>
    <row r="1044" spans="1:9">
      <c r="A1044" s="1414"/>
      <c r="B1044" s="1408"/>
      <c r="C1044" s="1409"/>
      <c r="D1044" s="1410"/>
      <c r="E1044" s="1411"/>
      <c r="F1044" s="1421">
        <f t="shared" si="46"/>
        <v>0</v>
      </c>
      <c r="G1044" s="1422" t="e">
        <f t="shared" si="45"/>
        <v>#DIV/0!</v>
      </c>
      <c r="H1044" s="1413"/>
      <c r="I1044" s="1413"/>
    </row>
    <row r="1045" spans="1:9">
      <c r="A1045" s="1414"/>
      <c r="B1045" s="1408"/>
      <c r="C1045" s="1409"/>
      <c r="D1045" s="1410"/>
      <c r="E1045" s="1411"/>
      <c r="F1045" s="1421">
        <f t="shared" si="46"/>
        <v>0</v>
      </c>
      <c r="G1045" s="1422" t="e">
        <f t="shared" si="45"/>
        <v>#DIV/0!</v>
      </c>
      <c r="H1045" s="1413"/>
      <c r="I1045" s="1413"/>
    </row>
    <row r="1046" spans="1:9">
      <c r="A1046" s="1414"/>
      <c r="B1046" s="1408"/>
      <c r="C1046" s="1409"/>
      <c r="D1046" s="1410"/>
      <c r="E1046" s="1411"/>
      <c r="F1046" s="1421">
        <f t="shared" si="46"/>
        <v>0</v>
      </c>
      <c r="G1046" s="1422" t="e">
        <f t="shared" si="45"/>
        <v>#DIV/0!</v>
      </c>
      <c r="H1046" s="1413"/>
      <c r="I1046" s="1413"/>
    </row>
    <row r="1047" spans="1:9">
      <c r="A1047" s="1414"/>
      <c r="B1047" s="1408"/>
      <c r="C1047" s="1409"/>
      <c r="D1047" s="1410"/>
      <c r="E1047" s="1411"/>
      <c r="F1047" s="1421">
        <f t="shared" si="46"/>
        <v>0</v>
      </c>
      <c r="G1047" s="1422" t="e">
        <f t="shared" si="45"/>
        <v>#DIV/0!</v>
      </c>
      <c r="H1047" s="1413"/>
      <c r="I1047" s="1413"/>
    </row>
    <row r="1048" spans="1:9">
      <c r="A1048" s="1414"/>
      <c r="B1048" s="1408"/>
      <c r="C1048" s="1409"/>
      <c r="D1048" s="1410"/>
      <c r="E1048" s="1411"/>
      <c r="F1048" s="1421">
        <f t="shared" si="46"/>
        <v>0</v>
      </c>
      <c r="G1048" s="1422" t="e">
        <f t="shared" si="45"/>
        <v>#DIV/0!</v>
      </c>
      <c r="H1048" s="1413"/>
      <c r="I1048" s="1413"/>
    </row>
    <row r="1049" spans="1:9">
      <c r="A1049" s="1414"/>
      <c r="B1049" s="1408"/>
      <c r="C1049" s="1409"/>
      <c r="D1049" s="1410"/>
      <c r="E1049" s="1411"/>
      <c r="F1049" s="1421">
        <f t="shared" si="46"/>
        <v>0</v>
      </c>
      <c r="G1049" s="1422" t="e">
        <f t="shared" si="45"/>
        <v>#DIV/0!</v>
      </c>
      <c r="H1049" s="1413"/>
      <c r="I1049" s="1413"/>
    </row>
    <row r="1050" spans="1:9">
      <c r="A1050" s="1414"/>
      <c r="B1050" s="1408"/>
      <c r="C1050" s="1409"/>
      <c r="D1050" s="1410"/>
      <c r="E1050" s="1411"/>
      <c r="F1050" s="1421">
        <f t="shared" si="46"/>
        <v>0</v>
      </c>
      <c r="G1050" s="1422" t="e">
        <f t="shared" si="45"/>
        <v>#DIV/0!</v>
      </c>
      <c r="H1050" s="1413"/>
      <c r="I1050" s="1413"/>
    </row>
    <row r="1051" spans="1:9">
      <c r="A1051" s="1414"/>
      <c r="B1051" s="1408"/>
      <c r="C1051" s="1409"/>
      <c r="D1051" s="1410"/>
      <c r="E1051" s="1411"/>
      <c r="F1051" s="1421">
        <f t="shared" si="46"/>
        <v>0</v>
      </c>
      <c r="G1051" s="1422" t="e">
        <f t="shared" si="45"/>
        <v>#DIV/0!</v>
      </c>
      <c r="H1051" s="1413"/>
      <c r="I1051" s="1413"/>
    </row>
    <row r="1052" spans="1:9">
      <c r="A1052" s="1414"/>
      <c r="B1052" s="1408"/>
      <c r="C1052" s="1409"/>
      <c r="D1052" s="1410"/>
      <c r="E1052" s="1411"/>
      <c r="F1052" s="1421">
        <f t="shared" si="46"/>
        <v>0</v>
      </c>
      <c r="G1052" s="1422" t="e">
        <f t="shared" si="45"/>
        <v>#DIV/0!</v>
      </c>
      <c r="H1052" s="1413"/>
      <c r="I1052" s="1413"/>
    </row>
    <row r="1053" spans="1:9">
      <c r="A1053" s="1414"/>
      <c r="B1053" s="1408"/>
      <c r="C1053" s="1409"/>
      <c r="D1053" s="1410"/>
      <c r="E1053" s="1411"/>
      <c r="F1053" s="1421">
        <f t="shared" si="46"/>
        <v>0</v>
      </c>
      <c r="G1053" s="1422" t="e">
        <f t="shared" si="45"/>
        <v>#DIV/0!</v>
      </c>
      <c r="H1053" s="1413"/>
      <c r="I1053" s="1413"/>
    </row>
    <row r="1054" spans="1:9">
      <c r="A1054" s="1414"/>
      <c r="B1054" s="1408"/>
      <c r="C1054" s="1409"/>
      <c r="D1054" s="1410"/>
      <c r="E1054" s="1411"/>
      <c r="F1054" s="1421">
        <f t="shared" si="46"/>
        <v>0</v>
      </c>
      <c r="G1054" s="1422" t="e">
        <f t="shared" si="45"/>
        <v>#DIV/0!</v>
      </c>
      <c r="H1054" s="1413"/>
      <c r="I1054" s="1413"/>
    </row>
    <row r="1055" spans="1:9">
      <c r="A1055" s="1414"/>
      <c r="B1055" s="1408"/>
      <c r="C1055" s="1409"/>
      <c r="D1055" s="1410"/>
      <c r="E1055" s="1411"/>
      <c r="F1055" s="1421">
        <f t="shared" si="46"/>
        <v>0</v>
      </c>
      <c r="G1055" s="1422" t="e">
        <f t="shared" si="45"/>
        <v>#DIV/0!</v>
      </c>
      <c r="H1055" s="1413"/>
      <c r="I1055" s="1413"/>
    </row>
    <row r="1056" spans="1:9">
      <c r="A1056" s="1414"/>
      <c r="B1056" s="1408"/>
      <c r="C1056" s="1409"/>
      <c r="D1056" s="1410"/>
      <c r="E1056" s="1411"/>
      <c r="F1056" s="1421">
        <f t="shared" si="46"/>
        <v>0</v>
      </c>
      <c r="G1056" s="1422" t="e">
        <f t="shared" ref="G1056:G1119" si="47">F1056/E1056</f>
        <v>#DIV/0!</v>
      </c>
      <c r="H1056" s="1413"/>
      <c r="I1056" s="1413"/>
    </row>
    <row r="1057" spans="1:9">
      <c r="A1057" s="1414"/>
      <c r="B1057" s="1408"/>
      <c r="C1057" s="1409"/>
      <c r="D1057" s="1410"/>
      <c r="E1057" s="1411"/>
      <c r="F1057" s="1421">
        <f t="shared" si="46"/>
        <v>0</v>
      </c>
      <c r="G1057" s="1422" t="e">
        <f t="shared" si="47"/>
        <v>#DIV/0!</v>
      </c>
      <c r="H1057" s="1413"/>
      <c r="I1057" s="1413"/>
    </row>
    <row r="1058" spans="1:9">
      <c r="A1058" s="1414"/>
      <c r="B1058" s="1408"/>
      <c r="C1058" s="1409"/>
      <c r="D1058" s="1410"/>
      <c r="E1058" s="1411"/>
      <c r="F1058" s="1421">
        <f t="shared" si="46"/>
        <v>0</v>
      </c>
      <c r="G1058" s="1422" t="e">
        <f t="shared" si="47"/>
        <v>#DIV/0!</v>
      </c>
      <c r="H1058" s="1413"/>
      <c r="I1058" s="1413"/>
    </row>
    <row r="1059" spans="1:9">
      <c r="A1059" s="1414"/>
      <c r="B1059" s="1408"/>
      <c r="C1059" s="1409"/>
      <c r="D1059" s="1410"/>
      <c r="E1059" s="1411"/>
      <c r="F1059" s="1421">
        <f t="shared" si="46"/>
        <v>0</v>
      </c>
      <c r="G1059" s="1422" t="e">
        <f t="shared" si="47"/>
        <v>#DIV/0!</v>
      </c>
      <c r="H1059" s="1413"/>
      <c r="I1059" s="1413"/>
    </row>
    <row r="1060" spans="1:9">
      <c r="A1060" s="1414"/>
      <c r="B1060" s="1408"/>
      <c r="C1060" s="1409"/>
      <c r="D1060" s="1410"/>
      <c r="E1060" s="1411"/>
      <c r="F1060" s="1421">
        <f t="shared" si="46"/>
        <v>0</v>
      </c>
      <c r="G1060" s="1422" t="e">
        <f t="shared" si="47"/>
        <v>#DIV/0!</v>
      </c>
      <c r="H1060" s="1413"/>
      <c r="I1060" s="1413"/>
    </row>
    <row r="1061" spans="1:9">
      <c r="A1061" s="1414"/>
      <c r="B1061" s="1408"/>
      <c r="C1061" s="1409"/>
      <c r="D1061" s="1410"/>
      <c r="E1061" s="1411"/>
      <c r="F1061" s="1421">
        <f t="shared" si="46"/>
        <v>0</v>
      </c>
      <c r="G1061" s="1422" t="e">
        <f t="shared" si="47"/>
        <v>#DIV/0!</v>
      </c>
      <c r="H1061" s="1413"/>
      <c r="I1061" s="1413"/>
    </row>
    <row r="1062" spans="1:9">
      <c r="A1062" s="1414"/>
      <c r="B1062" s="1408"/>
      <c r="C1062" s="1409"/>
      <c r="D1062" s="1410"/>
      <c r="E1062" s="1411"/>
      <c r="F1062" s="1421">
        <f t="shared" si="46"/>
        <v>0</v>
      </c>
      <c r="G1062" s="1422" t="e">
        <f t="shared" si="47"/>
        <v>#DIV/0!</v>
      </c>
      <c r="H1062" s="1413"/>
      <c r="I1062" s="1413"/>
    </row>
    <row r="1063" spans="1:9">
      <c r="A1063" s="1414"/>
      <c r="B1063" s="1408"/>
      <c r="C1063" s="1409"/>
      <c r="D1063" s="1410"/>
      <c r="E1063" s="1411"/>
      <c r="F1063" s="1421">
        <f t="shared" si="46"/>
        <v>0</v>
      </c>
      <c r="G1063" s="1422" t="e">
        <f t="shared" si="47"/>
        <v>#DIV/0!</v>
      </c>
      <c r="H1063" s="1413"/>
      <c r="I1063" s="1413"/>
    </row>
    <row r="1064" spans="1:9">
      <c r="A1064" s="1414"/>
      <c r="B1064" s="1408"/>
      <c r="C1064" s="1409"/>
      <c r="D1064" s="1410"/>
      <c r="E1064" s="1411"/>
      <c r="F1064" s="1421">
        <f t="shared" ref="F1064:F1127" si="48">D1064-E1064</f>
        <v>0</v>
      </c>
      <c r="G1064" s="1422" t="e">
        <f t="shared" si="47"/>
        <v>#DIV/0!</v>
      </c>
      <c r="H1064" s="1413"/>
      <c r="I1064" s="1413"/>
    </row>
    <row r="1065" spans="1:9">
      <c r="A1065" s="1414"/>
      <c r="B1065" s="1408"/>
      <c r="C1065" s="1409"/>
      <c r="D1065" s="1410"/>
      <c r="E1065" s="1411"/>
      <c r="F1065" s="1421">
        <f t="shared" si="48"/>
        <v>0</v>
      </c>
      <c r="G1065" s="1422" t="e">
        <f t="shared" si="47"/>
        <v>#DIV/0!</v>
      </c>
      <c r="H1065" s="1413"/>
      <c r="I1065" s="1413"/>
    </row>
    <row r="1066" spans="1:9">
      <c r="A1066" s="1414"/>
      <c r="B1066" s="1408"/>
      <c r="C1066" s="1409"/>
      <c r="D1066" s="1410"/>
      <c r="E1066" s="1411"/>
      <c r="F1066" s="1421">
        <f t="shared" si="48"/>
        <v>0</v>
      </c>
      <c r="G1066" s="1422" t="e">
        <f t="shared" si="47"/>
        <v>#DIV/0!</v>
      </c>
      <c r="H1066" s="1413"/>
      <c r="I1066" s="1413"/>
    </row>
    <row r="1067" spans="1:9">
      <c r="A1067" s="1414"/>
      <c r="B1067" s="1408"/>
      <c r="C1067" s="1409"/>
      <c r="D1067" s="1410"/>
      <c r="E1067" s="1411"/>
      <c r="F1067" s="1421">
        <f t="shared" si="48"/>
        <v>0</v>
      </c>
      <c r="G1067" s="1422" t="e">
        <f t="shared" si="47"/>
        <v>#DIV/0!</v>
      </c>
      <c r="H1067" s="1413"/>
      <c r="I1067" s="1413"/>
    </row>
    <row r="1068" spans="1:9">
      <c r="A1068" s="1414"/>
      <c r="B1068" s="1408"/>
      <c r="C1068" s="1409"/>
      <c r="D1068" s="1410"/>
      <c r="E1068" s="1411"/>
      <c r="F1068" s="1421">
        <f t="shared" si="48"/>
        <v>0</v>
      </c>
      <c r="G1068" s="1422" t="e">
        <f t="shared" si="47"/>
        <v>#DIV/0!</v>
      </c>
      <c r="H1068" s="1413"/>
      <c r="I1068" s="1413"/>
    </row>
    <row r="1069" spans="1:9">
      <c r="A1069" s="1414"/>
      <c r="B1069" s="1408"/>
      <c r="C1069" s="1409"/>
      <c r="D1069" s="1410"/>
      <c r="E1069" s="1411"/>
      <c r="F1069" s="1421">
        <f t="shared" si="48"/>
        <v>0</v>
      </c>
      <c r="G1069" s="1422" t="e">
        <f t="shared" si="47"/>
        <v>#DIV/0!</v>
      </c>
      <c r="H1069" s="1413"/>
      <c r="I1069" s="1413"/>
    </row>
    <row r="1070" spans="1:9">
      <c r="A1070" s="1414"/>
      <c r="B1070" s="1408"/>
      <c r="C1070" s="1409"/>
      <c r="D1070" s="1410"/>
      <c r="E1070" s="1411"/>
      <c r="F1070" s="1421">
        <f t="shared" si="48"/>
        <v>0</v>
      </c>
      <c r="G1070" s="1422" t="e">
        <f t="shared" si="47"/>
        <v>#DIV/0!</v>
      </c>
      <c r="H1070" s="1413"/>
      <c r="I1070" s="1413"/>
    </row>
    <row r="1071" spans="1:9">
      <c r="A1071" s="1414"/>
      <c r="B1071" s="1408"/>
      <c r="C1071" s="1409"/>
      <c r="D1071" s="1410"/>
      <c r="E1071" s="1411"/>
      <c r="F1071" s="1421">
        <f t="shared" si="48"/>
        <v>0</v>
      </c>
      <c r="G1071" s="1422" t="e">
        <f t="shared" si="47"/>
        <v>#DIV/0!</v>
      </c>
      <c r="H1071" s="1413"/>
      <c r="I1071" s="1413"/>
    </row>
    <row r="1072" spans="1:9">
      <c r="A1072" s="1414"/>
      <c r="B1072" s="1408"/>
      <c r="C1072" s="1409"/>
      <c r="D1072" s="1410"/>
      <c r="E1072" s="1411"/>
      <c r="F1072" s="1421">
        <f t="shared" si="48"/>
        <v>0</v>
      </c>
      <c r="G1072" s="1422" t="e">
        <f t="shared" si="47"/>
        <v>#DIV/0!</v>
      </c>
      <c r="H1072" s="1413"/>
      <c r="I1072" s="1413"/>
    </row>
    <row r="1073" spans="1:9">
      <c r="A1073" s="1414"/>
      <c r="B1073" s="1408"/>
      <c r="C1073" s="1409"/>
      <c r="D1073" s="1410"/>
      <c r="E1073" s="1411"/>
      <c r="F1073" s="1421">
        <f t="shared" si="48"/>
        <v>0</v>
      </c>
      <c r="G1073" s="1422" t="e">
        <f t="shared" si="47"/>
        <v>#DIV/0!</v>
      </c>
      <c r="H1073" s="1413"/>
      <c r="I1073" s="1413"/>
    </row>
    <row r="1074" spans="1:9">
      <c r="A1074" s="1414"/>
      <c r="B1074" s="1408"/>
      <c r="C1074" s="1409"/>
      <c r="D1074" s="1410"/>
      <c r="E1074" s="1411"/>
      <c r="F1074" s="1421">
        <f t="shared" si="48"/>
        <v>0</v>
      </c>
      <c r="G1074" s="1422" t="e">
        <f t="shared" si="47"/>
        <v>#DIV/0!</v>
      </c>
      <c r="H1074" s="1413"/>
      <c r="I1074" s="1413"/>
    </row>
    <row r="1075" spans="1:9">
      <c r="A1075" s="1414"/>
      <c r="B1075" s="1408"/>
      <c r="C1075" s="1409"/>
      <c r="D1075" s="1410"/>
      <c r="E1075" s="1411"/>
      <c r="F1075" s="1421">
        <f t="shared" si="48"/>
        <v>0</v>
      </c>
      <c r="G1075" s="1422" t="e">
        <f t="shared" si="47"/>
        <v>#DIV/0!</v>
      </c>
      <c r="H1075" s="1413"/>
      <c r="I1075" s="1413"/>
    </row>
    <row r="1076" spans="1:9">
      <c r="A1076" s="1414"/>
      <c r="B1076" s="1408"/>
      <c r="C1076" s="1409"/>
      <c r="D1076" s="1410"/>
      <c r="E1076" s="1411"/>
      <c r="F1076" s="1421">
        <f t="shared" si="48"/>
        <v>0</v>
      </c>
      <c r="G1076" s="1422" t="e">
        <f t="shared" si="47"/>
        <v>#DIV/0!</v>
      </c>
      <c r="H1076" s="1413"/>
      <c r="I1076" s="1413"/>
    </row>
    <row r="1077" spans="1:9">
      <c r="A1077" s="1414"/>
      <c r="B1077" s="1408"/>
      <c r="C1077" s="1409"/>
      <c r="D1077" s="1410"/>
      <c r="E1077" s="1411"/>
      <c r="F1077" s="1421">
        <f t="shared" si="48"/>
        <v>0</v>
      </c>
      <c r="G1077" s="1422" t="e">
        <f t="shared" si="47"/>
        <v>#DIV/0!</v>
      </c>
      <c r="H1077" s="1413"/>
      <c r="I1077" s="1413"/>
    </row>
    <row r="1078" spans="1:9">
      <c r="A1078" s="1414"/>
      <c r="B1078" s="1408"/>
      <c r="C1078" s="1409"/>
      <c r="D1078" s="1410"/>
      <c r="E1078" s="1411"/>
      <c r="F1078" s="1421">
        <f t="shared" si="48"/>
        <v>0</v>
      </c>
      <c r="G1078" s="1422" t="e">
        <f t="shared" si="47"/>
        <v>#DIV/0!</v>
      </c>
      <c r="H1078" s="1413"/>
      <c r="I1078" s="1413"/>
    </row>
    <row r="1079" spans="1:9">
      <c r="A1079" s="1414"/>
      <c r="B1079" s="1408"/>
      <c r="C1079" s="1409"/>
      <c r="D1079" s="1410"/>
      <c r="E1079" s="1411"/>
      <c r="F1079" s="1421">
        <f t="shared" si="48"/>
        <v>0</v>
      </c>
      <c r="G1079" s="1422" t="e">
        <f t="shared" si="47"/>
        <v>#DIV/0!</v>
      </c>
      <c r="H1079" s="1413"/>
      <c r="I1079" s="1413"/>
    </row>
    <row r="1080" spans="1:9">
      <c r="A1080" s="1414"/>
      <c r="B1080" s="1408"/>
      <c r="C1080" s="1409"/>
      <c r="D1080" s="1410"/>
      <c r="E1080" s="1411"/>
      <c r="F1080" s="1421">
        <f t="shared" si="48"/>
        <v>0</v>
      </c>
      <c r="G1080" s="1422" t="e">
        <f t="shared" si="47"/>
        <v>#DIV/0!</v>
      </c>
      <c r="H1080" s="1413"/>
      <c r="I1080" s="1413"/>
    </row>
    <row r="1081" spans="1:9">
      <c r="A1081" s="1414"/>
      <c r="B1081" s="1408"/>
      <c r="C1081" s="1409"/>
      <c r="D1081" s="1410"/>
      <c r="E1081" s="1411"/>
      <c r="F1081" s="1421">
        <f t="shared" si="48"/>
        <v>0</v>
      </c>
      <c r="G1081" s="1422" t="e">
        <f t="shared" si="47"/>
        <v>#DIV/0!</v>
      </c>
      <c r="H1081" s="1413"/>
      <c r="I1081" s="1413"/>
    </row>
    <row r="1082" spans="1:9">
      <c r="A1082" s="1414"/>
      <c r="B1082" s="1408"/>
      <c r="C1082" s="1409"/>
      <c r="D1082" s="1410"/>
      <c r="E1082" s="1411"/>
      <c r="F1082" s="1421">
        <f t="shared" si="48"/>
        <v>0</v>
      </c>
      <c r="G1082" s="1422" t="e">
        <f t="shared" si="47"/>
        <v>#DIV/0!</v>
      </c>
      <c r="H1082" s="1413"/>
      <c r="I1082" s="1413"/>
    </row>
    <row r="1083" spans="1:9">
      <c r="A1083" s="1414"/>
      <c r="B1083" s="1408"/>
      <c r="C1083" s="1409"/>
      <c r="D1083" s="1410"/>
      <c r="E1083" s="1411"/>
      <c r="F1083" s="1421">
        <f t="shared" si="48"/>
        <v>0</v>
      </c>
      <c r="G1083" s="1422" t="e">
        <f t="shared" si="47"/>
        <v>#DIV/0!</v>
      </c>
      <c r="H1083" s="1413"/>
      <c r="I1083" s="1413"/>
    </row>
    <row r="1084" spans="1:9">
      <c r="A1084" s="1414"/>
      <c r="B1084" s="1408"/>
      <c r="C1084" s="1409"/>
      <c r="D1084" s="1410"/>
      <c r="E1084" s="1411"/>
      <c r="F1084" s="1421">
        <f t="shared" si="48"/>
        <v>0</v>
      </c>
      <c r="G1084" s="1422" t="e">
        <f t="shared" si="47"/>
        <v>#DIV/0!</v>
      </c>
      <c r="H1084" s="1413"/>
      <c r="I1084" s="1413"/>
    </row>
    <row r="1085" spans="1:9">
      <c r="A1085" s="1414"/>
      <c r="B1085" s="1408"/>
      <c r="C1085" s="1409"/>
      <c r="D1085" s="1410"/>
      <c r="E1085" s="1411"/>
      <c r="F1085" s="1421">
        <f t="shared" si="48"/>
        <v>0</v>
      </c>
      <c r="G1085" s="1422" t="e">
        <f t="shared" si="47"/>
        <v>#DIV/0!</v>
      </c>
      <c r="H1085" s="1413"/>
      <c r="I1085" s="1413"/>
    </row>
    <row r="1086" spans="1:9">
      <c r="A1086" s="1414"/>
      <c r="B1086" s="1408"/>
      <c r="C1086" s="1409"/>
      <c r="D1086" s="1410"/>
      <c r="E1086" s="1411"/>
      <c r="F1086" s="1421">
        <f t="shared" si="48"/>
        <v>0</v>
      </c>
      <c r="G1086" s="1422" t="e">
        <f t="shared" si="47"/>
        <v>#DIV/0!</v>
      </c>
      <c r="H1086" s="1413"/>
      <c r="I1086" s="1413"/>
    </row>
    <row r="1087" spans="1:9">
      <c r="A1087" s="1414"/>
      <c r="B1087" s="1408"/>
      <c r="C1087" s="1409"/>
      <c r="D1087" s="1410"/>
      <c r="E1087" s="1411"/>
      <c r="F1087" s="1421">
        <f t="shared" si="48"/>
        <v>0</v>
      </c>
      <c r="G1087" s="1422" t="e">
        <f t="shared" si="47"/>
        <v>#DIV/0!</v>
      </c>
      <c r="H1087" s="1413"/>
      <c r="I1087" s="1413"/>
    </row>
    <row r="1088" spans="1:9">
      <c r="A1088" s="1414"/>
      <c r="B1088" s="1408"/>
      <c r="C1088" s="1409"/>
      <c r="D1088" s="1410"/>
      <c r="E1088" s="1411"/>
      <c r="F1088" s="1421">
        <f t="shared" si="48"/>
        <v>0</v>
      </c>
      <c r="G1088" s="1422" t="e">
        <f t="shared" si="47"/>
        <v>#DIV/0!</v>
      </c>
      <c r="H1088" s="1413"/>
      <c r="I1088" s="1413"/>
    </row>
    <row r="1089" spans="1:9">
      <c r="A1089" s="1414"/>
      <c r="B1089" s="1408"/>
      <c r="C1089" s="1409"/>
      <c r="D1089" s="1410"/>
      <c r="E1089" s="1411"/>
      <c r="F1089" s="1421">
        <f t="shared" si="48"/>
        <v>0</v>
      </c>
      <c r="G1089" s="1422" t="e">
        <f t="shared" si="47"/>
        <v>#DIV/0!</v>
      </c>
      <c r="H1089" s="1413"/>
      <c r="I1089" s="1413"/>
    </row>
    <row r="1090" spans="1:9">
      <c r="A1090" s="1414"/>
      <c r="B1090" s="1408"/>
      <c r="C1090" s="1409"/>
      <c r="D1090" s="1410"/>
      <c r="E1090" s="1411"/>
      <c r="F1090" s="1421">
        <f t="shared" si="48"/>
        <v>0</v>
      </c>
      <c r="G1090" s="1422" t="e">
        <f t="shared" si="47"/>
        <v>#DIV/0!</v>
      </c>
      <c r="H1090" s="1413"/>
      <c r="I1090" s="1413"/>
    </row>
    <row r="1091" spans="1:9">
      <c r="A1091" s="1414"/>
      <c r="B1091" s="1408"/>
      <c r="C1091" s="1409"/>
      <c r="D1091" s="1410"/>
      <c r="E1091" s="1411"/>
      <c r="F1091" s="1421">
        <f t="shared" si="48"/>
        <v>0</v>
      </c>
      <c r="G1091" s="1422" t="e">
        <f t="shared" si="47"/>
        <v>#DIV/0!</v>
      </c>
      <c r="H1091" s="1413"/>
      <c r="I1091" s="1413"/>
    </row>
    <row r="1092" spans="1:9">
      <c r="A1092" s="1414"/>
      <c r="B1092" s="1408"/>
      <c r="C1092" s="1409"/>
      <c r="D1092" s="1410"/>
      <c r="E1092" s="1411"/>
      <c r="F1092" s="1421">
        <f t="shared" si="48"/>
        <v>0</v>
      </c>
      <c r="G1092" s="1422" t="e">
        <f t="shared" si="47"/>
        <v>#DIV/0!</v>
      </c>
      <c r="H1092" s="1413"/>
      <c r="I1092" s="1413"/>
    </row>
    <row r="1093" spans="1:9">
      <c r="A1093" s="1414"/>
      <c r="B1093" s="1408"/>
      <c r="C1093" s="1409"/>
      <c r="D1093" s="1410"/>
      <c r="E1093" s="1411"/>
      <c r="F1093" s="1421">
        <f t="shared" si="48"/>
        <v>0</v>
      </c>
      <c r="G1093" s="1422" t="e">
        <f t="shared" si="47"/>
        <v>#DIV/0!</v>
      </c>
      <c r="H1093" s="1413"/>
      <c r="I1093" s="1413"/>
    </row>
    <row r="1094" spans="1:9">
      <c r="A1094" s="1414"/>
      <c r="B1094" s="1408"/>
      <c r="C1094" s="1409"/>
      <c r="D1094" s="1410"/>
      <c r="E1094" s="1411"/>
      <c r="F1094" s="1421">
        <f t="shared" si="48"/>
        <v>0</v>
      </c>
      <c r="G1094" s="1422" t="e">
        <f t="shared" si="47"/>
        <v>#DIV/0!</v>
      </c>
      <c r="H1094" s="1413"/>
      <c r="I1094" s="1413"/>
    </row>
    <row r="1095" spans="1:9">
      <c r="A1095" s="1414"/>
      <c r="B1095" s="1408"/>
      <c r="C1095" s="1409"/>
      <c r="D1095" s="1410"/>
      <c r="E1095" s="1411"/>
      <c r="F1095" s="1421">
        <f t="shared" si="48"/>
        <v>0</v>
      </c>
      <c r="G1095" s="1422" t="e">
        <f t="shared" si="47"/>
        <v>#DIV/0!</v>
      </c>
      <c r="H1095" s="1413"/>
      <c r="I1095" s="1413"/>
    </row>
    <row r="1096" spans="1:9">
      <c r="A1096" s="1414"/>
      <c r="B1096" s="1408"/>
      <c r="C1096" s="1409"/>
      <c r="D1096" s="1410"/>
      <c r="E1096" s="1411"/>
      <c r="F1096" s="1421">
        <f t="shared" si="48"/>
        <v>0</v>
      </c>
      <c r="G1096" s="1422" t="e">
        <f t="shared" si="47"/>
        <v>#DIV/0!</v>
      </c>
      <c r="H1096" s="1413"/>
      <c r="I1096" s="1413"/>
    </row>
    <row r="1097" spans="1:9">
      <c r="A1097" s="1414"/>
      <c r="B1097" s="1408"/>
      <c r="C1097" s="1409"/>
      <c r="D1097" s="1410"/>
      <c r="E1097" s="1411"/>
      <c r="F1097" s="1421">
        <f t="shared" si="48"/>
        <v>0</v>
      </c>
      <c r="G1097" s="1422" t="e">
        <f t="shared" si="47"/>
        <v>#DIV/0!</v>
      </c>
      <c r="H1097" s="1413"/>
      <c r="I1097" s="1413"/>
    </row>
    <row r="1098" spans="1:9">
      <c r="A1098" s="1414"/>
      <c r="B1098" s="1408"/>
      <c r="C1098" s="1409"/>
      <c r="D1098" s="1410"/>
      <c r="E1098" s="1411"/>
      <c r="F1098" s="1421">
        <f t="shared" si="48"/>
        <v>0</v>
      </c>
      <c r="G1098" s="1422" t="e">
        <f t="shared" si="47"/>
        <v>#DIV/0!</v>
      </c>
      <c r="H1098" s="1413"/>
      <c r="I1098" s="1413"/>
    </row>
    <row r="1099" spans="1:9">
      <c r="A1099" s="1414"/>
      <c r="B1099" s="1408"/>
      <c r="C1099" s="1409"/>
      <c r="D1099" s="1410"/>
      <c r="E1099" s="1411"/>
      <c r="F1099" s="1421">
        <f t="shared" si="48"/>
        <v>0</v>
      </c>
      <c r="G1099" s="1422" t="e">
        <f t="shared" si="47"/>
        <v>#DIV/0!</v>
      </c>
      <c r="H1099" s="1413"/>
      <c r="I1099" s="1413"/>
    </row>
    <row r="1100" spans="1:9">
      <c r="A1100" s="1414"/>
      <c r="B1100" s="1408"/>
      <c r="C1100" s="1409"/>
      <c r="D1100" s="1410"/>
      <c r="E1100" s="1411"/>
      <c r="F1100" s="1421">
        <f t="shared" si="48"/>
        <v>0</v>
      </c>
      <c r="G1100" s="1422" t="e">
        <f t="shared" si="47"/>
        <v>#DIV/0!</v>
      </c>
      <c r="H1100" s="1413"/>
      <c r="I1100" s="1413"/>
    </row>
    <row r="1101" spans="1:9">
      <c r="A1101" s="1414"/>
      <c r="B1101" s="1408"/>
      <c r="C1101" s="1409"/>
      <c r="D1101" s="1410"/>
      <c r="E1101" s="1411"/>
      <c r="F1101" s="1421">
        <f t="shared" si="48"/>
        <v>0</v>
      </c>
      <c r="G1101" s="1422" t="e">
        <f t="shared" si="47"/>
        <v>#DIV/0!</v>
      </c>
      <c r="H1101" s="1413"/>
      <c r="I1101" s="1413"/>
    </row>
    <row r="1102" spans="1:9">
      <c r="A1102" s="1414"/>
      <c r="B1102" s="1408"/>
      <c r="C1102" s="1409"/>
      <c r="D1102" s="1410"/>
      <c r="E1102" s="1411"/>
      <c r="F1102" s="1421">
        <f t="shared" si="48"/>
        <v>0</v>
      </c>
      <c r="G1102" s="1422" t="e">
        <f t="shared" si="47"/>
        <v>#DIV/0!</v>
      </c>
      <c r="H1102" s="1413"/>
      <c r="I1102" s="1413"/>
    </row>
    <row r="1103" spans="1:9">
      <c r="A1103" s="1414"/>
      <c r="B1103" s="1408"/>
      <c r="C1103" s="1409"/>
      <c r="D1103" s="1410"/>
      <c r="E1103" s="1411"/>
      <c r="F1103" s="1421">
        <f t="shared" si="48"/>
        <v>0</v>
      </c>
      <c r="G1103" s="1422" t="e">
        <f t="shared" si="47"/>
        <v>#DIV/0!</v>
      </c>
      <c r="H1103" s="1413"/>
      <c r="I1103" s="1413"/>
    </row>
    <row r="1104" spans="1:9">
      <c r="A1104" s="1414"/>
      <c r="B1104" s="1408"/>
      <c r="C1104" s="1409"/>
      <c r="D1104" s="1410"/>
      <c r="E1104" s="1411"/>
      <c r="F1104" s="1421">
        <f t="shared" si="48"/>
        <v>0</v>
      </c>
      <c r="G1104" s="1422" t="e">
        <f t="shared" si="47"/>
        <v>#DIV/0!</v>
      </c>
      <c r="H1104" s="1413"/>
      <c r="I1104" s="1413"/>
    </row>
    <row r="1105" spans="1:9">
      <c r="A1105" s="1414"/>
      <c r="B1105" s="1408"/>
      <c r="C1105" s="1409"/>
      <c r="D1105" s="1410"/>
      <c r="E1105" s="1411"/>
      <c r="F1105" s="1421">
        <f t="shared" si="48"/>
        <v>0</v>
      </c>
      <c r="G1105" s="1422" t="e">
        <f t="shared" si="47"/>
        <v>#DIV/0!</v>
      </c>
      <c r="H1105" s="1413"/>
      <c r="I1105" s="1413"/>
    </row>
    <row r="1106" spans="1:9">
      <c r="A1106" s="1414"/>
      <c r="B1106" s="1408"/>
      <c r="C1106" s="1409"/>
      <c r="D1106" s="1410"/>
      <c r="E1106" s="1411"/>
      <c r="F1106" s="1421">
        <f t="shared" si="48"/>
        <v>0</v>
      </c>
      <c r="G1106" s="1422" t="e">
        <f t="shared" si="47"/>
        <v>#DIV/0!</v>
      </c>
      <c r="H1106" s="1413"/>
      <c r="I1106" s="1413"/>
    </row>
    <row r="1107" spans="1:9">
      <c r="A1107" s="1414"/>
      <c r="B1107" s="1408"/>
      <c r="C1107" s="1409"/>
      <c r="D1107" s="1410"/>
      <c r="E1107" s="1411"/>
      <c r="F1107" s="1421">
        <f t="shared" si="48"/>
        <v>0</v>
      </c>
      <c r="G1107" s="1422" t="e">
        <f t="shared" si="47"/>
        <v>#DIV/0!</v>
      </c>
      <c r="H1107" s="1413"/>
      <c r="I1107" s="1413"/>
    </row>
    <row r="1108" spans="1:9">
      <c r="A1108" s="1414"/>
      <c r="B1108" s="1408"/>
      <c r="C1108" s="1409"/>
      <c r="D1108" s="1410"/>
      <c r="E1108" s="1411"/>
      <c r="F1108" s="1421">
        <f t="shared" si="48"/>
        <v>0</v>
      </c>
      <c r="G1108" s="1422" t="e">
        <f t="shared" si="47"/>
        <v>#DIV/0!</v>
      </c>
      <c r="H1108" s="1413"/>
      <c r="I1108" s="1413"/>
    </row>
    <row r="1109" spans="1:9">
      <c r="A1109" s="1414"/>
      <c r="B1109" s="1408"/>
      <c r="C1109" s="1409"/>
      <c r="D1109" s="1410"/>
      <c r="E1109" s="1411"/>
      <c r="F1109" s="1421">
        <f t="shared" si="48"/>
        <v>0</v>
      </c>
      <c r="G1109" s="1422" t="e">
        <f t="shared" si="47"/>
        <v>#DIV/0!</v>
      </c>
      <c r="H1109" s="1413"/>
      <c r="I1109" s="1413"/>
    </row>
    <row r="1110" spans="1:9">
      <c r="A1110" s="1414"/>
      <c r="B1110" s="1408"/>
      <c r="C1110" s="1409"/>
      <c r="D1110" s="1410"/>
      <c r="E1110" s="1411"/>
      <c r="F1110" s="1421">
        <f t="shared" si="48"/>
        <v>0</v>
      </c>
      <c r="G1110" s="1422" t="e">
        <f t="shared" si="47"/>
        <v>#DIV/0!</v>
      </c>
      <c r="H1110" s="1413"/>
      <c r="I1110" s="1413"/>
    </row>
    <row r="1111" spans="1:9">
      <c r="A1111" s="1414"/>
      <c r="B1111" s="1408"/>
      <c r="C1111" s="1409"/>
      <c r="D1111" s="1410"/>
      <c r="E1111" s="1411"/>
      <c r="F1111" s="1421">
        <f t="shared" si="48"/>
        <v>0</v>
      </c>
      <c r="G1111" s="1422" t="e">
        <f t="shared" si="47"/>
        <v>#DIV/0!</v>
      </c>
      <c r="H1111" s="1413"/>
      <c r="I1111" s="1413"/>
    </row>
    <row r="1112" spans="1:9">
      <c r="A1112" s="1414"/>
      <c r="B1112" s="1408"/>
      <c r="C1112" s="1409"/>
      <c r="D1112" s="1410"/>
      <c r="E1112" s="1411"/>
      <c r="F1112" s="1421">
        <f t="shared" si="48"/>
        <v>0</v>
      </c>
      <c r="G1112" s="1422" t="e">
        <f t="shared" si="47"/>
        <v>#DIV/0!</v>
      </c>
      <c r="H1112" s="1413"/>
      <c r="I1112" s="1413"/>
    </row>
    <row r="1113" spans="1:9">
      <c r="A1113" s="1414"/>
      <c r="B1113" s="1408"/>
      <c r="C1113" s="1409"/>
      <c r="D1113" s="1410"/>
      <c r="E1113" s="1411"/>
      <c r="F1113" s="1421">
        <f t="shared" si="48"/>
        <v>0</v>
      </c>
      <c r="G1113" s="1422" t="e">
        <f t="shared" si="47"/>
        <v>#DIV/0!</v>
      </c>
      <c r="H1113" s="1413"/>
      <c r="I1113" s="1413"/>
    </row>
    <row r="1114" spans="1:9">
      <c r="A1114" s="1414"/>
      <c r="B1114" s="1408"/>
      <c r="C1114" s="1409"/>
      <c r="D1114" s="1410"/>
      <c r="E1114" s="1411"/>
      <c r="F1114" s="1421">
        <f t="shared" si="48"/>
        <v>0</v>
      </c>
      <c r="G1114" s="1422" t="e">
        <f t="shared" si="47"/>
        <v>#DIV/0!</v>
      </c>
      <c r="H1114" s="1413"/>
      <c r="I1114" s="1413"/>
    </row>
    <row r="1115" spans="1:9">
      <c r="A1115" s="1414"/>
      <c r="B1115" s="1408"/>
      <c r="C1115" s="1409"/>
      <c r="D1115" s="1410"/>
      <c r="E1115" s="1411"/>
      <c r="F1115" s="1421">
        <f t="shared" si="48"/>
        <v>0</v>
      </c>
      <c r="G1115" s="1422" t="e">
        <f t="shared" si="47"/>
        <v>#DIV/0!</v>
      </c>
      <c r="H1115" s="1413"/>
      <c r="I1115" s="1413"/>
    </row>
    <row r="1116" spans="1:9">
      <c r="A1116" s="1414"/>
      <c r="B1116" s="1408"/>
      <c r="C1116" s="1409"/>
      <c r="D1116" s="1410"/>
      <c r="E1116" s="1411"/>
      <c r="F1116" s="1421">
        <f t="shared" si="48"/>
        <v>0</v>
      </c>
      <c r="G1116" s="1422" t="e">
        <f t="shared" si="47"/>
        <v>#DIV/0!</v>
      </c>
      <c r="H1116" s="1413"/>
      <c r="I1116" s="1413"/>
    </row>
    <row r="1117" spans="1:9">
      <c r="A1117" s="1414"/>
      <c r="B1117" s="1408"/>
      <c r="C1117" s="1409"/>
      <c r="D1117" s="1410"/>
      <c r="E1117" s="1411"/>
      <c r="F1117" s="1421">
        <f t="shared" si="48"/>
        <v>0</v>
      </c>
      <c r="G1117" s="1422" t="e">
        <f t="shared" si="47"/>
        <v>#DIV/0!</v>
      </c>
      <c r="H1117" s="1413"/>
      <c r="I1117" s="1413"/>
    </row>
    <row r="1118" spans="1:9">
      <c r="A1118" s="1414"/>
      <c r="B1118" s="1408"/>
      <c r="C1118" s="1409"/>
      <c r="D1118" s="1410"/>
      <c r="E1118" s="1411"/>
      <c r="F1118" s="1421">
        <f t="shared" si="48"/>
        <v>0</v>
      </c>
      <c r="G1118" s="1422" t="e">
        <f t="shared" si="47"/>
        <v>#DIV/0!</v>
      </c>
      <c r="H1118" s="1413"/>
      <c r="I1118" s="1413"/>
    </row>
    <row r="1119" spans="1:9">
      <c r="A1119" s="1414"/>
      <c r="B1119" s="1408"/>
      <c r="C1119" s="1409"/>
      <c r="D1119" s="1410"/>
      <c r="E1119" s="1411"/>
      <c r="F1119" s="1421">
        <f t="shared" si="48"/>
        <v>0</v>
      </c>
      <c r="G1119" s="1422" t="e">
        <f t="shared" si="47"/>
        <v>#DIV/0!</v>
      </c>
      <c r="H1119" s="1413"/>
      <c r="I1119" s="1413"/>
    </row>
    <row r="1120" spans="1:9">
      <c r="A1120" s="1414"/>
      <c r="B1120" s="1408"/>
      <c r="C1120" s="1409"/>
      <c r="D1120" s="1410"/>
      <c r="E1120" s="1411"/>
      <c r="F1120" s="1421">
        <f t="shared" si="48"/>
        <v>0</v>
      </c>
      <c r="G1120" s="1422" t="e">
        <f t="shared" ref="G1120:G1183" si="49">F1120/E1120</f>
        <v>#DIV/0!</v>
      </c>
      <c r="H1120" s="1413"/>
      <c r="I1120" s="1413"/>
    </row>
    <row r="1121" spans="1:9">
      <c r="A1121" s="1414"/>
      <c r="B1121" s="1408"/>
      <c r="C1121" s="1409"/>
      <c r="D1121" s="1410"/>
      <c r="E1121" s="1411"/>
      <c r="F1121" s="1421">
        <f t="shared" si="48"/>
        <v>0</v>
      </c>
      <c r="G1121" s="1422" t="e">
        <f t="shared" si="49"/>
        <v>#DIV/0!</v>
      </c>
      <c r="H1121" s="1413"/>
      <c r="I1121" s="1413"/>
    </row>
    <row r="1122" spans="1:9">
      <c r="A1122" s="1414"/>
      <c r="B1122" s="1408"/>
      <c r="C1122" s="1409"/>
      <c r="D1122" s="1410"/>
      <c r="E1122" s="1411"/>
      <c r="F1122" s="1421">
        <f t="shared" si="48"/>
        <v>0</v>
      </c>
      <c r="G1122" s="1422" t="e">
        <f t="shared" si="49"/>
        <v>#DIV/0!</v>
      </c>
      <c r="H1122" s="1413"/>
      <c r="I1122" s="1413"/>
    </row>
    <row r="1123" spans="1:9">
      <c r="A1123" s="1414"/>
      <c r="B1123" s="1408"/>
      <c r="C1123" s="1409"/>
      <c r="D1123" s="1410"/>
      <c r="E1123" s="1411"/>
      <c r="F1123" s="1421">
        <f t="shared" si="48"/>
        <v>0</v>
      </c>
      <c r="G1123" s="1422" t="e">
        <f t="shared" si="49"/>
        <v>#DIV/0!</v>
      </c>
      <c r="H1123" s="1413"/>
      <c r="I1123" s="1413"/>
    </row>
    <row r="1124" spans="1:9">
      <c r="A1124" s="1414"/>
      <c r="B1124" s="1408"/>
      <c r="C1124" s="1409"/>
      <c r="D1124" s="1410"/>
      <c r="E1124" s="1411"/>
      <c r="F1124" s="1421">
        <f t="shared" si="48"/>
        <v>0</v>
      </c>
      <c r="G1124" s="1422" t="e">
        <f t="shared" si="49"/>
        <v>#DIV/0!</v>
      </c>
      <c r="H1124" s="1413"/>
      <c r="I1124" s="1413"/>
    </row>
    <row r="1125" spans="1:9">
      <c r="A1125" s="1414"/>
      <c r="B1125" s="1408"/>
      <c r="C1125" s="1409"/>
      <c r="D1125" s="1410"/>
      <c r="E1125" s="1411"/>
      <c r="F1125" s="1421">
        <f t="shared" si="48"/>
        <v>0</v>
      </c>
      <c r="G1125" s="1422" t="e">
        <f t="shared" si="49"/>
        <v>#DIV/0!</v>
      </c>
      <c r="H1125" s="1413"/>
      <c r="I1125" s="1413"/>
    </row>
    <row r="1126" spans="1:9">
      <c r="A1126" s="1414"/>
      <c r="B1126" s="1408"/>
      <c r="C1126" s="1409"/>
      <c r="D1126" s="1410"/>
      <c r="E1126" s="1411"/>
      <c r="F1126" s="1421">
        <f t="shared" si="48"/>
        <v>0</v>
      </c>
      <c r="G1126" s="1422" t="e">
        <f t="shared" si="49"/>
        <v>#DIV/0!</v>
      </c>
      <c r="H1126" s="1413"/>
      <c r="I1126" s="1413"/>
    </row>
    <row r="1127" spans="1:9">
      <c r="A1127" s="1414"/>
      <c r="B1127" s="1408"/>
      <c r="C1127" s="1409"/>
      <c r="D1127" s="1410"/>
      <c r="E1127" s="1411"/>
      <c r="F1127" s="1421">
        <f t="shared" si="48"/>
        <v>0</v>
      </c>
      <c r="G1127" s="1422" t="e">
        <f t="shared" si="49"/>
        <v>#DIV/0!</v>
      </c>
      <c r="H1127" s="1413"/>
      <c r="I1127" s="1413"/>
    </row>
    <row r="1128" spans="1:9">
      <c r="A1128" s="1414"/>
      <c r="B1128" s="1408"/>
      <c r="C1128" s="1409"/>
      <c r="D1128" s="1410"/>
      <c r="E1128" s="1411"/>
      <c r="F1128" s="1421">
        <f t="shared" ref="F1128:F1191" si="50">D1128-E1128</f>
        <v>0</v>
      </c>
      <c r="G1128" s="1422" t="e">
        <f t="shared" si="49"/>
        <v>#DIV/0!</v>
      </c>
      <c r="H1128" s="1413"/>
      <c r="I1128" s="1413"/>
    </row>
    <row r="1129" spans="1:9">
      <c r="A1129" s="1414"/>
      <c r="B1129" s="1408"/>
      <c r="C1129" s="1409"/>
      <c r="D1129" s="1410"/>
      <c r="E1129" s="1411"/>
      <c r="F1129" s="1421">
        <f t="shared" si="50"/>
        <v>0</v>
      </c>
      <c r="G1129" s="1422" t="e">
        <f t="shared" si="49"/>
        <v>#DIV/0!</v>
      </c>
      <c r="H1129" s="1413"/>
      <c r="I1129" s="1413"/>
    </row>
    <row r="1130" spans="1:9">
      <c r="A1130" s="1414"/>
      <c r="B1130" s="1408"/>
      <c r="C1130" s="1409"/>
      <c r="D1130" s="1410"/>
      <c r="E1130" s="1411"/>
      <c r="F1130" s="1421">
        <f t="shared" si="50"/>
        <v>0</v>
      </c>
      <c r="G1130" s="1422" t="e">
        <f t="shared" si="49"/>
        <v>#DIV/0!</v>
      </c>
      <c r="H1130" s="1413"/>
      <c r="I1130" s="1413"/>
    </row>
    <row r="1131" spans="1:9">
      <c r="A1131" s="1414"/>
      <c r="B1131" s="1408"/>
      <c r="C1131" s="1409"/>
      <c r="D1131" s="1410"/>
      <c r="E1131" s="1411"/>
      <c r="F1131" s="1421">
        <f t="shared" si="50"/>
        <v>0</v>
      </c>
      <c r="G1131" s="1422" t="e">
        <f t="shared" si="49"/>
        <v>#DIV/0!</v>
      </c>
      <c r="H1131" s="1413"/>
      <c r="I1131" s="1413"/>
    </row>
    <row r="1132" spans="1:9">
      <c r="A1132" s="1414"/>
      <c r="B1132" s="1408"/>
      <c r="C1132" s="1409"/>
      <c r="D1132" s="1410"/>
      <c r="E1132" s="1411"/>
      <c r="F1132" s="1421">
        <f t="shared" si="50"/>
        <v>0</v>
      </c>
      <c r="G1132" s="1422" t="e">
        <f t="shared" si="49"/>
        <v>#DIV/0!</v>
      </c>
      <c r="H1132" s="1413"/>
      <c r="I1132" s="1413"/>
    </row>
    <row r="1133" spans="1:9">
      <c r="A1133" s="1414"/>
      <c r="B1133" s="1408"/>
      <c r="C1133" s="1409"/>
      <c r="D1133" s="1410"/>
      <c r="E1133" s="1411"/>
      <c r="F1133" s="1421">
        <f t="shared" si="50"/>
        <v>0</v>
      </c>
      <c r="G1133" s="1422" t="e">
        <f t="shared" si="49"/>
        <v>#DIV/0!</v>
      </c>
      <c r="H1133" s="1413"/>
      <c r="I1133" s="1413"/>
    </row>
    <row r="1134" spans="1:9">
      <c r="A1134" s="1414"/>
      <c r="B1134" s="1408"/>
      <c r="C1134" s="1409"/>
      <c r="D1134" s="1410"/>
      <c r="E1134" s="1411"/>
      <c r="F1134" s="1421">
        <f t="shared" si="50"/>
        <v>0</v>
      </c>
      <c r="G1134" s="1422" t="e">
        <f t="shared" si="49"/>
        <v>#DIV/0!</v>
      </c>
      <c r="H1134" s="1413"/>
      <c r="I1134" s="1413"/>
    </row>
    <row r="1135" spans="1:9">
      <c r="A1135" s="1414"/>
      <c r="B1135" s="1408"/>
      <c r="C1135" s="1409"/>
      <c r="D1135" s="1410"/>
      <c r="E1135" s="1411"/>
      <c r="F1135" s="1421">
        <f t="shared" si="50"/>
        <v>0</v>
      </c>
      <c r="G1135" s="1422" t="e">
        <f t="shared" si="49"/>
        <v>#DIV/0!</v>
      </c>
      <c r="H1135" s="1413"/>
      <c r="I1135" s="1413"/>
    </row>
    <row r="1136" spans="1:9">
      <c r="A1136" s="1414"/>
      <c r="B1136" s="1408"/>
      <c r="C1136" s="1409"/>
      <c r="D1136" s="1410"/>
      <c r="E1136" s="1411"/>
      <c r="F1136" s="1421">
        <f t="shared" si="50"/>
        <v>0</v>
      </c>
      <c r="G1136" s="1422" t="e">
        <f t="shared" si="49"/>
        <v>#DIV/0!</v>
      </c>
      <c r="H1136" s="1413"/>
      <c r="I1136" s="1413"/>
    </row>
    <row r="1137" spans="1:9">
      <c r="A1137" s="1414"/>
      <c r="B1137" s="1408"/>
      <c r="C1137" s="1409"/>
      <c r="D1137" s="1410"/>
      <c r="E1137" s="1411"/>
      <c r="F1137" s="1421">
        <f t="shared" si="50"/>
        <v>0</v>
      </c>
      <c r="G1137" s="1422" t="e">
        <f t="shared" si="49"/>
        <v>#DIV/0!</v>
      </c>
      <c r="H1137" s="1413"/>
      <c r="I1137" s="1413"/>
    </row>
    <row r="1138" spans="1:9">
      <c r="A1138" s="1414"/>
      <c r="B1138" s="1408"/>
      <c r="C1138" s="1409"/>
      <c r="D1138" s="1410"/>
      <c r="E1138" s="1411"/>
      <c r="F1138" s="1421">
        <f t="shared" si="50"/>
        <v>0</v>
      </c>
      <c r="G1138" s="1422" t="e">
        <f t="shared" si="49"/>
        <v>#DIV/0!</v>
      </c>
      <c r="H1138" s="1413"/>
      <c r="I1138" s="1413"/>
    </row>
    <row r="1139" spans="1:9">
      <c r="A1139" s="1414"/>
      <c r="B1139" s="1408"/>
      <c r="C1139" s="1409"/>
      <c r="D1139" s="1410"/>
      <c r="E1139" s="1411"/>
      <c r="F1139" s="1421">
        <f t="shared" si="50"/>
        <v>0</v>
      </c>
      <c r="G1139" s="1422" t="e">
        <f t="shared" si="49"/>
        <v>#DIV/0!</v>
      </c>
      <c r="H1139" s="1413"/>
      <c r="I1139" s="1413"/>
    </row>
    <row r="1140" spans="1:9">
      <c r="A1140" s="1414"/>
      <c r="B1140" s="1408"/>
      <c r="C1140" s="1409"/>
      <c r="D1140" s="1410"/>
      <c r="E1140" s="1411"/>
      <c r="F1140" s="1421">
        <f t="shared" si="50"/>
        <v>0</v>
      </c>
      <c r="G1140" s="1422" t="e">
        <f t="shared" si="49"/>
        <v>#DIV/0!</v>
      </c>
      <c r="H1140" s="1413"/>
      <c r="I1140" s="1413"/>
    </row>
    <row r="1141" spans="1:9">
      <c r="A1141" s="1414"/>
      <c r="B1141" s="1408"/>
      <c r="C1141" s="1409"/>
      <c r="D1141" s="1410"/>
      <c r="E1141" s="1411"/>
      <c r="F1141" s="1421">
        <f t="shared" si="50"/>
        <v>0</v>
      </c>
      <c r="G1141" s="1422" t="e">
        <f t="shared" si="49"/>
        <v>#DIV/0!</v>
      </c>
      <c r="H1141" s="1413"/>
      <c r="I1141" s="1413"/>
    </row>
    <row r="1142" spans="1:9">
      <c r="A1142" s="1414"/>
      <c r="B1142" s="1408"/>
      <c r="C1142" s="1409"/>
      <c r="D1142" s="1410"/>
      <c r="E1142" s="1411"/>
      <c r="F1142" s="1421">
        <f t="shared" si="50"/>
        <v>0</v>
      </c>
      <c r="G1142" s="1422" t="e">
        <f t="shared" si="49"/>
        <v>#DIV/0!</v>
      </c>
      <c r="H1142" s="1413"/>
      <c r="I1142" s="1413"/>
    </row>
    <row r="1143" spans="1:9">
      <c r="A1143" s="1414"/>
      <c r="B1143" s="1408"/>
      <c r="C1143" s="1409"/>
      <c r="D1143" s="1410"/>
      <c r="E1143" s="1411"/>
      <c r="F1143" s="1421">
        <f t="shared" si="50"/>
        <v>0</v>
      </c>
      <c r="G1143" s="1422" t="e">
        <f t="shared" si="49"/>
        <v>#DIV/0!</v>
      </c>
      <c r="H1143" s="1413"/>
      <c r="I1143" s="1413"/>
    </row>
    <row r="1144" spans="1:9">
      <c r="A1144" s="1414"/>
      <c r="B1144" s="1408"/>
      <c r="C1144" s="1409"/>
      <c r="D1144" s="1410"/>
      <c r="E1144" s="1411"/>
      <c r="F1144" s="1421">
        <f t="shared" si="50"/>
        <v>0</v>
      </c>
      <c r="G1144" s="1422" t="e">
        <f t="shared" si="49"/>
        <v>#DIV/0!</v>
      </c>
      <c r="H1144" s="1413"/>
      <c r="I1144" s="1413"/>
    </row>
    <row r="1145" spans="1:9">
      <c r="A1145" s="1414"/>
      <c r="B1145" s="1408"/>
      <c r="C1145" s="1409"/>
      <c r="D1145" s="1410"/>
      <c r="E1145" s="1411"/>
      <c r="F1145" s="1421">
        <f t="shared" si="50"/>
        <v>0</v>
      </c>
      <c r="G1145" s="1422" t="e">
        <f t="shared" si="49"/>
        <v>#DIV/0!</v>
      </c>
      <c r="H1145" s="1413"/>
      <c r="I1145" s="1413"/>
    </row>
    <row r="1146" spans="1:9">
      <c r="A1146" s="1414"/>
      <c r="B1146" s="1408"/>
      <c r="C1146" s="1409"/>
      <c r="D1146" s="1410"/>
      <c r="E1146" s="1411"/>
      <c r="F1146" s="1421">
        <f t="shared" si="50"/>
        <v>0</v>
      </c>
      <c r="G1146" s="1422" t="e">
        <f t="shared" si="49"/>
        <v>#DIV/0!</v>
      </c>
      <c r="H1146" s="1413"/>
      <c r="I1146" s="1413"/>
    </row>
    <row r="1147" spans="1:9">
      <c r="A1147" s="1414"/>
      <c r="B1147" s="1408"/>
      <c r="C1147" s="1409"/>
      <c r="D1147" s="1410"/>
      <c r="E1147" s="1411"/>
      <c r="F1147" s="1421">
        <f t="shared" si="50"/>
        <v>0</v>
      </c>
      <c r="G1147" s="1422" t="e">
        <f t="shared" si="49"/>
        <v>#DIV/0!</v>
      </c>
      <c r="H1147" s="1413"/>
      <c r="I1147" s="1413"/>
    </row>
    <row r="1148" spans="1:9">
      <c r="A1148" s="1414"/>
      <c r="B1148" s="1408"/>
      <c r="C1148" s="1409"/>
      <c r="D1148" s="1410"/>
      <c r="E1148" s="1411"/>
      <c r="F1148" s="1421">
        <f t="shared" si="50"/>
        <v>0</v>
      </c>
      <c r="G1148" s="1422" t="e">
        <f t="shared" si="49"/>
        <v>#DIV/0!</v>
      </c>
      <c r="H1148" s="1413"/>
      <c r="I1148" s="1413"/>
    </row>
    <row r="1149" spans="1:9">
      <c r="A1149" s="1414"/>
      <c r="B1149" s="1408"/>
      <c r="C1149" s="1409"/>
      <c r="D1149" s="1410"/>
      <c r="E1149" s="1411"/>
      <c r="F1149" s="1421">
        <f t="shared" si="50"/>
        <v>0</v>
      </c>
      <c r="G1149" s="1422" t="e">
        <f t="shared" si="49"/>
        <v>#DIV/0!</v>
      </c>
      <c r="H1149" s="1413"/>
      <c r="I1149" s="1413"/>
    </row>
    <row r="1150" spans="1:9">
      <c r="A1150" s="1414"/>
      <c r="B1150" s="1408"/>
      <c r="C1150" s="1409"/>
      <c r="D1150" s="1410"/>
      <c r="E1150" s="1411"/>
      <c r="F1150" s="1421">
        <f t="shared" si="50"/>
        <v>0</v>
      </c>
      <c r="G1150" s="1422" t="e">
        <f t="shared" si="49"/>
        <v>#DIV/0!</v>
      </c>
      <c r="H1150" s="1413"/>
      <c r="I1150" s="1413"/>
    </row>
    <row r="1151" spans="1:9">
      <c r="A1151" s="1414"/>
      <c r="B1151" s="1408"/>
      <c r="C1151" s="1409"/>
      <c r="D1151" s="1410"/>
      <c r="E1151" s="1411"/>
      <c r="F1151" s="1421">
        <f t="shared" si="50"/>
        <v>0</v>
      </c>
      <c r="G1151" s="1422" t="e">
        <f t="shared" si="49"/>
        <v>#DIV/0!</v>
      </c>
      <c r="H1151" s="1413"/>
      <c r="I1151" s="1413"/>
    </row>
    <row r="1152" spans="1:9">
      <c r="A1152" s="1414"/>
      <c r="B1152" s="1408"/>
      <c r="C1152" s="1409"/>
      <c r="D1152" s="1410"/>
      <c r="E1152" s="1411"/>
      <c r="F1152" s="1421">
        <f t="shared" si="50"/>
        <v>0</v>
      </c>
      <c r="G1152" s="1422" t="e">
        <f t="shared" si="49"/>
        <v>#DIV/0!</v>
      </c>
      <c r="H1152" s="1413"/>
      <c r="I1152" s="1413"/>
    </row>
    <row r="1153" spans="1:9">
      <c r="A1153" s="1414"/>
      <c r="B1153" s="1408"/>
      <c r="C1153" s="1409"/>
      <c r="D1153" s="1410"/>
      <c r="E1153" s="1411"/>
      <c r="F1153" s="1421">
        <f t="shared" si="50"/>
        <v>0</v>
      </c>
      <c r="G1153" s="1422" t="e">
        <f t="shared" si="49"/>
        <v>#DIV/0!</v>
      </c>
      <c r="H1153" s="1413"/>
      <c r="I1153" s="1413"/>
    </row>
    <row r="1154" spans="1:9">
      <c r="A1154" s="1414"/>
      <c r="B1154" s="1408"/>
      <c r="C1154" s="1409"/>
      <c r="D1154" s="1410"/>
      <c r="E1154" s="1411"/>
      <c r="F1154" s="1421">
        <f t="shared" si="50"/>
        <v>0</v>
      </c>
      <c r="G1154" s="1422" t="e">
        <f t="shared" si="49"/>
        <v>#DIV/0!</v>
      </c>
      <c r="H1154" s="1413"/>
      <c r="I1154" s="1413"/>
    </row>
    <row r="1155" spans="1:9">
      <c r="A1155" s="1414"/>
      <c r="B1155" s="1408"/>
      <c r="C1155" s="1409"/>
      <c r="D1155" s="1410"/>
      <c r="E1155" s="1411"/>
      <c r="F1155" s="1421">
        <f t="shared" si="50"/>
        <v>0</v>
      </c>
      <c r="G1155" s="1422" t="e">
        <f t="shared" si="49"/>
        <v>#DIV/0!</v>
      </c>
      <c r="H1155" s="1413"/>
      <c r="I1155" s="1413"/>
    </row>
    <row r="1156" spans="1:9">
      <c r="A1156" s="1414"/>
      <c r="B1156" s="1408"/>
      <c r="C1156" s="1409"/>
      <c r="D1156" s="1410"/>
      <c r="E1156" s="1411"/>
      <c r="F1156" s="1421">
        <f t="shared" si="50"/>
        <v>0</v>
      </c>
      <c r="G1156" s="1422" t="e">
        <f t="shared" si="49"/>
        <v>#DIV/0!</v>
      </c>
      <c r="H1156" s="1413"/>
      <c r="I1156" s="1413"/>
    </row>
    <row r="1157" spans="1:9">
      <c r="A1157" s="1414"/>
      <c r="B1157" s="1408"/>
      <c r="C1157" s="1409"/>
      <c r="D1157" s="1410"/>
      <c r="E1157" s="1411"/>
      <c r="F1157" s="1421">
        <f t="shared" si="50"/>
        <v>0</v>
      </c>
      <c r="G1157" s="1422" t="e">
        <f t="shared" si="49"/>
        <v>#DIV/0!</v>
      </c>
      <c r="H1157" s="1413"/>
      <c r="I1157" s="1413"/>
    </row>
    <row r="1158" spans="1:9">
      <c r="A1158" s="1414"/>
      <c r="B1158" s="1408"/>
      <c r="C1158" s="1409"/>
      <c r="D1158" s="1410"/>
      <c r="E1158" s="1411"/>
      <c r="F1158" s="1421">
        <f t="shared" si="50"/>
        <v>0</v>
      </c>
      <c r="G1158" s="1422" t="e">
        <f t="shared" si="49"/>
        <v>#DIV/0!</v>
      </c>
      <c r="H1158" s="1413"/>
      <c r="I1158" s="1413"/>
    </row>
    <row r="1159" spans="1:9">
      <c r="A1159" s="1414"/>
      <c r="B1159" s="1408"/>
      <c r="C1159" s="1409"/>
      <c r="D1159" s="1410"/>
      <c r="E1159" s="1411"/>
      <c r="F1159" s="1421">
        <f t="shared" si="50"/>
        <v>0</v>
      </c>
      <c r="G1159" s="1422" t="e">
        <f t="shared" si="49"/>
        <v>#DIV/0!</v>
      </c>
      <c r="H1159" s="1413"/>
      <c r="I1159" s="1413"/>
    </row>
    <row r="1160" spans="1:9">
      <c r="A1160" s="1414"/>
      <c r="B1160" s="1408"/>
      <c r="C1160" s="1409"/>
      <c r="D1160" s="1410"/>
      <c r="E1160" s="1411"/>
      <c r="F1160" s="1421">
        <f t="shared" si="50"/>
        <v>0</v>
      </c>
      <c r="G1160" s="1422" t="e">
        <f t="shared" si="49"/>
        <v>#DIV/0!</v>
      </c>
      <c r="H1160" s="1413"/>
      <c r="I1160" s="1413"/>
    </row>
    <row r="1161" spans="1:9">
      <c r="A1161" s="1414"/>
      <c r="B1161" s="1408"/>
      <c r="C1161" s="1409"/>
      <c r="D1161" s="1410"/>
      <c r="E1161" s="1411"/>
      <c r="F1161" s="1421">
        <f t="shared" si="50"/>
        <v>0</v>
      </c>
      <c r="G1161" s="1422" t="e">
        <f t="shared" si="49"/>
        <v>#DIV/0!</v>
      </c>
      <c r="H1161" s="1413"/>
      <c r="I1161" s="1413"/>
    </row>
    <row r="1162" spans="1:9">
      <c r="A1162" s="1414"/>
      <c r="B1162" s="1408"/>
      <c r="C1162" s="1409"/>
      <c r="D1162" s="1410"/>
      <c r="E1162" s="1411"/>
      <c r="F1162" s="1421">
        <f t="shared" si="50"/>
        <v>0</v>
      </c>
      <c r="G1162" s="1422" t="e">
        <f t="shared" si="49"/>
        <v>#DIV/0!</v>
      </c>
      <c r="H1162" s="1413"/>
      <c r="I1162" s="1413"/>
    </row>
    <row r="1163" spans="1:9">
      <c r="A1163" s="1414"/>
      <c r="B1163" s="1408"/>
      <c r="C1163" s="1409"/>
      <c r="D1163" s="1410"/>
      <c r="E1163" s="1411"/>
      <c r="F1163" s="1421">
        <f t="shared" si="50"/>
        <v>0</v>
      </c>
      <c r="G1163" s="1422" t="e">
        <f t="shared" si="49"/>
        <v>#DIV/0!</v>
      </c>
      <c r="H1163" s="1413"/>
      <c r="I1163" s="1413"/>
    </row>
    <row r="1164" spans="1:9">
      <c r="A1164" s="1414"/>
      <c r="B1164" s="1408"/>
      <c r="C1164" s="1409"/>
      <c r="D1164" s="1410"/>
      <c r="E1164" s="1411"/>
      <c r="F1164" s="1421">
        <f t="shared" si="50"/>
        <v>0</v>
      </c>
      <c r="G1164" s="1422" t="e">
        <f t="shared" si="49"/>
        <v>#DIV/0!</v>
      </c>
      <c r="H1164" s="1413"/>
      <c r="I1164" s="1413"/>
    </row>
    <row r="1165" spans="1:9">
      <c r="A1165" s="1414"/>
      <c r="B1165" s="1408"/>
      <c r="C1165" s="1409"/>
      <c r="D1165" s="1410"/>
      <c r="E1165" s="1411"/>
      <c r="F1165" s="1421">
        <f t="shared" si="50"/>
        <v>0</v>
      </c>
      <c r="G1165" s="1422" t="e">
        <f t="shared" si="49"/>
        <v>#DIV/0!</v>
      </c>
      <c r="H1165" s="1413"/>
      <c r="I1165" s="1413"/>
    </row>
    <row r="1166" spans="1:9">
      <c r="A1166" s="1414"/>
      <c r="B1166" s="1408"/>
      <c r="C1166" s="1409"/>
      <c r="D1166" s="1410"/>
      <c r="E1166" s="1411"/>
      <c r="F1166" s="1421">
        <f t="shared" si="50"/>
        <v>0</v>
      </c>
      <c r="G1166" s="1422" t="e">
        <f t="shared" si="49"/>
        <v>#DIV/0!</v>
      </c>
      <c r="H1166" s="1413"/>
      <c r="I1166" s="1413"/>
    </row>
    <row r="1167" spans="1:9">
      <c r="A1167" s="1414"/>
      <c r="B1167" s="1408"/>
      <c r="C1167" s="1409"/>
      <c r="D1167" s="1410"/>
      <c r="E1167" s="1411"/>
      <c r="F1167" s="1421">
        <f t="shared" si="50"/>
        <v>0</v>
      </c>
      <c r="G1167" s="1422" t="e">
        <f t="shared" si="49"/>
        <v>#DIV/0!</v>
      </c>
      <c r="H1167" s="1413"/>
      <c r="I1167" s="1413"/>
    </row>
    <row r="1168" spans="1:9">
      <c r="A1168" s="1414"/>
      <c r="B1168" s="1408"/>
      <c r="C1168" s="1409"/>
      <c r="D1168" s="1410"/>
      <c r="E1168" s="1411"/>
      <c r="F1168" s="1421">
        <f t="shared" si="50"/>
        <v>0</v>
      </c>
      <c r="G1168" s="1422" t="e">
        <f t="shared" si="49"/>
        <v>#DIV/0!</v>
      </c>
      <c r="H1168" s="1413"/>
      <c r="I1168" s="1413"/>
    </row>
    <row r="1169" spans="1:9">
      <c r="A1169" s="1414"/>
      <c r="B1169" s="1408"/>
      <c r="C1169" s="1409"/>
      <c r="D1169" s="1410"/>
      <c r="E1169" s="1411"/>
      <c r="F1169" s="1421">
        <f t="shared" si="50"/>
        <v>0</v>
      </c>
      <c r="G1169" s="1422" t="e">
        <f t="shared" si="49"/>
        <v>#DIV/0!</v>
      </c>
      <c r="H1169" s="1413"/>
      <c r="I1169" s="1413"/>
    </row>
    <row r="1170" spans="1:9">
      <c r="A1170" s="1414"/>
      <c r="B1170" s="1408"/>
      <c r="C1170" s="1409"/>
      <c r="D1170" s="1410"/>
      <c r="E1170" s="1411"/>
      <c r="F1170" s="1421">
        <f t="shared" si="50"/>
        <v>0</v>
      </c>
      <c r="G1170" s="1422" t="e">
        <f t="shared" si="49"/>
        <v>#DIV/0!</v>
      </c>
      <c r="H1170" s="1413"/>
      <c r="I1170" s="1413"/>
    </row>
    <row r="1171" spans="1:9">
      <c r="A1171" s="1414"/>
      <c r="B1171" s="1408"/>
      <c r="C1171" s="1409"/>
      <c r="D1171" s="1410"/>
      <c r="E1171" s="1411"/>
      <c r="F1171" s="1421">
        <f t="shared" si="50"/>
        <v>0</v>
      </c>
      <c r="G1171" s="1422" t="e">
        <f t="shared" si="49"/>
        <v>#DIV/0!</v>
      </c>
      <c r="H1171" s="1413"/>
      <c r="I1171" s="1413"/>
    </row>
    <row r="1172" spans="1:9">
      <c r="A1172" s="1414"/>
      <c r="B1172" s="1408"/>
      <c r="C1172" s="1409"/>
      <c r="D1172" s="1410"/>
      <c r="E1172" s="1411"/>
      <c r="F1172" s="1421">
        <f t="shared" si="50"/>
        <v>0</v>
      </c>
      <c r="G1172" s="1422" t="e">
        <f t="shared" si="49"/>
        <v>#DIV/0!</v>
      </c>
      <c r="H1172" s="1413"/>
      <c r="I1172" s="1413"/>
    </row>
    <row r="1173" spans="1:9">
      <c r="A1173" s="1414"/>
      <c r="B1173" s="1408"/>
      <c r="C1173" s="1409"/>
      <c r="D1173" s="1410"/>
      <c r="E1173" s="1411"/>
      <c r="F1173" s="1421">
        <f t="shared" si="50"/>
        <v>0</v>
      </c>
      <c r="G1173" s="1422" t="e">
        <f t="shared" si="49"/>
        <v>#DIV/0!</v>
      </c>
      <c r="H1173" s="1413"/>
      <c r="I1173" s="1413"/>
    </row>
    <row r="1174" spans="1:9">
      <c r="A1174" s="1414"/>
      <c r="B1174" s="1408"/>
      <c r="C1174" s="1409"/>
      <c r="D1174" s="1410"/>
      <c r="E1174" s="1411"/>
      <c r="F1174" s="1421">
        <f t="shared" si="50"/>
        <v>0</v>
      </c>
      <c r="G1174" s="1422" t="e">
        <f t="shared" si="49"/>
        <v>#DIV/0!</v>
      </c>
      <c r="H1174" s="1413"/>
      <c r="I1174" s="1413"/>
    </row>
    <row r="1175" spans="1:9">
      <c r="A1175" s="1414"/>
      <c r="B1175" s="1408"/>
      <c r="C1175" s="1409"/>
      <c r="D1175" s="1410"/>
      <c r="E1175" s="1411"/>
      <c r="F1175" s="1421">
        <f t="shared" si="50"/>
        <v>0</v>
      </c>
      <c r="G1175" s="1422" t="e">
        <f t="shared" si="49"/>
        <v>#DIV/0!</v>
      </c>
      <c r="H1175" s="1413"/>
      <c r="I1175" s="1413"/>
    </row>
    <row r="1176" spans="1:9">
      <c r="A1176" s="1414"/>
      <c r="B1176" s="1408"/>
      <c r="C1176" s="1409"/>
      <c r="D1176" s="1410"/>
      <c r="E1176" s="1411"/>
      <c r="F1176" s="1421">
        <f t="shared" si="50"/>
        <v>0</v>
      </c>
      <c r="G1176" s="1422" t="e">
        <f t="shared" si="49"/>
        <v>#DIV/0!</v>
      </c>
      <c r="H1176" s="1413"/>
      <c r="I1176" s="1413"/>
    </row>
    <row r="1177" spans="1:9">
      <c r="A1177" s="1414"/>
      <c r="B1177" s="1408"/>
      <c r="C1177" s="1409"/>
      <c r="D1177" s="1410"/>
      <c r="E1177" s="1411"/>
      <c r="F1177" s="1421">
        <f t="shared" si="50"/>
        <v>0</v>
      </c>
      <c r="G1177" s="1422" t="e">
        <f t="shared" si="49"/>
        <v>#DIV/0!</v>
      </c>
      <c r="H1177" s="1413"/>
      <c r="I1177" s="1413"/>
    </row>
    <row r="1178" spans="1:9">
      <c r="A1178" s="1414"/>
      <c r="B1178" s="1408"/>
      <c r="C1178" s="1409"/>
      <c r="D1178" s="1410"/>
      <c r="E1178" s="1411"/>
      <c r="F1178" s="1421">
        <f t="shared" si="50"/>
        <v>0</v>
      </c>
      <c r="G1178" s="1422" t="e">
        <f t="shared" si="49"/>
        <v>#DIV/0!</v>
      </c>
      <c r="H1178" s="1413"/>
      <c r="I1178" s="1413"/>
    </row>
    <row r="1179" spans="1:9">
      <c r="A1179" s="1414"/>
      <c r="B1179" s="1408"/>
      <c r="C1179" s="1409"/>
      <c r="D1179" s="1410"/>
      <c r="E1179" s="1411"/>
      <c r="F1179" s="1421">
        <f t="shared" si="50"/>
        <v>0</v>
      </c>
      <c r="G1179" s="1422" t="e">
        <f t="shared" si="49"/>
        <v>#DIV/0!</v>
      </c>
      <c r="H1179" s="1413"/>
      <c r="I1179" s="1413"/>
    </row>
    <row r="1180" spans="1:9">
      <c r="A1180" s="1414"/>
      <c r="B1180" s="1408"/>
      <c r="C1180" s="1409"/>
      <c r="D1180" s="1410"/>
      <c r="E1180" s="1411"/>
      <c r="F1180" s="1421">
        <f t="shared" si="50"/>
        <v>0</v>
      </c>
      <c r="G1180" s="1422" t="e">
        <f t="shared" si="49"/>
        <v>#DIV/0!</v>
      </c>
      <c r="H1180" s="1413"/>
      <c r="I1180" s="1413"/>
    </row>
    <row r="1181" spans="1:9">
      <c r="A1181" s="1414"/>
      <c r="B1181" s="1408"/>
      <c r="C1181" s="1409"/>
      <c r="D1181" s="1410"/>
      <c r="E1181" s="1411"/>
      <c r="F1181" s="1421">
        <f t="shared" si="50"/>
        <v>0</v>
      </c>
      <c r="G1181" s="1422" t="e">
        <f t="shared" si="49"/>
        <v>#DIV/0!</v>
      </c>
      <c r="H1181" s="1413"/>
      <c r="I1181" s="1413"/>
    </row>
    <row r="1182" spans="1:9">
      <c r="A1182" s="1414"/>
      <c r="B1182" s="1408"/>
      <c r="C1182" s="1409"/>
      <c r="D1182" s="1410"/>
      <c r="E1182" s="1411"/>
      <c r="F1182" s="1421">
        <f t="shared" si="50"/>
        <v>0</v>
      </c>
      <c r="G1182" s="1422" t="e">
        <f t="shared" si="49"/>
        <v>#DIV/0!</v>
      </c>
      <c r="H1182" s="1413"/>
      <c r="I1182" s="1413"/>
    </row>
    <row r="1183" spans="1:9">
      <c r="A1183" s="1414"/>
      <c r="B1183" s="1408"/>
      <c r="C1183" s="1409"/>
      <c r="D1183" s="1410"/>
      <c r="E1183" s="1411"/>
      <c r="F1183" s="1421">
        <f t="shared" si="50"/>
        <v>0</v>
      </c>
      <c r="G1183" s="1422" t="e">
        <f t="shared" si="49"/>
        <v>#DIV/0!</v>
      </c>
      <c r="H1183" s="1413"/>
      <c r="I1183" s="1413"/>
    </row>
    <row r="1184" spans="1:9">
      <c r="A1184" s="1414"/>
      <c r="B1184" s="1408"/>
      <c r="C1184" s="1409"/>
      <c r="D1184" s="1410"/>
      <c r="E1184" s="1411"/>
      <c r="F1184" s="1421">
        <f t="shared" si="50"/>
        <v>0</v>
      </c>
      <c r="G1184" s="1422" t="e">
        <f t="shared" ref="G1184:G1247" si="51">F1184/E1184</f>
        <v>#DIV/0!</v>
      </c>
      <c r="H1184" s="1413"/>
      <c r="I1184" s="1413"/>
    </row>
    <row r="1185" spans="1:9">
      <c r="A1185" s="1414"/>
      <c r="B1185" s="1408"/>
      <c r="C1185" s="1409"/>
      <c r="D1185" s="1410"/>
      <c r="E1185" s="1411"/>
      <c r="F1185" s="1421">
        <f t="shared" si="50"/>
        <v>0</v>
      </c>
      <c r="G1185" s="1422" t="e">
        <f t="shared" si="51"/>
        <v>#DIV/0!</v>
      </c>
      <c r="H1185" s="1413"/>
      <c r="I1185" s="1413"/>
    </row>
    <row r="1186" spans="1:9">
      <c r="A1186" s="1414"/>
      <c r="B1186" s="1408"/>
      <c r="C1186" s="1409"/>
      <c r="D1186" s="1410"/>
      <c r="E1186" s="1411"/>
      <c r="F1186" s="1421">
        <f t="shared" si="50"/>
        <v>0</v>
      </c>
      <c r="G1186" s="1422" t="e">
        <f t="shared" si="51"/>
        <v>#DIV/0!</v>
      </c>
      <c r="H1186" s="1413"/>
      <c r="I1186" s="1413"/>
    </row>
    <row r="1187" spans="1:9">
      <c r="A1187" s="1414"/>
      <c r="B1187" s="1408"/>
      <c r="C1187" s="1409"/>
      <c r="D1187" s="1410"/>
      <c r="E1187" s="1411"/>
      <c r="F1187" s="1421">
        <f t="shared" si="50"/>
        <v>0</v>
      </c>
      <c r="G1187" s="1422" t="e">
        <f t="shared" si="51"/>
        <v>#DIV/0!</v>
      </c>
      <c r="H1187" s="1413"/>
      <c r="I1187" s="1413"/>
    </row>
    <row r="1188" spans="1:9">
      <c r="A1188" s="1414"/>
      <c r="B1188" s="1408"/>
      <c r="C1188" s="1409"/>
      <c r="D1188" s="1410"/>
      <c r="E1188" s="1411"/>
      <c r="F1188" s="1421">
        <f t="shared" si="50"/>
        <v>0</v>
      </c>
      <c r="G1188" s="1422" t="e">
        <f t="shared" si="51"/>
        <v>#DIV/0!</v>
      </c>
      <c r="H1188" s="1413"/>
      <c r="I1188" s="1413"/>
    </row>
    <row r="1189" spans="1:9">
      <c r="A1189" s="1414"/>
      <c r="B1189" s="1408"/>
      <c r="C1189" s="1409"/>
      <c r="D1189" s="1410"/>
      <c r="E1189" s="1411"/>
      <c r="F1189" s="1421">
        <f t="shared" si="50"/>
        <v>0</v>
      </c>
      <c r="G1189" s="1422" t="e">
        <f t="shared" si="51"/>
        <v>#DIV/0!</v>
      </c>
      <c r="H1189" s="1413"/>
      <c r="I1189" s="1413"/>
    </row>
    <row r="1190" spans="1:9">
      <c r="A1190" s="1414"/>
      <c r="B1190" s="1408"/>
      <c r="C1190" s="1409"/>
      <c r="D1190" s="1410"/>
      <c r="E1190" s="1411"/>
      <c r="F1190" s="1421">
        <f t="shared" si="50"/>
        <v>0</v>
      </c>
      <c r="G1190" s="1422" t="e">
        <f t="shared" si="51"/>
        <v>#DIV/0!</v>
      </c>
      <c r="H1190" s="1413"/>
      <c r="I1190" s="1413"/>
    </row>
    <row r="1191" spans="1:9">
      <c r="A1191" s="1414"/>
      <c r="B1191" s="1408"/>
      <c r="C1191" s="1409"/>
      <c r="D1191" s="1410"/>
      <c r="E1191" s="1411"/>
      <c r="F1191" s="1421">
        <f t="shared" si="50"/>
        <v>0</v>
      </c>
      <c r="G1191" s="1422" t="e">
        <f t="shared" si="51"/>
        <v>#DIV/0!</v>
      </c>
      <c r="H1191" s="1413"/>
      <c r="I1191" s="1413"/>
    </row>
    <row r="1192" spans="1:9">
      <c r="A1192" s="1414"/>
      <c r="B1192" s="1408"/>
      <c r="C1192" s="1409"/>
      <c r="D1192" s="1410"/>
      <c r="E1192" s="1411"/>
      <c r="F1192" s="1421">
        <f t="shared" ref="F1192:F1255" si="52">D1192-E1192</f>
        <v>0</v>
      </c>
      <c r="G1192" s="1422" t="e">
        <f t="shared" si="51"/>
        <v>#DIV/0!</v>
      </c>
      <c r="H1192" s="1413"/>
      <c r="I1192" s="1413"/>
    </row>
    <row r="1193" spans="1:9">
      <c r="A1193" s="1414"/>
      <c r="B1193" s="1408"/>
      <c r="C1193" s="1409"/>
      <c r="D1193" s="1410"/>
      <c r="E1193" s="1411"/>
      <c r="F1193" s="1421">
        <f t="shared" si="52"/>
        <v>0</v>
      </c>
      <c r="G1193" s="1422" t="e">
        <f t="shared" si="51"/>
        <v>#DIV/0!</v>
      </c>
      <c r="H1193" s="1413"/>
      <c r="I1193" s="1413"/>
    </row>
    <row r="1194" spans="1:9">
      <c r="A1194" s="1414"/>
      <c r="B1194" s="1408"/>
      <c r="C1194" s="1409"/>
      <c r="D1194" s="1410"/>
      <c r="E1194" s="1411"/>
      <c r="F1194" s="1421">
        <f t="shared" si="52"/>
        <v>0</v>
      </c>
      <c r="G1194" s="1422" t="e">
        <f t="shared" si="51"/>
        <v>#DIV/0!</v>
      </c>
      <c r="H1194" s="1413"/>
      <c r="I1194" s="1413"/>
    </row>
    <row r="1195" spans="1:9">
      <c r="A1195" s="1414"/>
      <c r="B1195" s="1408"/>
      <c r="C1195" s="1409"/>
      <c r="D1195" s="1410"/>
      <c r="E1195" s="1411"/>
      <c r="F1195" s="1421">
        <f t="shared" si="52"/>
        <v>0</v>
      </c>
      <c r="G1195" s="1422" t="e">
        <f t="shared" si="51"/>
        <v>#DIV/0!</v>
      </c>
      <c r="H1195" s="1413"/>
      <c r="I1195" s="1413"/>
    </row>
    <row r="1196" spans="1:9">
      <c r="A1196" s="1414"/>
      <c r="B1196" s="1408"/>
      <c r="C1196" s="1409"/>
      <c r="D1196" s="1410"/>
      <c r="E1196" s="1411"/>
      <c r="F1196" s="1421">
        <f t="shared" si="52"/>
        <v>0</v>
      </c>
      <c r="G1196" s="1422" t="e">
        <f t="shared" si="51"/>
        <v>#DIV/0!</v>
      </c>
      <c r="H1196" s="1413"/>
      <c r="I1196" s="1413"/>
    </row>
    <row r="1197" spans="1:9">
      <c r="A1197" s="1414"/>
      <c r="B1197" s="1408"/>
      <c r="C1197" s="1409"/>
      <c r="D1197" s="1410"/>
      <c r="E1197" s="1411"/>
      <c r="F1197" s="1421">
        <f t="shared" si="52"/>
        <v>0</v>
      </c>
      <c r="G1197" s="1422" t="e">
        <f t="shared" si="51"/>
        <v>#DIV/0!</v>
      </c>
      <c r="H1197" s="1413"/>
      <c r="I1197" s="1413"/>
    </row>
    <row r="1198" spans="1:9">
      <c r="A1198" s="1414"/>
      <c r="B1198" s="1408"/>
      <c r="C1198" s="1409"/>
      <c r="D1198" s="1410"/>
      <c r="E1198" s="1411"/>
      <c r="F1198" s="1421">
        <f t="shared" si="52"/>
        <v>0</v>
      </c>
      <c r="G1198" s="1422" t="e">
        <f t="shared" si="51"/>
        <v>#DIV/0!</v>
      </c>
      <c r="H1198" s="1413"/>
      <c r="I1198" s="1413"/>
    </row>
    <row r="1199" spans="1:9">
      <c r="A1199" s="1414"/>
      <c r="B1199" s="1408"/>
      <c r="C1199" s="1409"/>
      <c r="D1199" s="1410"/>
      <c r="E1199" s="1411"/>
      <c r="F1199" s="1421">
        <f t="shared" si="52"/>
        <v>0</v>
      </c>
      <c r="G1199" s="1422" t="e">
        <f t="shared" si="51"/>
        <v>#DIV/0!</v>
      </c>
      <c r="H1199" s="1413"/>
      <c r="I1199" s="1413"/>
    </row>
    <row r="1200" spans="1:9">
      <c r="A1200" s="1414"/>
      <c r="B1200" s="1408"/>
      <c r="C1200" s="1409"/>
      <c r="D1200" s="1410"/>
      <c r="E1200" s="1411"/>
      <c r="F1200" s="1421">
        <f t="shared" si="52"/>
        <v>0</v>
      </c>
      <c r="G1200" s="1422" t="e">
        <f t="shared" si="51"/>
        <v>#DIV/0!</v>
      </c>
      <c r="H1200" s="1413"/>
      <c r="I1200" s="1413"/>
    </row>
    <row r="1201" spans="1:9">
      <c r="A1201" s="1414"/>
      <c r="B1201" s="1408"/>
      <c r="C1201" s="1409"/>
      <c r="D1201" s="1410"/>
      <c r="E1201" s="1411"/>
      <c r="F1201" s="1421">
        <f t="shared" si="52"/>
        <v>0</v>
      </c>
      <c r="G1201" s="1422" t="e">
        <f t="shared" si="51"/>
        <v>#DIV/0!</v>
      </c>
      <c r="H1201" s="1413"/>
      <c r="I1201" s="1413"/>
    </row>
    <row r="1202" spans="1:9">
      <c r="A1202" s="1414"/>
      <c r="B1202" s="1408"/>
      <c r="C1202" s="1409"/>
      <c r="D1202" s="1410"/>
      <c r="E1202" s="1411"/>
      <c r="F1202" s="1421">
        <f t="shared" si="52"/>
        <v>0</v>
      </c>
      <c r="G1202" s="1422" t="e">
        <f t="shared" si="51"/>
        <v>#DIV/0!</v>
      </c>
      <c r="H1202" s="1413"/>
      <c r="I1202" s="1413"/>
    </row>
    <row r="1203" spans="1:9">
      <c r="A1203" s="1414"/>
      <c r="B1203" s="1408"/>
      <c r="C1203" s="1409"/>
      <c r="D1203" s="1410"/>
      <c r="E1203" s="1411"/>
      <c r="F1203" s="1421">
        <f t="shared" si="52"/>
        <v>0</v>
      </c>
      <c r="G1203" s="1422" t="e">
        <f t="shared" si="51"/>
        <v>#DIV/0!</v>
      </c>
      <c r="H1203" s="1413"/>
      <c r="I1203" s="1413"/>
    </row>
    <row r="1204" spans="1:9">
      <c r="A1204" s="1414"/>
      <c r="B1204" s="1408"/>
      <c r="C1204" s="1409"/>
      <c r="D1204" s="1410"/>
      <c r="E1204" s="1411"/>
      <c r="F1204" s="1421">
        <f t="shared" si="52"/>
        <v>0</v>
      </c>
      <c r="G1204" s="1422" t="e">
        <f t="shared" si="51"/>
        <v>#DIV/0!</v>
      </c>
      <c r="H1204" s="1413"/>
      <c r="I1204" s="1413"/>
    </row>
    <row r="1205" spans="1:9">
      <c r="A1205" s="1414"/>
      <c r="B1205" s="1408"/>
      <c r="C1205" s="1409"/>
      <c r="D1205" s="1410"/>
      <c r="E1205" s="1411"/>
      <c r="F1205" s="1421">
        <f t="shared" si="52"/>
        <v>0</v>
      </c>
      <c r="G1205" s="1422" t="e">
        <f t="shared" si="51"/>
        <v>#DIV/0!</v>
      </c>
      <c r="H1205" s="1413"/>
      <c r="I1205" s="1413"/>
    </row>
    <row r="1206" spans="1:9">
      <c r="A1206" s="1414"/>
      <c r="B1206" s="1408"/>
      <c r="C1206" s="1409"/>
      <c r="D1206" s="1410"/>
      <c r="E1206" s="1411"/>
      <c r="F1206" s="1421">
        <f t="shared" si="52"/>
        <v>0</v>
      </c>
      <c r="G1206" s="1422" t="e">
        <f t="shared" si="51"/>
        <v>#DIV/0!</v>
      </c>
      <c r="H1206" s="1413"/>
      <c r="I1206" s="1413"/>
    </row>
    <row r="1207" spans="1:9">
      <c r="A1207" s="1414"/>
      <c r="B1207" s="1408"/>
      <c r="C1207" s="1409"/>
      <c r="D1207" s="1410"/>
      <c r="E1207" s="1411"/>
      <c r="F1207" s="1421">
        <f t="shared" si="52"/>
        <v>0</v>
      </c>
      <c r="G1207" s="1422" t="e">
        <f t="shared" si="51"/>
        <v>#DIV/0!</v>
      </c>
      <c r="H1207" s="1413"/>
      <c r="I1207" s="1413"/>
    </row>
    <row r="1208" spans="1:9">
      <c r="A1208" s="1414"/>
      <c r="B1208" s="1408"/>
      <c r="C1208" s="1409"/>
      <c r="D1208" s="1410"/>
      <c r="E1208" s="1411"/>
      <c r="F1208" s="1421">
        <f t="shared" si="52"/>
        <v>0</v>
      </c>
      <c r="G1208" s="1422" t="e">
        <f t="shared" si="51"/>
        <v>#DIV/0!</v>
      </c>
      <c r="H1208" s="1413"/>
      <c r="I1208" s="1413"/>
    </row>
    <row r="1209" spans="1:9">
      <c r="A1209" s="1414"/>
      <c r="B1209" s="1408"/>
      <c r="C1209" s="1409"/>
      <c r="D1209" s="1410"/>
      <c r="E1209" s="1411"/>
      <c r="F1209" s="1421">
        <f t="shared" si="52"/>
        <v>0</v>
      </c>
      <c r="G1209" s="1422" t="e">
        <f t="shared" si="51"/>
        <v>#DIV/0!</v>
      </c>
      <c r="H1209" s="1413"/>
      <c r="I1209" s="1413"/>
    </row>
    <row r="1210" spans="1:9">
      <c r="A1210" s="1414"/>
      <c r="B1210" s="1408"/>
      <c r="C1210" s="1409"/>
      <c r="D1210" s="1410"/>
      <c r="E1210" s="1411"/>
      <c r="F1210" s="1421">
        <f t="shared" si="52"/>
        <v>0</v>
      </c>
      <c r="G1210" s="1422" t="e">
        <f t="shared" si="51"/>
        <v>#DIV/0!</v>
      </c>
      <c r="H1210" s="1413"/>
      <c r="I1210" s="1413"/>
    </row>
    <row r="1211" spans="1:9">
      <c r="A1211" s="1414"/>
      <c r="B1211" s="1408"/>
      <c r="C1211" s="1409"/>
      <c r="D1211" s="1410"/>
      <c r="E1211" s="1411"/>
      <c r="F1211" s="1421">
        <f t="shared" si="52"/>
        <v>0</v>
      </c>
      <c r="G1211" s="1422" t="e">
        <f t="shared" si="51"/>
        <v>#DIV/0!</v>
      </c>
      <c r="H1211" s="1413"/>
      <c r="I1211" s="1413"/>
    </row>
    <row r="1212" spans="1:9">
      <c r="A1212" s="1414"/>
      <c r="B1212" s="1408"/>
      <c r="C1212" s="1409"/>
      <c r="D1212" s="1410"/>
      <c r="E1212" s="1411"/>
      <c r="F1212" s="1421">
        <f t="shared" si="52"/>
        <v>0</v>
      </c>
      <c r="G1212" s="1422" t="e">
        <f t="shared" si="51"/>
        <v>#DIV/0!</v>
      </c>
      <c r="H1212" s="1413"/>
      <c r="I1212" s="1413"/>
    </row>
    <row r="1213" spans="1:9">
      <c r="A1213" s="1414"/>
      <c r="B1213" s="1408"/>
      <c r="C1213" s="1409"/>
      <c r="D1213" s="1410"/>
      <c r="E1213" s="1411"/>
      <c r="F1213" s="1421">
        <f t="shared" si="52"/>
        <v>0</v>
      </c>
      <c r="G1213" s="1422" t="e">
        <f t="shared" si="51"/>
        <v>#DIV/0!</v>
      </c>
      <c r="H1213" s="1413"/>
      <c r="I1213" s="1413"/>
    </row>
    <row r="1214" spans="1:9">
      <c r="A1214" s="1414"/>
      <c r="B1214" s="1408"/>
      <c r="C1214" s="1409"/>
      <c r="D1214" s="1410"/>
      <c r="E1214" s="1411"/>
      <c r="F1214" s="1421">
        <f t="shared" si="52"/>
        <v>0</v>
      </c>
      <c r="G1214" s="1422" t="e">
        <f t="shared" si="51"/>
        <v>#DIV/0!</v>
      </c>
      <c r="H1214" s="1413"/>
      <c r="I1214" s="1413"/>
    </row>
    <row r="1215" spans="1:9">
      <c r="A1215" s="1414"/>
      <c r="B1215" s="1408"/>
      <c r="C1215" s="1409"/>
      <c r="D1215" s="1410"/>
      <c r="E1215" s="1411"/>
      <c r="F1215" s="1421">
        <f t="shared" si="52"/>
        <v>0</v>
      </c>
      <c r="G1215" s="1422" t="e">
        <f t="shared" si="51"/>
        <v>#DIV/0!</v>
      </c>
      <c r="H1215" s="1413"/>
      <c r="I1215" s="1413"/>
    </row>
    <row r="1216" spans="1:9">
      <c r="A1216" s="1414"/>
      <c r="B1216" s="1408"/>
      <c r="C1216" s="1409"/>
      <c r="D1216" s="1410"/>
      <c r="E1216" s="1411"/>
      <c r="F1216" s="1421">
        <f t="shared" si="52"/>
        <v>0</v>
      </c>
      <c r="G1216" s="1422" t="e">
        <f t="shared" si="51"/>
        <v>#DIV/0!</v>
      </c>
      <c r="H1216" s="1413"/>
      <c r="I1216" s="1413"/>
    </row>
    <row r="1217" spans="1:9">
      <c r="A1217" s="1414"/>
      <c r="B1217" s="1408"/>
      <c r="C1217" s="1409"/>
      <c r="D1217" s="1410"/>
      <c r="E1217" s="1411"/>
      <c r="F1217" s="1421">
        <f t="shared" si="52"/>
        <v>0</v>
      </c>
      <c r="G1217" s="1422" t="e">
        <f t="shared" si="51"/>
        <v>#DIV/0!</v>
      </c>
      <c r="H1217" s="1413"/>
      <c r="I1217" s="1413"/>
    </row>
    <row r="1218" spans="1:9">
      <c r="A1218" s="1414"/>
      <c r="B1218" s="1408"/>
      <c r="C1218" s="1409"/>
      <c r="D1218" s="1410"/>
      <c r="E1218" s="1411"/>
      <c r="F1218" s="1421">
        <f t="shared" si="52"/>
        <v>0</v>
      </c>
      <c r="G1218" s="1422" t="e">
        <f t="shared" si="51"/>
        <v>#DIV/0!</v>
      </c>
      <c r="H1218" s="1413"/>
      <c r="I1218" s="1413"/>
    </row>
    <row r="1219" spans="1:9">
      <c r="A1219" s="1414"/>
      <c r="B1219" s="1408"/>
      <c r="C1219" s="1409"/>
      <c r="D1219" s="1410"/>
      <c r="E1219" s="1411"/>
      <c r="F1219" s="1421">
        <f t="shared" si="52"/>
        <v>0</v>
      </c>
      <c r="G1219" s="1422" t="e">
        <f t="shared" si="51"/>
        <v>#DIV/0!</v>
      </c>
      <c r="H1219" s="1413"/>
      <c r="I1219" s="1413"/>
    </row>
    <row r="1220" spans="1:9">
      <c r="A1220" s="1414"/>
      <c r="B1220" s="1408"/>
      <c r="C1220" s="1409"/>
      <c r="D1220" s="1410"/>
      <c r="E1220" s="1411"/>
      <c r="F1220" s="1421">
        <f t="shared" si="52"/>
        <v>0</v>
      </c>
      <c r="G1220" s="1422" t="e">
        <f t="shared" si="51"/>
        <v>#DIV/0!</v>
      </c>
      <c r="H1220" s="1413"/>
      <c r="I1220" s="1413"/>
    </row>
    <row r="1221" spans="1:9">
      <c r="A1221" s="1414"/>
      <c r="B1221" s="1408"/>
      <c r="C1221" s="1409"/>
      <c r="D1221" s="1410"/>
      <c r="E1221" s="1411"/>
      <c r="F1221" s="1421">
        <f t="shared" si="52"/>
        <v>0</v>
      </c>
      <c r="G1221" s="1422" t="e">
        <f t="shared" si="51"/>
        <v>#DIV/0!</v>
      </c>
      <c r="H1221" s="1413"/>
      <c r="I1221" s="1413"/>
    </row>
    <row r="1222" spans="1:9">
      <c r="A1222" s="1414"/>
      <c r="B1222" s="1408"/>
      <c r="C1222" s="1409"/>
      <c r="D1222" s="1410"/>
      <c r="E1222" s="1411"/>
      <c r="F1222" s="1421">
        <f t="shared" si="52"/>
        <v>0</v>
      </c>
      <c r="G1222" s="1422" t="e">
        <f t="shared" si="51"/>
        <v>#DIV/0!</v>
      </c>
      <c r="H1222" s="1413"/>
      <c r="I1222" s="1413"/>
    </row>
    <row r="1223" spans="1:9">
      <c r="A1223" s="1414"/>
      <c r="B1223" s="1408"/>
      <c r="C1223" s="1409"/>
      <c r="D1223" s="1410"/>
      <c r="E1223" s="1411"/>
      <c r="F1223" s="1421">
        <f t="shared" si="52"/>
        <v>0</v>
      </c>
      <c r="G1223" s="1422" t="e">
        <f t="shared" si="51"/>
        <v>#DIV/0!</v>
      </c>
      <c r="H1223" s="1413"/>
      <c r="I1223" s="1413"/>
    </row>
    <row r="1224" spans="1:9">
      <c r="A1224" s="1414"/>
      <c r="B1224" s="1408"/>
      <c r="C1224" s="1409"/>
      <c r="D1224" s="1410"/>
      <c r="E1224" s="1411"/>
      <c r="F1224" s="1421">
        <f t="shared" si="52"/>
        <v>0</v>
      </c>
      <c r="G1224" s="1422" t="e">
        <f t="shared" si="51"/>
        <v>#DIV/0!</v>
      </c>
      <c r="H1224" s="1413"/>
      <c r="I1224" s="1413"/>
    </row>
    <row r="1225" spans="1:9">
      <c r="A1225" s="1414"/>
      <c r="B1225" s="1408"/>
      <c r="C1225" s="1409"/>
      <c r="D1225" s="1410"/>
      <c r="E1225" s="1411"/>
      <c r="F1225" s="1421">
        <f t="shared" si="52"/>
        <v>0</v>
      </c>
      <c r="G1225" s="1422" t="e">
        <f t="shared" si="51"/>
        <v>#DIV/0!</v>
      </c>
      <c r="H1225" s="1413"/>
      <c r="I1225" s="1413"/>
    </row>
    <row r="1226" spans="1:9">
      <c r="A1226" s="1414"/>
      <c r="B1226" s="1408"/>
      <c r="C1226" s="1409"/>
      <c r="D1226" s="1410"/>
      <c r="E1226" s="1411"/>
      <c r="F1226" s="1421">
        <f t="shared" si="52"/>
        <v>0</v>
      </c>
      <c r="G1226" s="1422" t="e">
        <f t="shared" si="51"/>
        <v>#DIV/0!</v>
      </c>
      <c r="H1226" s="1413"/>
      <c r="I1226" s="1413"/>
    </row>
    <row r="1227" spans="1:9">
      <c r="A1227" s="1414"/>
      <c r="B1227" s="1408"/>
      <c r="C1227" s="1409"/>
      <c r="D1227" s="1410"/>
      <c r="E1227" s="1411"/>
      <c r="F1227" s="1421">
        <f t="shared" si="52"/>
        <v>0</v>
      </c>
      <c r="G1227" s="1422" t="e">
        <f t="shared" si="51"/>
        <v>#DIV/0!</v>
      </c>
      <c r="H1227" s="1413"/>
      <c r="I1227" s="1413"/>
    </row>
    <row r="1228" spans="1:9">
      <c r="A1228" s="1414"/>
      <c r="B1228" s="1408"/>
      <c r="C1228" s="1409"/>
      <c r="D1228" s="1410"/>
      <c r="E1228" s="1411"/>
      <c r="F1228" s="1421">
        <f t="shared" si="52"/>
        <v>0</v>
      </c>
      <c r="G1228" s="1422" t="e">
        <f t="shared" si="51"/>
        <v>#DIV/0!</v>
      </c>
      <c r="H1228" s="1413"/>
      <c r="I1228" s="1413"/>
    </row>
    <row r="1229" spans="1:9">
      <c r="A1229" s="1414"/>
      <c r="B1229" s="1408"/>
      <c r="C1229" s="1409"/>
      <c r="D1229" s="1410"/>
      <c r="E1229" s="1411"/>
      <c r="F1229" s="1421">
        <f t="shared" si="52"/>
        <v>0</v>
      </c>
      <c r="G1229" s="1422" t="e">
        <f t="shared" si="51"/>
        <v>#DIV/0!</v>
      </c>
      <c r="H1229" s="1413"/>
      <c r="I1229" s="1413"/>
    </row>
    <row r="1230" spans="1:9">
      <c r="A1230" s="1414"/>
      <c r="B1230" s="1408"/>
      <c r="C1230" s="1409"/>
      <c r="D1230" s="1410"/>
      <c r="E1230" s="1411"/>
      <c r="F1230" s="1421">
        <f t="shared" si="52"/>
        <v>0</v>
      </c>
      <c r="G1230" s="1422" t="e">
        <f t="shared" si="51"/>
        <v>#DIV/0!</v>
      </c>
      <c r="H1230" s="1413"/>
      <c r="I1230" s="1413"/>
    </row>
    <row r="1231" spans="1:9">
      <c r="A1231" s="1414"/>
      <c r="B1231" s="1408"/>
      <c r="C1231" s="1409"/>
      <c r="D1231" s="1410"/>
      <c r="E1231" s="1411"/>
      <c r="F1231" s="1421">
        <f t="shared" si="52"/>
        <v>0</v>
      </c>
      <c r="G1231" s="1422" t="e">
        <f t="shared" si="51"/>
        <v>#DIV/0!</v>
      </c>
      <c r="H1231" s="1413"/>
      <c r="I1231" s="1413"/>
    </row>
    <row r="1232" spans="1:9">
      <c r="A1232" s="1414"/>
      <c r="B1232" s="1408"/>
      <c r="C1232" s="1409"/>
      <c r="D1232" s="1410"/>
      <c r="E1232" s="1411"/>
      <c r="F1232" s="1421">
        <f t="shared" si="52"/>
        <v>0</v>
      </c>
      <c r="G1232" s="1422" t="e">
        <f t="shared" si="51"/>
        <v>#DIV/0!</v>
      </c>
      <c r="H1232" s="1413"/>
      <c r="I1232" s="1413"/>
    </row>
    <row r="1233" spans="1:9">
      <c r="A1233" s="1414"/>
      <c r="B1233" s="1408"/>
      <c r="C1233" s="1409"/>
      <c r="D1233" s="1410"/>
      <c r="E1233" s="1411"/>
      <c r="F1233" s="1421">
        <f t="shared" si="52"/>
        <v>0</v>
      </c>
      <c r="G1233" s="1422" t="e">
        <f t="shared" si="51"/>
        <v>#DIV/0!</v>
      </c>
      <c r="H1233" s="1413"/>
      <c r="I1233" s="1413"/>
    </row>
    <row r="1234" spans="1:9">
      <c r="A1234" s="1414"/>
      <c r="B1234" s="1408"/>
      <c r="C1234" s="1409"/>
      <c r="D1234" s="1410"/>
      <c r="E1234" s="1411"/>
      <c r="F1234" s="1421">
        <f t="shared" si="52"/>
        <v>0</v>
      </c>
      <c r="G1234" s="1422" t="e">
        <f t="shared" si="51"/>
        <v>#DIV/0!</v>
      </c>
      <c r="H1234" s="1413"/>
      <c r="I1234" s="1413"/>
    </row>
    <row r="1235" spans="1:9">
      <c r="A1235" s="1414"/>
      <c r="B1235" s="1408"/>
      <c r="C1235" s="1409"/>
      <c r="D1235" s="1410"/>
      <c r="E1235" s="1411"/>
      <c r="F1235" s="1421">
        <f t="shared" si="52"/>
        <v>0</v>
      </c>
      <c r="G1235" s="1422" t="e">
        <f t="shared" si="51"/>
        <v>#DIV/0!</v>
      </c>
      <c r="H1235" s="1413"/>
      <c r="I1235" s="1413"/>
    </row>
    <row r="1236" spans="1:9">
      <c r="A1236" s="1414"/>
      <c r="B1236" s="1408"/>
      <c r="C1236" s="1409"/>
      <c r="D1236" s="1410"/>
      <c r="E1236" s="1411"/>
      <c r="F1236" s="1421">
        <f t="shared" si="52"/>
        <v>0</v>
      </c>
      <c r="G1236" s="1422" t="e">
        <f t="shared" si="51"/>
        <v>#DIV/0!</v>
      </c>
      <c r="H1236" s="1413"/>
      <c r="I1236" s="1413"/>
    </row>
    <row r="1237" spans="1:9">
      <c r="A1237" s="1414"/>
      <c r="B1237" s="1408"/>
      <c r="C1237" s="1409"/>
      <c r="D1237" s="1410"/>
      <c r="E1237" s="1411"/>
      <c r="F1237" s="1421">
        <f t="shared" si="52"/>
        <v>0</v>
      </c>
      <c r="G1237" s="1422" t="e">
        <f t="shared" si="51"/>
        <v>#DIV/0!</v>
      </c>
      <c r="H1237" s="1413"/>
      <c r="I1237" s="1413"/>
    </row>
    <row r="1238" spans="1:9">
      <c r="A1238" s="1414"/>
      <c r="B1238" s="1408"/>
      <c r="C1238" s="1409"/>
      <c r="D1238" s="1410"/>
      <c r="E1238" s="1411"/>
      <c r="F1238" s="1421">
        <f t="shared" si="52"/>
        <v>0</v>
      </c>
      <c r="G1238" s="1422" t="e">
        <f t="shared" si="51"/>
        <v>#DIV/0!</v>
      </c>
      <c r="H1238" s="1413"/>
      <c r="I1238" s="1413"/>
    </row>
    <row r="1239" spans="1:9">
      <c r="A1239" s="1414"/>
      <c r="B1239" s="1408"/>
      <c r="C1239" s="1409"/>
      <c r="D1239" s="1410"/>
      <c r="E1239" s="1411"/>
      <c r="F1239" s="1421">
        <f t="shared" si="52"/>
        <v>0</v>
      </c>
      <c r="G1239" s="1422" t="e">
        <f t="shared" si="51"/>
        <v>#DIV/0!</v>
      </c>
      <c r="H1239" s="1413"/>
      <c r="I1239" s="1413"/>
    </row>
    <row r="1240" spans="1:9">
      <c r="A1240" s="1414"/>
      <c r="B1240" s="1408"/>
      <c r="C1240" s="1409"/>
      <c r="D1240" s="1410"/>
      <c r="E1240" s="1411"/>
      <c r="F1240" s="1421">
        <f t="shared" si="52"/>
        <v>0</v>
      </c>
      <c r="G1240" s="1422" t="e">
        <f t="shared" si="51"/>
        <v>#DIV/0!</v>
      </c>
      <c r="H1240" s="1413"/>
      <c r="I1240" s="1413"/>
    </row>
    <row r="1241" spans="1:9">
      <c r="A1241" s="1414"/>
      <c r="B1241" s="1408"/>
      <c r="C1241" s="1409"/>
      <c r="D1241" s="1410"/>
      <c r="E1241" s="1411"/>
      <c r="F1241" s="1421">
        <f t="shared" si="52"/>
        <v>0</v>
      </c>
      <c r="G1241" s="1422" t="e">
        <f t="shared" si="51"/>
        <v>#DIV/0!</v>
      </c>
      <c r="H1241" s="1413"/>
      <c r="I1241" s="1413"/>
    </row>
    <row r="1242" spans="1:9">
      <c r="A1242" s="1414"/>
      <c r="B1242" s="1408"/>
      <c r="C1242" s="1409"/>
      <c r="D1242" s="1410"/>
      <c r="E1242" s="1411"/>
      <c r="F1242" s="1421">
        <f t="shared" si="52"/>
        <v>0</v>
      </c>
      <c r="G1242" s="1422" t="e">
        <f t="shared" si="51"/>
        <v>#DIV/0!</v>
      </c>
      <c r="H1242" s="1413"/>
      <c r="I1242" s="1413"/>
    </row>
    <row r="1243" spans="1:9">
      <c r="A1243" s="1414"/>
      <c r="B1243" s="1408"/>
      <c r="C1243" s="1409"/>
      <c r="D1243" s="1410"/>
      <c r="E1243" s="1411"/>
      <c r="F1243" s="1421">
        <f t="shared" si="52"/>
        <v>0</v>
      </c>
      <c r="G1243" s="1422" t="e">
        <f t="shared" si="51"/>
        <v>#DIV/0!</v>
      </c>
      <c r="H1243" s="1413"/>
      <c r="I1243" s="1413"/>
    </row>
    <row r="1244" spans="1:9">
      <c r="A1244" s="1414"/>
      <c r="B1244" s="1408"/>
      <c r="C1244" s="1409"/>
      <c r="D1244" s="1410"/>
      <c r="E1244" s="1411"/>
      <c r="F1244" s="1421">
        <f t="shared" si="52"/>
        <v>0</v>
      </c>
      <c r="G1244" s="1422" t="e">
        <f t="shared" si="51"/>
        <v>#DIV/0!</v>
      </c>
      <c r="H1244" s="1413"/>
      <c r="I1244" s="1413"/>
    </row>
    <row r="1245" spans="1:9">
      <c r="A1245" s="1414"/>
      <c r="B1245" s="1408"/>
      <c r="C1245" s="1409"/>
      <c r="D1245" s="1410"/>
      <c r="E1245" s="1411"/>
      <c r="F1245" s="1421">
        <f t="shared" si="52"/>
        <v>0</v>
      </c>
      <c r="G1245" s="1422" t="e">
        <f t="shared" si="51"/>
        <v>#DIV/0!</v>
      </c>
      <c r="H1245" s="1413"/>
      <c r="I1245" s="1413"/>
    </row>
    <row r="1246" spans="1:9">
      <c r="A1246" s="1414"/>
      <c r="B1246" s="1408"/>
      <c r="C1246" s="1409"/>
      <c r="D1246" s="1410"/>
      <c r="E1246" s="1411"/>
      <c r="F1246" s="1421">
        <f t="shared" si="52"/>
        <v>0</v>
      </c>
      <c r="G1246" s="1422" t="e">
        <f t="shared" si="51"/>
        <v>#DIV/0!</v>
      </c>
      <c r="H1246" s="1413"/>
      <c r="I1246" s="1413"/>
    </row>
    <row r="1247" spans="1:9">
      <c r="A1247" s="1414"/>
      <c r="B1247" s="1408"/>
      <c r="C1247" s="1409"/>
      <c r="D1247" s="1410"/>
      <c r="E1247" s="1411"/>
      <c r="F1247" s="1421">
        <f t="shared" si="52"/>
        <v>0</v>
      </c>
      <c r="G1247" s="1422" t="e">
        <f t="shared" si="51"/>
        <v>#DIV/0!</v>
      </c>
      <c r="H1247" s="1413"/>
      <c r="I1247" s="1413"/>
    </row>
    <row r="1248" spans="1:9">
      <c r="A1248" s="1414"/>
      <c r="B1248" s="1408"/>
      <c r="C1248" s="1409"/>
      <c r="D1248" s="1410"/>
      <c r="E1248" s="1411"/>
      <c r="F1248" s="1421">
        <f t="shared" si="52"/>
        <v>0</v>
      </c>
      <c r="G1248" s="1422" t="e">
        <f t="shared" ref="G1248:G1273" si="53">F1248/E1248</f>
        <v>#DIV/0!</v>
      </c>
      <c r="H1248" s="1413"/>
      <c r="I1248" s="1413"/>
    </row>
    <row r="1249" spans="1:9">
      <c r="A1249" s="1414"/>
      <c r="B1249" s="1408"/>
      <c r="C1249" s="1409"/>
      <c r="D1249" s="1410"/>
      <c r="E1249" s="1411"/>
      <c r="F1249" s="1421">
        <f t="shared" si="52"/>
        <v>0</v>
      </c>
      <c r="G1249" s="1422" t="e">
        <f t="shared" si="53"/>
        <v>#DIV/0!</v>
      </c>
      <c r="H1249" s="1413"/>
      <c r="I1249" s="1413"/>
    </row>
    <row r="1250" spans="1:9">
      <c r="A1250" s="1414"/>
      <c r="B1250" s="1408"/>
      <c r="C1250" s="1409"/>
      <c r="D1250" s="1410"/>
      <c r="E1250" s="1411"/>
      <c r="F1250" s="1421">
        <f t="shared" si="52"/>
        <v>0</v>
      </c>
      <c r="G1250" s="1422" t="e">
        <f t="shared" si="53"/>
        <v>#DIV/0!</v>
      </c>
      <c r="H1250" s="1413"/>
      <c r="I1250" s="1413"/>
    </row>
    <row r="1251" spans="1:9">
      <c r="A1251" s="1414"/>
      <c r="B1251" s="1408"/>
      <c r="C1251" s="1409"/>
      <c r="D1251" s="1410"/>
      <c r="E1251" s="1411"/>
      <c r="F1251" s="1421">
        <f t="shared" si="52"/>
        <v>0</v>
      </c>
      <c r="G1251" s="1422" t="e">
        <f t="shared" si="53"/>
        <v>#DIV/0!</v>
      </c>
      <c r="H1251" s="1413"/>
      <c r="I1251" s="1413"/>
    </row>
    <row r="1252" spans="1:9">
      <c r="A1252" s="1414"/>
      <c r="B1252" s="1408"/>
      <c r="C1252" s="1409"/>
      <c r="D1252" s="1410"/>
      <c r="E1252" s="1411"/>
      <c r="F1252" s="1421">
        <f t="shared" si="52"/>
        <v>0</v>
      </c>
      <c r="G1252" s="1422" t="e">
        <f t="shared" si="53"/>
        <v>#DIV/0!</v>
      </c>
      <c r="H1252" s="1413"/>
      <c r="I1252" s="1413"/>
    </row>
    <row r="1253" spans="1:9">
      <c r="A1253" s="1414"/>
      <c r="B1253" s="1408"/>
      <c r="C1253" s="1409"/>
      <c r="D1253" s="1410"/>
      <c r="E1253" s="1411"/>
      <c r="F1253" s="1421">
        <f t="shared" si="52"/>
        <v>0</v>
      </c>
      <c r="G1253" s="1422" t="e">
        <f t="shared" si="53"/>
        <v>#DIV/0!</v>
      </c>
      <c r="H1253" s="1413"/>
      <c r="I1253" s="1413"/>
    </row>
    <row r="1254" spans="1:9">
      <c r="A1254" s="1414"/>
      <c r="B1254" s="1408"/>
      <c r="C1254" s="1409"/>
      <c r="D1254" s="1410"/>
      <c r="E1254" s="1411"/>
      <c r="F1254" s="1421">
        <f t="shared" si="52"/>
        <v>0</v>
      </c>
      <c r="G1254" s="1422" t="e">
        <f t="shared" si="53"/>
        <v>#DIV/0!</v>
      </c>
      <c r="H1254" s="1413"/>
      <c r="I1254" s="1413"/>
    </row>
    <row r="1255" spans="1:9">
      <c r="A1255" s="1414"/>
      <c r="B1255" s="1408"/>
      <c r="C1255" s="1409"/>
      <c r="D1255" s="1410"/>
      <c r="E1255" s="1411"/>
      <c r="F1255" s="1421">
        <f t="shared" si="52"/>
        <v>0</v>
      </c>
      <c r="G1255" s="1422" t="e">
        <f t="shared" si="53"/>
        <v>#DIV/0!</v>
      </c>
      <c r="H1255" s="1413"/>
      <c r="I1255" s="1413"/>
    </row>
    <row r="1256" spans="1:9">
      <c r="A1256" s="1414"/>
      <c r="B1256" s="1408"/>
      <c r="C1256" s="1409"/>
      <c r="D1256" s="1410"/>
      <c r="E1256" s="1411"/>
      <c r="F1256" s="1421">
        <f t="shared" ref="F1256:F1273" si="54">D1256-E1256</f>
        <v>0</v>
      </c>
      <c r="G1256" s="1422" t="e">
        <f t="shared" si="53"/>
        <v>#DIV/0!</v>
      </c>
      <c r="H1256" s="1413"/>
      <c r="I1256" s="1413"/>
    </row>
    <row r="1257" spans="1:9">
      <c r="A1257" s="1414"/>
      <c r="B1257" s="1408"/>
      <c r="C1257" s="1409"/>
      <c r="D1257" s="1410"/>
      <c r="E1257" s="1411"/>
      <c r="F1257" s="1421">
        <f t="shared" si="54"/>
        <v>0</v>
      </c>
      <c r="G1257" s="1422" t="e">
        <f t="shared" si="53"/>
        <v>#DIV/0!</v>
      </c>
      <c r="H1257" s="1413"/>
      <c r="I1257" s="1413"/>
    </row>
    <row r="1258" spans="1:9">
      <c r="A1258" s="1414"/>
      <c r="B1258" s="1408"/>
      <c r="C1258" s="1409"/>
      <c r="D1258" s="1410"/>
      <c r="E1258" s="1411"/>
      <c r="F1258" s="1421">
        <f t="shared" si="54"/>
        <v>0</v>
      </c>
      <c r="G1258" s="1422" t="e">
        <f t="shared" si="53"/>
        <v>#DIV/0!</v>
      </c>
      <c r="H1258" s="1413"/>
      <c r="I1258" s="1413"/>
    </row>
    <row r="1259" spans="1:9">
      <c r="A1259" s="1414"/>
      <c r="B1259" s="1408"/>
      <c r="C1259" s="1409"/>
      <c r="D1259" s="1410"/>
      <c r="E1259" s="1411"/>
      <c r="F1259" s="1421">
        <f t="shared" si="54"/>
        <v>0</v>
      </c>
      <c r="G1259" s="1422" t="e">
        <f t="shared" si="53"/>
        <v>#DIV/0!</v>
      </c>
      <c r="H1259" s="1413"/>
      <c r="I1259" s="1413"/>
    </row>
    <row r="1260" spans="1:9">
      <c r="A1260" s="1414"/>
      <c r="B1260" s="1408"/>
      <c r="C1260" s="1409"/>
      <c r="D1260" s="1410"/>
      <c r="E1260" s="1411"/>
      <c r="F1260" s="1421">
        <f t="shared" si="54"/>
        <v>0</v>
      </c>
      <c r="G1260" s="1422" t="e">
        <f t="shared" si="53"/>
        <v>#DIV/0!</v>
      </c>
      <c r="H1260" s="1413"/>
      <c r="I1260" s="1413"/>
    </row>
    <row r="1261" spans="1:9">
      <c r="A1261" s="1414"/>
      <c r="B1261" s="1408"/>
      <c r="C1261" s="1409"/>
      <c r="D1261" s="1410"/>
      <c r="E1261" s="1411"/>
      <c r="F1261" s="1421">
        <f t="shared" si="54"/>
        <v>0</v>
      </c>
      <c r="G1261" s="1422" t="e">
        <f t="shared" si="53"/>
        <v>#DIV/0!</v>
      </c>
      <c r="H1261" s="1413"/>
      <c r="I1261" s="1413"/>
    </row>
    <row r="1262" spans="1:9">
      <c r="A1262" s="1414"/>
      <c r="B1262" s="1408"/>
      <c r="C1262" s="1409"/>
      <c r="D1262" s="1410"/>
      <c r="E1262" s="1411"/>
      <c r="F1262" s="1421">
        <f t="shared" si="54"/>
        <v>0</v>
      </c>
      <c r="G1262" s="1422" t="e">
        <f t="shared" si="53"/>
        <v>#DIV/0!</v>
      </c>
      <c r="H1262" s="1413"/>
      <c r="I1262" s="1413"/>
    </row>
    <row r="1263" spans="1:9">
      <c r="A1263" s="1414"/>
      <c r="B1263" s="1408"/>
      <c r="C1263" s="1409"/>
      <c r="D1263" s="1410"/>
      <c r="E1263" s="1411"/>
      <c r="F1263" s="1421">
        <f t="shared" si="54"/>
        <v>0</v>
      </c>
      <c r="G1263" s="1422" t="e">
        <f t="shared" si="53"/>
        <v>#DIV/0!</v>
      </c>
      <c r="H1263" s="1413"/>
      <c r="I1263" s="1413"/>
    </row>
    <row r="1264" spans="1:9">
      <c r="A1264" s="1414"/>
      <c r="B1264" s="1408"/>
      <c r="C1264" s="1409"/>
      <c r="D1264" s="1410"/>
      <c r="E1264" s="1411"/>
      <c r="F1264" s="1421">
        <f t="shared" si="54"/>
        <v>0</v>
      </c>
      <c r="G1264" s="1422" t="e">
        <f t="shared" si="53"/>
        <v>#DIV/0!</v>
      </c>
      <c r="H1264" s="1413"/>
      <c r="I1264" s="1413"/>
    </row>
    <row r="1265" spans="1:9">
      <c r="A1265" s="1414"/>
      <c r="B1265" s="1408"/>
      <c r="C1265" s="1409"/>
      <c r="D1265" s="1410"/>
      <c r="E1265" s="1411"/>
      <c r="F1265" s="1421">
        <f t="shared" si="54"/>
        <v>0</v>
      </c>
      <c r="G1265" s="1422" t="e">
        <f t="shared" si="53"/>
        <v>#DIV/0!</v>
      </c>
      <c r="H1265" s="1413"/>
      <c r="I1265" s="1413"/>
    </row>
    <row r="1266" spans="1:9">
      <c r="A1266" s="1414"/>
      <c r="B1266" s="1408"/>
      <c r="C1266" s="1409"/>
      <c r="D1266" s="1410"/>
      <c r="E1266" s="1411"/>
      <c r="F1266" s="1421">
        <f t="shared" si="54"/>
        <v>0</v>
      </c>
      <c r="G1266" s="1422" t="e">
        <f t="shared" si="53"/>
        <v>#DIV/0!</v>
      </c>
      <c r="H1266" s="1413"/>
      <c r="I1266" s="1413"/>
    </row>
    <row r="1267" spans="1:9">
      <c r="A1267" s="1414"/>
      <c r="B1267" s="1408"/>
      <c r="C1267" s="1409"/>
      <c r="D1267" s="1410"/>
      <c r="E1267" s="1411"/>
      <c r="F1267" s="1421">
        <f t="shared" si="54"/>
        <v>0</v>
      </c>
      <c r="G1267" s="1422" t="e">
        <f t="shared" si="53"/>
        <v>#DIV/0!</v>
      </c>
      <c r="H1267" s="1413"/>
      <c r="I1267" s="1413"/>
    </row>
    <row r="1268" spans="1:9">
      <c r="A1268" s="1414"/>
      <c r="B1268" s="1408"/>
      <c r="C1268" s="1409"/>
      <c r="D1268" s="1410"/>
      <c r="E1268" s="1411"/>
      <c r="F1268" s="1421">
        <f t="shared" si="54"/>
        <v>0</v>
      </c>
      <c r="G1268" s="1422" t="e">
        <f t="shared" si="53"/>
        <v>#DIV/0!</v>
      </c>
      <c r="H1268" s="1413"/>
      <c r="I1268" s="1413"/>
    </row>
    <row r="1269" spans="1:9">
      <c r="A1269" s="1414"/>
      <c r="B1269" s="1408"/>
      <c r="C1269" s="1409"/>
      <c r="D1269" s="1410"/>
      <c r="E1269" s="1411"/>
      <c r="F1269" s="1421">
        <f t="shared" si="54"/>
        <v>0</v>
      </c>
      <c r="G1269" s="1422" t="e">
        <f t="shared" si="53"/>
        <v>#DIV/0!</v>
      </c>
      <c r="H1269" s="1413"/>
      <c r="I1269" s="1413"/>
    </row>
    <row r="1270" spans="1:9">
      <c r="A1270" s="1414"/>
      <c r="B1270" s="1408"/>
      <c r="C1270" s="1409"/>
      <c r="D1270" s="1410"/>
      <c r="E1270" s="1411"/>
      <c r="F1270" s="1421">
        <f t="shared" si="54"/>
        <v>0</v>
      </c>
      <c r="G1270" s="1422" t="e">
        <f t="shared" si="53"/>
        <v>#DIV/0!</v>
      </c>
      <c r="H1270" s="1413"/>
      <c r="I1270" s="1413"/>
    </row>
    <row r="1271" spans="1:9">
      <c r="A1271" s="1414"/>
      <c r="B1271" s="1408"/>
      <c r="C1271" s="1409"/>
      <c r="D1271" s="1410"/>
      <c r="E1271" s="1411"/>
      <c r="F1271" s="1421">
        <f t="shared" si="54"/>
        <v>0</v>
      </c>
      <c r="G1271" s="1422" t="e">
        <f t="shared" si="53"/>
        <v>#DIV/0!</v>
      </c>
      <c r="H1271" s="1413"/>
      <c r="I1271" s="1413"/>
    </row>
    <row r="1272" spans="1:9">
      <c r="A1272" s="1414"/>
      <c r="B1272" s="1408"/>
      <c r="C1272" s="1409"/>
      <c r="D1272" s="1410"/>
      <c r="E1272" s="1411"/>
      <c r="F1272" s="1421">
        <f t="shared" si="54"/>
        <v>0</v>
      </c>
      <c r="G1272" s="1422" t="e">
        <f t="shared" si="53"/>
        <v>#DIV/0!</v>
      </c>
      <c r="H1272" s="1413"/>
      <c r="I1272" s="1413"/>
    </row>
    <row r="1273" spans="1:9">
      <c r="A1273" s="1414"/>
      <c r="B1273" s="1408"/>
      <c r="C1273" s="1409"/>
      <c r="D1273" s="1410"/>
      <c r="E1273" s="1411"/>
      <c r="F1273" s="1421">
        <f t="shared" si="54"/>
        <v>0</v>
      </c>
      <c r="G1273" s="1422" t="e">
        <f t="shared" si="53"/>
        <v>#DIV/0!</v>
      </c>
      <c r="H1273" s="1413"/>
      <c r="I1273" s="1413"/>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dimension ref="A2:K44"/>
  <sheetViews>
    <sheetView topLeftCell="A25" zoomScale="90" zoomScaleNormal="90" zoomScaleSheetLayoutView="100" workbookViewId="0">
      <selection activeCell="A42" sqref="A42"/>
    </sheetView>
  </sheetViews>
  <sheetFormatPr defaultRowHeight="15" outlineLevelCol="1"/>
  <cols>
    <col min="1" max="1" width="18.28515625" style="1469" customWidth="1"/>
    <col min="2" max="2" width="15.5703125" style="1469" customWidth="1"/>
    <col min="3" max="3" width="13.7109375" style="1469" customWidth="1"/>
    <col min="4" max="4" width="10.140625" style="1469" customWidth="1"/>
    <col min="5" max="5" width="14.7109375" style="1469" customWidth="1"/>
    <col min="6" max="7" width="0" style="1469" hidden="1" customWidth="1" outlineLevel="1"/>
    <col min="8" max="8" width="14.42578125" style="1469" customWidth="1"/>
    <col min="9" max="9" width="0" style="1469" hidden="1" customWidth="1"/>
    <col min="10" max="10" width="14" style="1469" customWidth="1"/>
    <col min="11" max="11" width="16.28515625" style="1469" customWidth="1"/>
    <col min="12" max="16384" width="9.140625" style="1469"/>
  </cols>
  <sheetData>
    <row r="2" spans="1:11" ht="15.75">
      <c r="A2" s="1470" t="s">
        <v>1061</v>
      </c>
      <c r="C2" s="1469" t="s">
        <v>0</v>
      </c>
    </row>
    <row r="3" spans="1:11" ht="30.75">
      <c r="A3" s="1471" t="s">
        <v>1062</v>
      </c>
      <c r="B3" s="1472" t="s">
        <v>481</v>
      </c>
      <c r="C3" s="1473"/>
      <c r="D3" s="1474" t="s">
        <v>586</v>
      </c>
      <c r="E3" s="1473"/>
      <c r="F3" s="1475" t="s">
        <v>1063</v>
      </c>
      <c r="G3" s="1475" t="s">
        <v>1064</v>
      </c>
      <c r="H3" s="1476" t="s">
        <v>1065</v>
      </c>
      <c r="I3" s="1476" t="s">
        <v>1066</v>
      </c>
      <c r="J3" s="1477" t="s">
        <v>1067</v>
      </c>
      <c r="K3" s="1476" t="s">
        <v>1066</v>
      </c>
    </row>
    <row r="4" spans="1:11" ht="15.75">
      <c r="A4" s="1478"/>
      <c r="B4" s="1479" t="s">
        <v>1068</v>
      </c>
      <c r="C4" s="1479" t="s">
        <v>13</v>
      </c>
      <c r="D4" s="1479" t="s">
        <v>1068</v>
      </c>
      <c r="E4" s="1479" t="s">
        <v>13</v>
      </c>
      <c r="F4" s="1480"/>
      <c r="G4" s="1481"/>
      <c r="H4" s="1482" t="s">
        <v>1069</v>
      </c>
      <c r="I4" s="1482" t="s">
        <v>1070</v>
      </c>
      <c r="J4" s="1482" t="s">
        <v>1071</v>
      </c>
      <c r="K4" s="1482" t="s">
        <v>1070</v>
      </c>
    </row>
    <row r="5" spans="1:11" ht="15.75">
      <c r="A5" s="1483" t="s">
        <v>1072</v>
      </c>
      <c r="B5" s="1484">
        <v>140</v>
      </c>
      <c r="C5" s="1485">
        <f t="shared" ref="C5:C12" si="0">ROUND(B5*120,0)</f>
        <v>16800</v>
      </c>
      <c r="D5" s="1484">
        <v>231</v>
      </c>
      <c r="E5" s="1485">
        <f t="shared" ref="E5:E12" si="1">ROUND(D5*50,0)</f>
        <v>11550</v>
      </c>
      <c r="F5" s="1486">
        <f t="shared" ref="F5:F12" si="2">SUM(C5,E5)</f>
        <v>28350</v>
      </c>
      <c r="G5" s="1487">
        <v>-50</v>
      </c>
      <c r="H5" s="1488">
        <f t="shared" ref="H5:H12" si="3">F5+G5</f>
        <v>28300</v>
      </c>
      <c r="I5" s="1489"/>
      <c r="J5" s="1489">
        <v>14000</v>
      </c>
      <c r="K5" s="1489"/>
    </row>
    <row r="6" spans="1:11" ht="15.75">
      <c r="A6" s="1483" t="s">
        <v>1073</v>
      </c>
      <c r="B6" s="1490">
        <v>173</v>
      </c>
      <c r="C6" s="1485">
        <f t="shared" si="0"/>
        <v>20760</v>
      </c>
      <c r="D6" s="1490">
        <v>262</v>
      </c>
      <c r="E6" s="1485">
        <f t="shared" si="1"/>
        <v>13100</v>
      </c>
      <c r="F6" s="1491">
        <f t="shared" si="2"/>
        <v>33860</v>
      </c>
      <c r="G6" s="1492">
        <v>-60</v>
      </c>
      <c r="H6" s="1493">
        <f t="shared" si="3"/>
        <v>33800</v>
      </c>
      <c r="I6" s="1494"/>
      <c r="J6" s="1494">
        <v>15000</v>
      </c>
      <c r="K6" s="1494"/>
    </row>
    <row r="7" spans="1:11" ht="15.75">
      <c r="A7" s="1494" t="s">
        <v>1074</v>
      </c>
      <c r="B7" s="1490">
        <v>17</v>
      </c>
      <c r="C7" s="1485">
        <f t="shared" si="0"/>
        <v>2040</v>
      </c>
      <c r="D7" s="1490">
        <v>14</v>
      </c>
      <c r="E7" s="1485">
        <f t="shared" si="1"/>
        <v>700</v>
      </c>
      <c r="F7" s="1491">
        <f t="shared" si="2"/>
        <v>2740</v>
      </c>
      <c r="G7" s="1492">
        <v>-40</v>
      </c>
      <c r="H7" s="1493">
        <f t="shared" si="3"/>
        <v>2700</v>
      </c>
      <c r="I7" s="1494"/>
      <c r="J7" s="1494">
        <v>1000</v>
      </c>
      <c r="K7" s="1494"/>
    </row>
    <row r="8" spans="1:11" ht="15.75">
      <c r="A8" s="1494" t="s">
        <v>1075</v>
      </c>
      <c r="B8" s="1490">
        <v>9</v>
      </c>
      <c r="C8" s="1495">
        <f t="shared" si="0"/>
        <v>1080</v>
      </c>
      <c r="D8" s="1490">
        <v>10</v>
      </c>
      <c r="E8" s="1495">
        <f t="shared" si="1"/>
        <v>500</v>
      </c>
      <c r="F8" s="1496">
        <f t="shared" si="2"/>
        <v>1580</v>
      </c>
      <c r="G8" s="1497">
        <v>-80</v>
      </c>
      <c r="H8" s="1498">
        <f t="shared" si="3"/>
        <v>1500</v>
      </c>
      <c r="I8" s="1494"/>
      <c r="J8" s="1494">
        <v>1000</v>
      </c>
      <c r="K8" s="1494"/>
    </row>
    <row r="9" spans="1:11" ht="15.75">
      <c r="A9" s="1494" t="s">
        <v>1076</v>
      </c>
      <c r="B9" s="1490">
        <v>9</v>
      </c>
      <c r="C9" s="1495">
        <f t="shared" si="0"/>
        <v>1080</v>
      </c>
      <c r="D9" s="1490">
        <v>8</v>
      </c>
      <c r="E9" s="1495">
        <f t="shared" si="1"/>
        <v>400</v>
      </c>
      <c r="F9" s="1496">
        <f t="shared" si="2"/>
        <v>1480</v>
      </c>
      <c r="G9" s="1497">
        <v>-80</v>
      </c>
      <c r="H9" s="1498">
        <f t="shared" si="3"/>
        <v>1400</v>
      </c>
      <c r="I9" s="1494"/>
      <c r="J9" s="1494">
        <v>1000</v>
      </c>
      <c r="K9" s="1494"/>
    </row>
    <row r="10" spans="1:11" ht="15.75">
      <c r="A10" s="1494" t="s">
        <v>1077</v>
      </c>
      <c r="B10" s="1490">
        <v>102</v>
      </c>
      <c r="C10" s="1495">
        <f t="shared" si="0"/>
        <v>12240</v>
      </c>
      <c r="D10" s="1490">
        <v>20</v>
      </c>
      <c r="E10" s="1495">
        <f t="shared" si="1"/>
        <v>1000</v>
      </c>
      <c r="F10" s="1496">
        <f t="shared" si="2"/>
        <v>13240</v>
      </c>
      <c r="G10" s="1497">
        <v>-40</v>
      </c>
      <c r="H10" s="1498">
        <f t="shared" si="3"/>
        <v>13200</v>
      </c>
      <c r="I10" s="1494"/>
      <c r="J10" s="1494">
        <v>6000</v>
      </c>
      <c r="K10" s="1494"/>
    </row>
    <row r="11" spans="1:11" ht="15.75">
      <c r="A11" s="1494" t="s">
        <v>1078</v>
      </c>
      <c r="B11" s="1490">
        <v>12</v>
      </c>
      <c r="C11" s="1495">
        <f t="shared" si="0"/>
        <v>1440</v>
      </c>
      <c r="D11" s="1490">
        <v>10</v>
      </c>
      <c r="E11" s="1495">
        <f t="shared" si="1"/>
        <v>500</v>
      </c>
      <c r="F11" s="1496">
        <f t="shared" si="2"/>
        <v>1940</v>
      </c>
      <c r="G11" s="1497">
        <v>-40</v>
      </c>
      <c r="H11" s="1498">
        <f t="shared" si="3"/>
        <v>1900</v>
      </c>
      <c r="I11" s="1494"/>
      <c r="J11" s="1494">
        <v>1000</v>
      </c>
      <c r="K11" s="1494"/>
    </row>
    <row r="12" spans="1:11" ht="15.75">
      <c r="A12" s="1494"/>
      <c r="B12" s="1490"/>
      <c r="C12" s="1495">
        <f t="shared" si="0"/>
        <v>0</v>
      </c>
      <c r="D12" s="1490"/>
      <c r="E12" s="1495">
        <f t="shared" si="1"/>
        <v>0</v>
      </c>
      <c r="F12" s="1496">
        <f t="shared" si="2"/>
        <v>0</v>
      </c>
      <c r="G12" s="1497"/>
      <c r="H12" s="1498">
        <f t="shared" si="3"/>
        <v>0</v>
      </c>
      <c r="I12" s="1494"/>
      <c r="J12" s="1494"/>
      <c r="K12" s="1494"/>
    </row>
    <row r="13" spans="1:11" ht="15.75">
      <c r="A13" s="1499" t="s">
        <v>191</v>
      </c>
      <c r="B13" s="1500">
        <f>SUM(B5:B12)</f>
        <v>462</v>
      </c>
      <c r="C13" s="1501">
        <f>SUM(C5:C12)</f>
        <v>55440</v>
      </c>
      <c r="D13" s="1500">
        <f>SUM(D5:D12)</f>
        <v>555</v>
      </c>
      <c r="E13" s="1501">
        <f>SUM(E5:E12)</f>
        <v>27750</v>
      </c>
      <c r="F13" s="1502">
        <f>SUM(F5:F12)</f>
        <v>83190</v>
      </c>
      <c r="G13" s="1503"/>
      <c r="H13" s="1502">
        <f>SUM(H5:H12)</f>
        <v>82800</v>
      </c>
      <c r="I13" s="1504"/>
      <c r="J13" s="1499">
        <f>SUM(J5:J12)</f>
        <v>39000</v>
      </c>
      <c r="K13" s="1504"/>
    </row>
    <row r="16" spans="1:11" ht="15.75">
      <c r="A16" s="1470" t="s">
        <v>1061</v>
      </c>
      <c r="C16" s="1469" t="s">
        <v>1</v>
      </c>
    </row>
    <row r="17" spans="1:11" ht="30.75">
      <c r="A17" s="1471" t="s">
        <v>1062</v>
      </c>
      <c r="B17" s="1472" t="s">
        <v>481</v>
      </c>
      <c r="C17" s="1473"/>
      <c r="D17" s="1474" t="s">
        <v>586</v>
      </c>
      <c r="E17" s="1473"/>
      <c r="F17" s="1475" t="s">
        <v>1063</v>
      </c>
      <c r="G17" s="1475" t="s">
        <v>1064</v>
      </c>
      <c r="H17" s="1476" t="s">
        <v>1065</v>
      </c>
      <c r="I17" s="1476" t="s">
        <v>1066</v>
      </c>
      <c r="J17" s="1477" t="s">
        <v>1067</v>
      </c>
      <c r="K17" s="1476" t="s">
        <v>1066</v>
      </c>
    </row>
    <row r="18" spans="1:11" ht="15.75">
      <c r="A18" s="1478"/>
      <c r="B18" s="1479" t="s">
        <v>1068</v>
      </c>
      <c r="C18" s="1479" t="s">
        <v>13</v>
      </c>
      <c r="D18" s="1479" t="s">
        <v>1068</v>
      </c>
      <c r="E18" s="1479" t="s">
        <v>13</v>
      </c>
      <c r="F18" s="1480"/>
      <c r="G18" s="1481"/>
      <c r="H18" s="1482" t="s">
        <v>1069</v>
      </c>
      <c r="I18" s="1482" t="s">
        <v>1070</v>
      </c>
      <c r="J18" s="1482" t="s">
        <v>1071</v>
      </c>
      <c r="K18" s="1482" t="s">
        <v>1070</v>
      </c>
    </row>
    <row r="19" spans="1:11" ht="15.75">
      <c r="A19" s="1483" t="s">
        <v>1072</v>
      </c>
      <c r="B19" s="1484">
        <v>52</v>
      </c>
      <c r="C19" s="1485">
        <f t="shared" ref="C19:C26" si="4">ROUND(B19*120,0)</f>
        <v>6240</v>
      </c>
      <c r="D19" s="1484">
        <v>172</v>
      </c>
      <c r="E19" s="1485">
        <f t="shared" ref="E19:E26" si="5">ROUND(D19*50,0)</f>
        <v>8600</v>
      </c>
      <c r="F19" s="1486">
        <f t="shared" ref="F19:F26" si="6">SUM(C19,E19)</f>
        <v>14840</v>
      </c>
      <c r="G19" s="1487">
        <v>-40</v>
      </c>
      <c r="H19" s="1488">
        <f t="shared" ref="H19:H26" si="7">F19+G19</f>
        <v>14800</v>
      </c>
      <c r="I19" s="1489"/>
      <c r="J19" s="1489">
        <v>8000</v>
      </c>
      <c r="K19" s="1489"/>
    </row>
    <row r="20" spans="1:11" ht="15.75">
      <c r="A20" s="1483" t="s">
        <v>1073</v>
      </c>
      <c r="B20" s="1490"/>
      <c r="C20" s="1485">
        <f t="shared" si="4"/>
        <v>0</v>
      </c>
      <c r="D20" s="1490"/>
      <c r="E20" s="1485">
        <f t="shared" si="5"/>
        <v>0</v>
      </c>
      <c r="F20" s="1491">
        <f t="shared" si="6"/>
        <v>0</v>
      </c>
      <c r="G20" s="1492"/>
      <c r="H20" s="1493">
        <f t="shared" si="7"/>
        <v>0</v>
      </c>
      <c r="I20" s="1494"/>
      <c r="J20" s="1494"/>
      <c r="K20" s="1494"/>
    </row>
    <row r="21" spans="1:11" ht="15.75">
      <c r="A21" s="1494" t="s">
        <v>1074</v>
      </c>
      <c r="B21" s="1490"/>
      <c r="C21" s="1485">
        <f t="shared" si="4"/>
        <v>0</v>
      </c>
      <c r="D21" s="1490"/>
      <c r="E21" s="1485">
        <f t="shared" si="5"/>
        <v>0</v>
      </c>
      <c r="F21" s="1491">
        <f t="shared" si="6"/>
        <v>0</v>
      </c>
      <c r="G21" s="1492"/>
      <c r="H21" s="1493">
        <f t="shared" si="7"/>
        <v>0</v>
      </c>
      <c r="I21" s="1494"/>
      <c r="J21" s="1494"/>
      <c r="K21" s="1494"/>
    </row>
    <row r="22" spans="1:11" ht="15.75">
      <c r="A22" s="1494" t="s">
        <v>1075</v>
      </c>
      <c r="B22" s="1490"/>
      <c r="C22" s="1495">
        <f t="shared" si="4"/>
        <v>0</v>
      </c>
      <c r="D22" s="1490"/>
      <c r="E22" s="1495">
        <f t="shared" si="5"/>
        <v>0</v>
      </c>
      <c r="F22" s="1496">
        <f t="shared" si="6"/>
        <v>0</v>
      </c>
      <c r="G22" s="1497"/>
      <c r="H22" s="1498">
        <f t="shared" si="7"/>
        <v>0</v>
      </c>
      <c r="I22" s="1494"/>
      <c r="J22" s="1494"/>
      <c r="K22" s="1494"/>
    </row>
    <row r="23" spans="1:11" ht="15.75">
      <c r="A23" s="1494" t="s">
        <v>1076</v>
      </c>
      <c r="B23" s="1490"/>
      <c r="C23" s="1495">
        <f t="shared" si="4"/>
        <v>0</v>
      </c>
      <c r="D23" s="1490"/>
      <c r="E23" s="1495">
        <f t="shared" si="5"/>
        <v>0</v>
      </c>
      <c r="F23" s="1496">
        <f t="shared" si="6"/>
        <v>0</v>
      </c>
      <c r="G23" s="1497"/>
      <c r="H23" s="1498">
        <f t="shared" si="7"/>
        <v>0</v>
      </c>
      <c r="I23" s="1494"/>
      <c r="J23" s="1494"/>
      <c r="K23" s="1494"/>
    </row>
    <row r="24" spans="1:11" ht="15.75">
      <c r="A24" s="1494" t="s">
        <v>1077</v>
      </c>
      <c r="B24" s="1490"/>
      <c r="C24" s="1495">
        <f t="shared" si="4"/>
        <v>0</v>
      </c>
      <c r="D24" s="1490"/>
      <c r="E24" s="1495">
        <f t="shared" si="5"/>
        <v>0</v>
      </c>
      <c r="F24" s="1496">
        <f t="shared" si="6"/>
        <v>0</v>
      </c>
      <c r="G24" s="1497"/>
      <c r="H24" s="1498">
        <f t="shared" si="7"/>
        <v>0</v>
      </c>
      <c r="I24" s="1494"/>
      <c r="J24" s="1494"/>
      <c r="K24" s="1494"/>
    </row>
    <row r="25" spans="1:11" ht="15.75">
      <c r="A25" s="1494" t="s">
        <v>1078</v>
      </c>
      <c r="B25" s="1490"/>
      <c r="C25" s="1495">
        <f t="shared" si="4"/>
        <v>0</v>
      </c>
      <c r="D25" s="1490"/>
      <c r="E25" s="1495">
        <f t="shared" si="5"/>
        <v>0</v>
      </c>
      <c r="F25" s="1496">
        <f t="shared" si="6"/>
        <v>0</v>
      </c>
      <c r="G25" s="1497"/>
      <c r="H25" s="1498">
        <f t="shared" si="7"/>
        <v>0</v>
      </c>
      <c r="I25" s="1494"/>
      <c r="J25" s="1494"/>
      <c r="K25" s="1494"/>
    </row>
    <row r="26" spans="1:11" ht="15.75">
      <c r="A26" s="1494"/>
      <c r="B26" s="1490"/>
      <c r="C26" s="1495">
        <f t="shared" si="4"/>
        <v>0</v>
      </c>
      <c r="D26" s="1490"/>
      <c r="E26" s="1495">
        <f t="shared" si="5"/>
        <v>0</v>
      </c>
      <c r="F26" s="1496">
        <f t="shared" si="6"/>
        <v>0</v>
      </c>
      <c r="G26" s="1497"/>
      <c r="H26" s="1498">
        <f t="shared" si="7"/>
        <v>0</v>
      </c>
      <c r="I26" s="1494"/>
      <c r="J26" s="1494"/>
      <c r="K26" s="1494"/>
    </row>
    <row r="27" spans="1:11" ht="15.75">
      <c r="A27" s="1499" t="s">
        <v>191</v>
      </c>
      <c r="B27" s="1500">
        <f>SUM(B19:B26)</f>
        <v>52</v>
      </c>
      <c r="C27" s="1501">
        <f>SUM(C19:C26)</f>
        <v>6240</v>
      </c>
      <c r="D27" s="1500">
        <f>SUM(D19:D26)</f>
        <v>172</v>
      </c>
      <c r="E27" s="1501">
        <f>SUM(E19:E26)</f>
        <v>8600</v>
      </c>
      <c r="F27" s="1502">
        <f>SUM(F19:F26)</f>
        <v>14840</v>
      </c>
      <c r="G27" s="1503"/>
      <c r="H27" s="1502">
        <f>SUM(H19:H26)</f>
        <v>14800</v>
      </c>
      <c r="I27" s="1504"/>
      <c r="J27" s="1499">
        <f>SUM(J19:J26)</f>
        <v>8000</v>
      </c>
      <c r="K27" s="1504"/>
    </row>
    <row r="30" spans="1:11" ht="15.75">
      <c r="A30" s="1470" t="s">
        <v>1061</v>
      </c>
      <c r="C30" s="1469" t="s">
        <v>1079</v>
      </c>
    </row>
    <row r="31" spans="1:11" ht="30.75">
      <c r="A31" s="1471" t="s">
        <v>1062</v>
      </c>
      <c r="B31" s="1472" t="s">
        <v>481</v>
      </c>
      <c r="C31" s="1473"/>
      <c r="D31" s="1474" t="s">
        <v>586</v>
      </c>
      <c r="E31" s="1473"/>
      <c r="F31" s="1475" t="s">
        <v>1063</v>
      </c>
      <c r="G31" s="1475" t="s">
        <v>1064</v>
      </c>
      <c r="H31" s="1476" t="s">
        <v>1065</v>
      </c>
      <c r="I31" s="1476" t="s">
        <v>1066</v>
      </c>
      <c r="J31" s="1477" t="s">
        <v>1067</v>
      </c>
      <c r="K31" s="1476" t="s">
        <v>1066</v>
      </c>
    </row>
    <row r="32" spans="1:11" ht="15.75">
      <c r="A32" s="1478"/>
      <c r="B32" s="1479" t="s">
        <v>1068</v>
      </c>
      <c r="C32" s="1479" t="s">
        <v>13</v>
      </c>
      <c r="D32" s="1479" t="s">
        <v>1068</v>
      </c>
      <c r="E32" s="1479" t="s">
        <v>13</v>
      </c>
      <c r="F32" s="1480"/>
      <c r="G32" s="1481"/>
      <c r="H32" s="1482" t="s">
        <v>1069</v>
      </c>
      <c r="I32" s="1482" t="s">
        <v>1070</v>
      </c>
      <c r="J32" s="1482" t="s">
        <v>1071</v>
      </c>
      <c r="K32" s="1482" t="s">
        <v>1070</v>
      </c>
    </row>
    <row r="33" spans="1:11" ht="15.75">
      <c r="A33" s="1483" t="s">
        <v>1072</v>
      </c>
      <c r="B33" s="1484">
        <f>83+31</f>
        <v>114</v>
      </c>
      <c r="C33" s="1485">
        <f t="shared" ref="C33:C40" si="8">ROUND(B33*120,0)</f>
        <v>13680</v>
      </c>
      <c r="D33" s="1484">
        <f>290+4+143+8</f>
        <v>445</v>
      </c>
      <c r="E33" s="1485">
        <f t="shared" ref="E33:E40" si="9">ROUND(D33*50,0)</f>
        <v>22250</v>
      </c>
      <c r="F33" s="1486">
        <f t="shared" ref="F33:F40" si="10">SUM(C33,E33)</f>
        <v>35930</v>
      </c>
      <c r="G33" s="1487">
        <v>-30</v>
      </c>
      <c r="H33" s="1488">
        <f t="shared" ref="H33:H40" si="11">F33+G33</f>
        <v>35900</v>
      </c>
      <c r="I33" s="1489"/>
      <c r="J33" s="1489"/>
      <c r="K33" s="1489"/>
    </row>
    <row r="34" spans="1:11" ht="15.75">
      <c r="A34" s="1483" t="s">
        <v>1073</v>
      </c>
      <c r="B34" s="1490">
        <f>233+270</f>
        <v>503</v>
      </c>
      <c r="C34" s="1485">
        <f t="shared" si="8"/>
        <v>60360</v>
      </c>
      <c r="D34" s="1490">
        <f>291+407</f>
        <v>698</v>
      </c>
      <c r="E34" s="1485">
        <f t="shared" si="9"/>
        <v>34900</v>
      </c>
      <c r="F34" s="1491">
        <f t="shared" si="10"/>
        <v>95260</v>
      </c>
      <c r="G34" s="1492">
        <v>-60</v>
      </c>
      <c r="H34" s="1493">
        <f t="shared" si="11"/>
        <v>95200</v>
      </c>
      <c r="I34" s="1494"/>
      <c r="J34" s="1494"/>
      <c r="K34" s="1494"/>
    </row>
    <row r="35" spans="1:11" ht="15.75">
      <c r="A35" s="1494" t="s">
        <v>1080</v>
      </c>
      <c r="B35" s="1490">
        <f>4+10</f>
        <v>14</v>
      </c>
      <c r="C35" s="1485">
        <f t="shared" si="8"/>
        <v>1680</v>
      </c>
      <c r="D35" s="1490">
        <f>12+18</f>
        <v>30</v>
      </c>
      <c r="E35" s="1485">
        <f t="shared" si="9"/>
        <v>1500</v>
      </c>
      <c r="F35" s="1491">
        <f t="shared" si="10"/>
        <v>3180</v>
      </c>
      <c r="G35" s="1492">
        <v>-80</v>
      </c>
      <c r="H35" s="1493">
        <f t="shared" si="11"/>
        <v>3100</v>
      </c>
      <c r="I35" s="1494"/>
      <c r="J35" s="1494"/>
      <c r="K35" s="1494"/>
    </row>
    <row r="36" spans="1:11" ht="15.75">
      <c r="A36" s="1494" t="s">
        <v>1075</v>
      </c>
      <c r="B36" s="1490"/>
      <c r="C36" s="1495">
        <f t="shared" si="8"/>
        <v>0</v>
      </c>
      <c r="D36" s="1490"/>
      <c r="E36" s="1495">
        <f t="shared" si="9"/>
        <v>0</v>
      </c>
      <c r="F36" s="1496">
        <f t="shared" si="10"/>
        <v>0</v>
      </c>
      <c r="G36" s="1497"/>
      <c r="H36" s="1498">
        <f t="shared" si="11"/>
        <v>0</v>
      </c>
      <c r="I36" s="1494"/>
      <c r="J36" s="1494"/>
      <c r="K36" s="1494"/>
    </row>
    <row r="37" spans="1:11" ht="15.75">
      <c r="A37" s="1494" t="s">
        <v>1076</v>
      </c>
      <c r="B37" s="1490">
        <f>16</f>
        <v>16</v>
      </c>
      <c r="C37" s="1495">
        <f t="shared" si="8"/>
        <v>1920</v>
      </c>
      <c r="D37" s="1490">
        <v>4</v>
      </c>
      <c r="E37" s="1495">
        <f t="shared" si="9"/>
        <v>200</v>
      </c>
      <c r="F37" s="1496">
        <f t="shared" si="10"/>
        <v>2120</v>
      </c>
      <c r="G37" s="1497">
        <v>-20</v>
      </c>
      <c r="H37" s="1505">
        <f t="shared" si="11"/>
        <v>2100</v>
      </c>
      <c r="I37" s="1494"/>
      <c r="J37" s="1494"/>
      <c r="K37" s="1494"/>
    </row>
    <row r="38" spans="1:11" ht="15.75">
      <c r="A38" s="1494" t="s">
        <v>1077</v>
      </c>
      <c r="B38" s="1490">
        <v>10</v>
      </c>
      <c r="C38" s="1495">
        <f t="shared" si="8"/>
        <v>1200</v>
      </c>
      <c r="D38" s="1490">
        <f>22+6</f>
        <v>28</v>
      </c>
      <c r="E38" s="1495">
        <f t="shared" si="9"/>
        <v>1400</v>
      </c>
      <c r="F38" s="1496">
        <f t="shared" si="10"/>
        <v>2600</v>
      </c>
      <c r="G38" s="1497"/>
      <c r="H38" s="1498">
        <f t="shared" si="11"/>
        <v>2600</v>
      </c>
      <c r="I38" s="1494"/>
      <c r="J38" s="1494"/>
      <c r="K38" s="1494"/>
    </row>
    <row r="39" spans="1:11" ht="15.75">
      <c r="A39" s="1494" t="s">
        <v>1078</v>
      </c>
      <c r="B39" s="1490">
        <f>17+10</f>
        <v>27</v>
      </c>
      <c r="C39" s="1495">
        <f t="shared" si="8"/>
        <v>3240</v>
      </c>
      <c r="D39" s="1490">
        <f>9+4</f>
        <v>13</v>
      </c>
      <c r="E39" s="1495">
        <f t="shared" si="9"/>
        <v>650</v>
      </c>
      <c r="F39" s="1496">
        <f t="shared" si="10"/>
        <v>3890</v>
      </c>
      <c r="G39" s="1497">
        <v>-90</v>
      </c>
      <c r="H39" s="1498">
        <f t="shared" si="11"/>
        <v>3800</v>
      </c>
      <c r="I39" s="1494"/>
      <c r="J39" s="1494"/>
      <c r="K39" s="1494"/>
    </row>
    <row r="40" spans="1:11" ht="15.75">
      <c r="A40" s="1494"/>
      <c r="B40" s="1490"/>
      <c r="C40" s="1495">
        <f t="shared" si="8"/>
        <v>0</v>
      </c>
      <c r="D40" s="1490"/>
      <c r="E40" s="1495">
        <f t="shared" si="9"/>
        <v>0</v>
      </c>
      <c r="F40" s="1496">
        <f t="shared" si="10"/>
        <v>0</v>
      </c>
      <c r="G40" s="1497"/>
      <c r="H40" s="1498">
        <f t="shared" si="11"/>
        <v>0</v>
      </c>
      <c r="I40" s="1494"/>
      <c r="J40" s="1494"/>
      <c r="K40" s="1494"/>
    </row>
    <row r="41" spans="1:11" ht="15.75">
      <c r="A41" s="1499" t="s">
        <v>191</v>
      </c>
      <c r="B41" s="1500">
        <f>SUM(B33:B40)</f>
        <v>684</v>
      </c>
      <c r="C41" s="1501">
        <f>SUM(C33:C40)</f>
        <v>82080</v>
      </c>
      <c r="D41" s="1500">
        <f>SUM(D33:D40)</f>
        <v>1218</v>
      </c>
      <c r="E41" s="1501">
        <f>SUM(E33:E40)</f>
        <v>60900</v>
      </c>
      <c r="F41" s="1502">
        <f>SUM(F33:F40)</f>
        <v>142980</v>
      </c>
      <c r="G41" s="1503"/>
      <c r="H41" s="1502">
        <f>SUM(H33:H40)</f>
        <v>142700</v>
      </c>
      <c r="I41" s="1504"/>
      <c r="J41" s="1499">
        <f>SUM(J33:J40)</f>
        <v>0</v>
      </c>
      <c r="K41" s="1504"/>
    </row>
    <row r="44" spans="1:11" ht="15.75">
      <c r="A44" s="1470"/>
    </row>
  </sheetData>
  <sheetProtection selectLockedCells="1" selectUnlockedCells="1"/>
  <pageMargins left="0.35416666666666669" right="0.15763888888888888" top="0.98402777777777772" bottom="0.98402777777777772" header="0.51180555555555551" footer="0.51180555555555551"/>
  <pageSetup paperSize="9" scale="6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dimension ref="A1:AC19"/>
  <sheetViews>
    <sheetView zoomScale="90" zoomScaleNormal="90" workbookViewId="0">
      <pane xSplit="3" ySplit="2" topLeftCell="D3" activePane="bottomRight" state="frozen"/>
      <selection pane="topRight" activeCell="D1" sqref="D1"/>
      <selection pane="bottomLeft" activeCell="A3" sqref="A3"/>
      <selection pane="bottomRight" activeCell="D14" sqref="D14"/>
    </sheetView>
  </sheetViews>
  <sheetFormatPr defaultColWidth="8.7109375" defaultRowHeight="12.75" outlineLevelRow="2" outlineLevelCol="1"/>
  <cols>
    <col min="1" max="1" width="34.5703125" style="1" customWidth="1"/>
    <col min="2" max="2" width="10" style="1506" customWidth="1" outlineLevel="1"/>
    <col min="3" max="3" width="8.7109375" style="1506" outlineLevel="1"/>
    <col min="4" max="5" width="11.28515625" style="1" customWidth="1"/>
    <col min="6" max="6" width="12.7109375" style="1" customWidth="1"/>
    <col min="7" max="7" width="11.7109375" style="1" customWidth="1"/>
    <col min="8" max="10" width="11.28515625" style="1" customWidth="1"/>
    <col min="11" max="29" width="12.140625" style="1" customWidth="1"/>
    <col min="30" max="16384" width="8.7109375" style="1"/>
  </cols>
  <sheetData>
    <row r="1" spans="1:29" s="1347" customFormat="1">
      <c r="A1" s="1507"/>
      <c r="B1" s="1508" t="s">
        <v>458</v>
      </c>
      <c r="C1" s="1509"/>
      <c r="D1" s="1510"/>
      <c r="E1" s="1511"/>
      <c r="F1" s="1512" t="s">
        <v>1081</v>
      </c>
      <c r="G1" s="1511"/>
      <c r="H1" s="1511"/>
      <c r="I1" s="1511"/>
      <c r="J1" s="1511"/>
      <c r="K1" s="1511"/>
      <c r="L1" s="1511"/>
      <c r="M1" s="1511"/>
      <c r="N1" s="1511"/>
      <c r="O1" s="1511"/>
      <c r="P1" s="1511"/>
      <c r="Q1" s="1511"/>
      <c r="R1" s="1511"/>
      <c r="S1" s="1511"/>
      <c r="T1" s="1511"/>
      <c r="U1" s="1511"/>
      <c r="V1" s="1511"/>
      <c r="W1" s="1511"/>
      <c r="X1" s="1511"/>
      <c r="Y1" s="1513"/>
      <c r="Z1" s="1514"/>
      <c r="AA1" s="1514"/>
      <c r="AB1" s="1514"/>
      <c r="AC1" s="1514"/>
    </row>
    <row r="2" spans="1:29" s="1347" customFormat="1" ht="38.25">
      <c r="A2" s="1515"/>
      <c r="B2" s="1516" t="s">
        <v>1082</v>
      </c>
      <c r="C2" s="1516"/>
      <c r="D2" s="1517">
        <v>50</v>
      </c>
      <c r="E2" s="1518">
        <f t="shared" ref="E2:AC2" si="0">D2+20</f>
        <v>70</v>
      </c>
      <c r="F2" s="1518">
        <f t="shared" si="0"/>
        <v>90</v>
      </c>
      <c r="G2" s="1518">
        <f t="shared" si="0"/>
        <v>110</v>
      </c>
      <c r="H2" s="1518">
        <f t="shared" si="0"/>
        <v>130</v>
      </c>
      <c r="I2" s="1518">
        <f t="shared" si="0"/>
        <v>150</v>
      </c>
      <c r="J2" s="1518">
        <f t="shared" si="0"/>
        <v>170</v>
      </c>
      <c r="K2" s="1518">
        <f t="shared" si="0"/>
        <v>190</v>
      </c>
      <c r="L2" s="1518">
        <f t="shared" si="0"/>
        <v>210</v>
      </c>
      <c r="M2" s="1518">
        <f t="shared" si="0"/>
        <v>230</v>
      </c>
      <c r="N2" s="1518">
        <f t="shared" si="0"/>
        <v>250</v>
      </c>
      <c r="O2" s="1518">
        <f t="shared" si="0"/>
        <v>270</v>
      </c>
      <c r="P2" s="1518">
        <f t="shared" si="0"/>
        <v>290</v>
      </c>
      <c r="Q2" s="1518">
        <f t="shared" si="0"/>
        <v>310</v>
      </c>
      <c r="R2" s="1518">
        <f t="shared" si="0"/>
        <v>330</v>
      </c>
      <c r="S2" s="1518">
        <f t="shared" si="0"/>
        <v>350</v>
      </c>
      <c r="T2" s="1518">
        <f t="shared" si="0"/>
        <v>370</v>
      </c>
      <c r="U2" s="1518">
        <f t="shared" si="0"/>
        <v>390</v>
      </c>
      <c r="V2" s="1518">
        <f t="shared" si="0"/>
        <v>410</v>
      </c>
      <c r="W2" s="1518">
        <f t="shared" si="0"/>
        <v>430</v>
      </c>
      <c r="X2" s="1518">
        <f t="shared" si="0"/>
        <v>450</v>
      </c>
      <c r="Y2" s="1519">
        <f t="shared" si="0"/>
        <v>470</v>
      </c>
      <c r="Z2" s="1515">
        <f t="shared" si="0"/>
        <v>490</v>
      </c>
      <c r="AA2" s="1515">
        <f t="shared" si="0"/>
        <v>510</v>
      </c>
      <c r="AB2" s="1515">
        <f t="shared" si="0"/>
        <v>530</v>
      </c>
      <c r="AC2" s="1515">
        <f t="shared" si="0"/>
        <v>550</v>
      </c>
    </row>
    <row r="3" spans="1:29">
      <c r="A3" s="1520" t="s">
        <v>1083</v>
      </c>
      <c r="B3" s="1521">
        <f>(('Расходы помесячно (План-Факт)'!BL5)/'Расходы помесячно (План-Факт)'!BL56)/1000</f>
        <v>392.65311555555559</v>
      </c>
      <c r="C3" s="1521"/>
      <c r="D3" s="1522"/>
      <c r="E3" s="1522"/>
      <c r="F3" s="1522"/>
      <c r="G3" s="1522"/>
      <c r="H3" s="1522"/>
      <c r="I3" s="1522"/>
      <c r="J3" s="1522"/>
      <c r="K3" s="1522"/>
      <c r="L3" s="1522"/>
      <c r="M3" s="1522"/>
      <c r="N3" s="1522"/>
      <c r="O3" s="1522"/>
      <c r="P3" s="1522"/>
      <c r="Q3" s="1522"/>
      <c r="R3" s="1522"/>
      <c r="S3" s="1522"/>
      <c r="T3" s="1522"/>
      <c r="U3" s="1522"/>
      <c r="V3" s="1522"/>
      <c r="W3" s="1522"/>
      <c r="X3" s="1522"/>
      <c r="Y3" s="1522"/>
      <c r="Z3" s="1522"/>
      <c r="AA3" s="1522"/>
      <c r="AB3" s="1522"/>
      <c r="AC3" s="1522"/>
    </row>
    <row r="4" spans="1:29">
      <c r="A4" s="1520" t="s">
        <v>482</v>
      </c>
      <c r="B4" s="1523">
        <v>0.87</v>
      </c>
      <c r="C4" s="1521"/>
      <c r="D4" s="1522"/>
      <c r="E4" s="1522"/>
      <c r="F4" s="1522"/>
      <c r="G4" s="1522"/>
      <c r="H4" s="1522"/>
      <c r="I4" s="1522"/>
      <c r="J4" s="1522"/>
      <c r="K4" s="1522"/>
      <c r="L4" s="1522"/>
      <c r="M4" s="1522"/>
      <c r="N4" s="1522"/>
      <c r="O4" s="1522"/>
      <c r="P4" s="1522"/>
      <c r="Q4" s="1522"/>
      <c r="R4" s="1522"/>
      <c r="S4" s="1522"/>
      <c r="T4" s="1522"/>
      <c r="U4" s="1522"/>
      <c r="V4" s="1522"/>
      <c r="W4" s="1522"/>
      <c r="X4" s="1522"/>
      <c r="Y4" s="1524"/>
      <c r="Z4" s="1524"/>
      <c r="AA4" s="1524"/>
      <c r="AB4" s="1524"/>
      <c r="AC4" s="1524"/>
    </row>
    <row r="5" spans="1:29">
      <c r="A5" s="1520" t="s">
        <v>1084</v>
      </c>
      <c r="B5" s="1525">
        <f>1/B4</f>
        <v>1.1494252873563218</v>
      </c>
      <c r="C5" s="1521"/>
      <c r="D5" s="1522"/>
      <c r="E5" s="1522"/>
      <c r="F5" s="1522"/>
      <c r="G5" s="1522"/>
      <c r="H5" s="1522"/>
      <c r="I5" s="1522"/>
      <c r="J5" s="1522"/>
      <c r="K5" s="1522"/>
      <c r="L5" s="1522"/>
      <c r="M5" s="1522"/>
      <c r="N5" s="1522"/>
      <c r="O5" s="1522"/>
      <c r="P5" s="1522"/>
      <c r="Q5" s="1522"/>
      <c r="R5" s="1522"/>
      <c r="S5" s="1522"/>
      <c r="T5" s="1522"/>
      <c r="U5" s="1522"/>
      <c r="V5" s="1522"/>
      <c r="W5" s="1522"/>
      <c r="X5" s="1522"/>
      <c r="Y5" s="1524"/>
      <c r="Z5" s="1524"/>
      <c r="AA5" s="1524"/>
      <c r="AB5" s="1524"/>
      <c r="AC5" s="1524"/>
    </row>
    <row r="6" spans="1:29">
      <c r="A6" s="1526" t="s">
        <v>62</v>
      </c>
      <c r="B6" s="1527">
        <f>B7+B17</f>
        <v>619795.92903293238</v>
      </c>
      <c r="C6" s="1527"/>
      <c r="D6" s="1527">
        <f t="shared" ref="D6:AC6" si="1">D7+D17</f>
        <v>34582490.290305629</v>
      </c>
      <c r="E6" s="1527">
        <f t="shared" si="1"/>
        <v>47117374.388205655</v>
      </c>
      <c r="F6" s="1527">
        <f t="shared" si="1"/>
        <v>59652258.486105688</v>
      </c>
      <c r="G6" s="1527">
        <f t="shared" si="1"/>
        <v>72187142.584005713</v>
      </c>
      <c r="H6" s="1527">
        <f t="shared" si="1"/>
        <v>84722026.681905746</v>
      </c>
      <c r="I6" s="1527">
        <f t="shared" si="1"/>
        <v>97256910.779805779</v>
      </c>
      <c r="J6" s="1527">
        <f t="shared" si="1"/>
        <v>109791794.87770581</v>
      </c>
      <c r="K6" s="1527">
        <f t="shared" si="1"/>
        <v>122326678.97560583</v>
      </c>
      <c r="L6" s="1527">
        <f t="shared" si="1"/>
        <v>134861563.07350588</v>
      </c>
      <c r="M6" s="1527">
        <f t="shared" si="1"/>
        <v>147396447.17140588</v>
      </c>
      <c r="N6" s="1527">
        <f t="shared" si="1"/>
        <v>159931331.26930591</v>
      </c>
      <c r="O6" s="1527">
        <f t="shared" si="1"/>
        <v>172466215.36720595</v>
      </c>
      <c r="P6" s="1527">
        <f t="shared" si="1"/>
        <v>185001099.46510598</v>
      </c>
      <c r="Q6" s="1527">
        <f t="shared" si="1"/>
        <v>197535983.56300598</v>
      </c>
      <c r="R6" s="1527">
        <f t="shared" si="1"/>
        <v>210070867.66090605</v>
      </c>
      <c r="S6" s="1527">
        <f t="shared" si="1"/>
        <v>222605751.75880608</v>
      </c>
      <c r="T6" s="1527">
        <f t="shared" si="1"/>
        <v>235140635.85670611</v>
      </c>
      <c r="U6" s="1527">
        <f t="shared" si="1"/>
        <v>247675519.95460612</v>
      </c>
      <c r="V6" s="1527">
        <f t="shared" si="1"/>
        <v>260210404.05250615</v>
      </c>
      <c r="W6" s="1527">
        <f t="shared" si="1"/>
        <v>272745288.15040618</v>
      </c>
      <c r="X6" s="1527">
        <f t="shared" si="1"/>
        <v>285280172.24830616</v>
      </c>
      <c r="Y6" s="1527">
        <f t="shared" si="1"/>
        <v>297815056.34620625</v>
      </c>
      <c r="Z6" s="1527">
        <f t="shared" si="1"/>
        <v>310349940.44410616</v>
      </c>
      <c r="AA6" s="1527">
        <f t="shared" si="1"/>
        <v>322884824.54200625</v>
      </c>
      <c r="AB6" s="1527">
        <f t="shared" si="1"/>
        <v>335419708.63990629</v>
      </c>
      <c r="AC6" s="1527">
        <f t="shared" si="1"/>
        <v>347954592.73780632</v>
      </c>
    </row>
    <row r="7" spans="1:29">
      <c r="A7" s="1528" t="s">
        <v>75</v>
      </c>
      <c r="B7" s="1529">
        <f>B8+B13</f>
        <v>619795.92903293238</v>
      </c>
      <c r="C7" s="1529"/>
      <c r="D7" s="1529">
        <f t="shared" ref="D7:AC7" si="2">D8+D13</f>
        <v>31337210.244750071</v>
      </c>
      <c r="E7" s="1529">
        <f t="shared" si="2"/>
        <v>43872094.342650101</v>
      </c>
      <c r="F7" s="1529">
        <f t="shared" si="2"/>
        <v>56406978.440550134</v>
      </c>
      <c r="G7" s="1529">
        <f t="shared" si="2"/>
        <v>68941862.538450152</v>
      </c>
      <c r="H7" s="1529">
        <f t="shared" si="2"/>
        <v>81476746.636350185</v>
      </c>
      <c r="I7" s="1529">
        <f t="shared" si="2"/>
        <v>94011630.734250218</v>
      </c>
      <c r="J7" s="1529">
        <f t="shared" si="2"/>
        <v>106546514.83215025</v>
      </c>
      <c r="K7" s="1529">
        <f t="shared" si="2"/>
        <v>119081398.93005027</v>
      </c>
      <c r="L7" s="1529">
        <f t="shared" si="2"/>
        <v>131616283.02795032</v>
      </c>
      <c r="M7" s="1529">
        <f t="shared" si="2"/>
        <v>144151167.12585032</v>
      </c>
      <c r="N7" s="1529">
        <f t="shared" si="2"/>
        <v>156686051.22375035</v>
      </c>
      <c r="O7" s="1529">
        <f t="shared" si="2"/>
        <v>169220935.32165039</v>
      </c>
      <c r="P7" s="1529">
        <f t="shared" si="2"/>
        <v>181755819.41955042</v>
      </c>
      <c r="Q7" s="1529">
        <f t="shared" si="2"/>
        <v>194290703.51745042</v>
      </c>
      <c r="R7" s="1529">
        <f t="shared" si="2"/>
        <v>206825587.61535048</v>
      </c>
      <c r="S7" s="1529">
        <f t="shared" si="2"/>
        <v>219360471.71325052</v>
      </c>
      <c r="T7" s="1529">
        <f t="shared" si="2"/>
        <v>231895355.81115055</v>
      </c>
      <c r="U7" s="1529">
        <f t="shared" si="2"/>
        <v>244430239.90905055</v>
      </c>
      <c r="V7" s="1529">
        <f t="shared" si="2"/>
        <v>256965124.00695059</v>
      </c>
      <c r="W7" s="1529">
        <f t="shared" si="2"/>
        <v>269500008.10485065</v>
      </c>
      <c r="X7" s="1529">
        <f t="shared" si="2"/>
        <v>282034892.20275062</v>
      </c>
      <c r="Y7" s="1529">
        <f t="shared" si="2"/>
        <v>294569776.30065072</v>
      </c>
      <c r="Z7" s="1529">
        <f t="shared" si="2"/>
        <v>307104660.39855063</v>
      </c>
      <c r="AA7" s="1529">
        <f t="shared" si="2"/>
        <v>319639544.49645072</v>
      </c>
      <c r="AB7" s="1529">
        <f t="shared" si="2"/>
        <v>332174428.59435076</v>
      </c>
      <c r="AC7" s="1529">
        <f t="shared" si="2"/>
        <v>344709312.69225079</v>
      </c>
    </row>
    <row r="8" spans="1:29" ht="45" outlineLevel="1">
      <c r="A8" s="1530" t="s">
        <v>1085</v>
      </c>
      <c r="B8" s="1531">
        <f>SUM(B9:B12)</f>
        <v>572066.01925925922</v>
      </c>
      <c r="C8" s="1531"/>
      <c r="D8" s="1531">
        <f t="shared" ref="D8:AC8" si="3">SUM(D9:D12)</f>
        <v>28603300.962962963</v>
      </c>
      <c r="E8" s="1531">
        <f t="shared" si="3"/>
        <v>40044621.348148152</v>
      </c>
      <c r="F8" s="1531">
        <f t="shared" si="3"/>
        <v>51485941.733333334</v>
      </c>
      <c r="G8" s="1531">
        <f t="shared" si="3"/>
        <v>62927262.118518516</v>
      </c>
      <c r="H8" s="1531">
        <f t="shared" si="3"/>
        <v>74368582.503703699</v>
      </c>
      <c r="I8" s="1531">
        <f t="shared" si="3"/>
        <v>85809902.888888896</v>
      </c>
      <c r="J8" s="1531">
        <f t="shared" si="3"/>
        <v>97251223.274074078</v>
      </c>
      <c r="K8" s="1531">
        <f t="shared" si="3"/>
        <v>108692543.65925926</v>
      </c>
      <c r="L8" s="1531">
        <f t="shared" si="3"/>
        <v>120133864.04444446</v>
      </c>
      <c r="M8" s="1531">
        <f t="shared" si="3"/>
        <v>131575184.42962962</v>
      </c>
      <c r="N8" s="1531">
        <f t="shared" si="3"/>
        <v>143016504.81481481</v>
      </c>
      <c r="O8" s="1531">
        <f t="shared" si="3"/>
        <v>154457825.19999999</v>
      </c>
      <c r="P8" s="1531">
        <f t="shared" si="3"/>
        <v>165899145.5851852</v>
      </c>
      <c r="Q8" s="1531">
        <f t="shared" si="3"/>
        <v>177340465.97037035</v>
      </c>
      <c r="R8" s="1531">
        <f t="shared" si="3"/>
        <v>188781786.35555556</v>
      </c>
      <c r="S8" s="1531">
        <f t="shared" si="3"/>
        <v>200223106.74074075</v>
      </c>
      <c r="T8" s="1531">
        <f t="shared" si="3"/>
        <v>211664427.12592596</v>
      </c>
      <c r="U8" s="1531">
        <f t="shared" si="3"/>
        <v>223105747.51111111</v>
      </c>
      <c r="V8" s="1531">
        <f t="shared" si="3"/>
        <v>234547067.89629629</v>
      </c>
      <c r="W8" s="1531">
        <f t="shared" si="3"/>
        <v>245988388.2814815</v>
      </c>
      <c r="X8" s="1531">
        <f t="shared" si="3"/>
        <v>257429708.66666666</v>
      </c>
      <c r="Y8" s="1531">
        <f t="shared" si="3"/>
        <v>268871029.05185187</v>
      </c>
      <c r="Z8" s="1531">
        <f t="shared" si="3"/>
        <v>280312349.43703699</v>
      </c>
      <c r="AA8" s="1531">
        <f t="shared" si="3"/>
        <v>291753669.82222223</v>
      </c>
      <c r="AB8" s="1531">
        <f t="shared" si="3"/>
        <v>303194990.20740741</v>
      </c>
      <c r="AC8" s="1531">
        <f t="shared" si="3"/>
        <v>314636310.5925926</v>
      </c>
    </row>
    <row r="9" spans="1:29" outlineLevel="2">
      <c r="A9" s="1532" t="s">
        <v>29</v>
      </c>
      <c r="B9" s="1533">
        <v>0</v>
      </c>
      <c r="C9" s="1533"/>
      <c r="D9" s="1534">
        <f t="shared" ref="D9:AC9" si="4">$B$9*D2</f>
        <v>0</v>
      </c>
      <c r="E9" s="1534">
        <f t="shared" si="4"/>
        <v>0</v>
      </c>
      <c r="F9" s="1534">
        <f t="shared" si="4"/>
        <v>0</v>
      </c>
      <c r="G9" s="1534">
        <f t="shared" si="4"/>
        <v>0</v>
      </c>
      <c r="H9" s="1534">
        <f t="shared" si="4"/>
        <v>0</v>
      </c>
      <c r="I9" s="1534">
        <f t="shared" si="4"/>
        <v>0</v>
      </c>
      <c r="J9" s="1534">
        <f t="shared" si="4"/>
        <v>0</v>
      </c>
      <c r="K9" s="1534">
        <f t="shared" si="4"/>
        <v>0</v>
      </c>
      <c r="L9" s="1534">
        <f t="shared" si="4"/>
        <v>0</v>
      </c>
      <c r="M9" s="1534">
        <f t="shared" si="4"/>
        <v>0</v>
      </c>
      <c r="N9" s="1534">
        <f t="shared" si="4"/>
        <v>0</v>
      </c>
      <c r="O9" s="1534">
        <f t="shared" si="4"/>
        <v>0</v>
      </c>
      <c r="P9" s="1534">
        <f t="shared" si="4"/>
        <v>0</v>
      </c>
      <c r="Q9" s="1534">
        <f t="shared" si="4"/>
        <v>0</v>
      </c>
      <c r="R9" s="1534">
        <f t="shared" si="4"/>
        <v>0</v>
      </c>
      <c r="S9" s="1534">
        <f t="shared" si="4"/>
        <v>0</v>
      </c>
      <c r="T9" s="1534">
        <f t="shared" si="4"/>
        <v>0</v>
      </c>
      <c r="U9" s="1534">
        <f t="shared" si="4"/>
        <v>0</v>
      </c>
      <c r="V9" s="1534">
        <f t="shared" si="4"/>
        <v>0</v>
      </c>
      <c r="W9" s="1534">
        <f t="shared" si="4"/>
        <v>0</v>
      </c>
      <c r="X9" s="1534">
        <f t="shared" si="4"/>
        <v>0</v>
      </c>
      <c r="Y9" s="1534">
        <f t="shared" si="4"/>
        <v>0</v>
      </c>
      <c r="Z9" s="1534">
        <f t="shared" si="4"/>
        <v>0</v>
      </c>
      <c r="AA9" s="1534">
        <f t="shared" si="4"/>
        <v>0</v>
      </c>
      <c r="AB9" s="1534">
        <f t="shared" si="4"/>
        <v>0</v>
      </c>
      <c r="AC9" s="1534">
        <f t="shared" si="4"/>
        <v>0</v>
      </c>
    </row>
    <row r="10" spans="1:29" outlineLevel="2">
      <c r="A10" s="1532" t="s">
        <v>88</v>
      </c>
      <c r="B10" s="1533">
        <f>'Мес. программа'!O56</f>
        <v>1459.2592592592594</v>
      </c>
      <c r="C10" s="1533"/>
      <c r="D10" s="1534">
        <f t="shared" ref="D10:AC10" si="5">$B$10*D2</f>
        <v>72962.962962962964</v>
      </c>
      <c r="E10" s="1534">
        <f t="shared" si="5"/>
        <v>102148.14814814816</v>
      </c>
      <c r="F10" s="1534">
        <f t="shared" si="5"/>
        <v>131333.33333333334</v>
      </c>
      <c r="G10" s="1534">
        <f t="shared" si="5"/>
        <v>160518.51851851854</v>
      </c>
      <c r="H10" s="1534">
        <f t="shared" si="5"/>
        <v>189703.70370370371</v>
      </c>
      <c r="I10" s="1534">
        <f t="shared" si="5"/>
        <v>218888.88888888891</v>
      </c>
      <c r="J10" s="1534">
        <f t="shared" si="5"/>
        <v>248074.0740740741</v>
      </c>
      <c r="K10" s="1534">
        <f t="shared" si="5"/>
        <v>277259.25925925927</v>
      </c>
      <c r="L10" s="1534">
        <f t="shared" si="5"/>
        <v>306444.44444444444</v>
      </c>
      <c r="M10" s="1534">
        <f t="shared" si="5"/>
        <v>335629.62962962966</v>
      </c>
      <c r="N10" s="1534">
        <f t="shared" si="5"/>
        <v>364814.81481481483</v>
      </c>
      <c r="O10" s="1534">
        <f t="shared" si="5"/>
        <v>394000</v>
      </c>
      <c r="P10" s="1534">
        <f t="shared" si="5"/>
        <v>423185.18518518523</v>
      </c>
      <c r="Q10" s="1534">
        <f t="shared" si="5"/>
        <v>452370.37037037039</v>
      </c>
      <c r="R10" s="1534">
        <f t="shared" si="5"/>
        <v>481555.55555555556</v>
      </c>
      <c r="S10" s="1534">
        <f t="shared" si="5"/>
        <v>510740.74074074079</v>
      </c>
      <c r="T10" s="1534">
        <f t="shared" si="5"/>
        <v>539925.92592592596</v>
      </c>
      <c r="U10" s="1534">
        <f t="shared" si="5"/>
        <v>569111.11111111112</v>
      </c>
      <c r="V10" s="1534">
        <f t="shared" si="5"/>
        <v>598296.29629629629</v>
      </c>
      <c r="W10" s="1534">
        <f t="shared" si="5"/>
        <v>627481.48148148158</v>
      </c>
      <c r="X10" s="1534">
        <f t="shared" si="5"/>
        <v>656666.66666666674</v>
      </c>
      <c r="Y10" s="1534">
        <f t="shared" si="5"/>
        <v>685851.85185185191</v>
      </c>
      <c r="Z10" s="1534">
        <f t="shared" si="5"/>
        <v>715037.03703703708</v>
      </c>
      <c r="AA10" s="1534">
        <f t="shared" si="5"/>
        <v>744222.22222222225</v>
      </c>
      <c r="AB10" s="1534">
        <f t="shared" si="5"/>
        <v>773407.40740740742</v>
      </c>
      <c r="AC10" s="1534">
        <f t="shared" si="5"/>
        <v>802592.5925925927</v>
      </c>
    </row>
    <row r="11" spans="1:29" outlineLevel="2">
      <c r="A11" s="1532" t="s">
        <v>31</v>
      </c>
      <c r="B11" s="1533">
        <f>'Расходы помесячно (План-Факт)'!BK70</f>
        <v>570606.76</v>
      </c>
      <c r="C11" s="1533"/>
      <c r="D11" s="1534">
        <f t="shared" ref="D11:AC11" si="6">$B$11*D2</f>
        <v>28530338</v>
      </c>
      <c r="E11" s="1534">
        <f t="shared" si="6"/>
        <v>39942473.200000003</v>
      </c>
      <c r="F11" s="1534">
        <f t="shared" si="6"/>
        <v>51354608.399999999</v>
      </c>
      <c r="G11" s="1534">
        <f t="shared" si="6"/>
        <v>62766743.600000001</v>
      </c>
      <c r="H11" s="1534">
        <f t="shared" si="6"/>
        <v>74178878.799999997</v>
      </c>
      <c r="I11" s="1534">
        <f t="shared" si="6"/>
        <v>85591014</v>
      </c>
      <c r="J11" s="1534">
        <f t="shared" si="6"/>
        <v>97003149.200000003</v>
      </c>
      <c r="K11" s="1534">
        <f t="shared" si="6"/>
        <v>108415284.40000001</v>
      </c>
      <c r="L11" s="1534">
        <f t="shared" si="6"/>
        <v>119827419.60000001</v>
      </c>
      <c r="M11" s="1534">
        <f t="shared" si="6"/>
        <v>131239554.8</v>
      </c>
      <c r="N11" s="1534">
        <f t="shared" si="6"/>
        <v>142651690</v>
      </c>
      <c r="O11" s="1534">
        <f t="shared" si="6"/>
        <v>154063825.19999999</v>
      </c>
      <c r="P11" s="1534">
        <f t="shared" si="6"/>
        <v>165475960.40000001</v>
      </c>
      <c r="Q11" s="1534">
        <f t="shared" si="6"/>
        <v>176888095.59999999</v>
      </c>
      <c r="R11" s="1534">
        <f t="shared" si="6"/>
        <v>188300230.80000001</v>
      </c>
      <c r="S11" s="1534">
        <f t="shared" si="6"/>
        <v>199712366</v>
      </c>
      <c r="T11" s="1534">
        <f t="shared" si="6"/>
        <v>211124501.20000002</v>
      </c>
      <c r="U11" s="1534">
        <f t="shared" si="6"/>
        <v>222536636.40000001</v>
      </c>
      <c r="V11" s="1534">
        <f t="shared" si="6"/>
        <v>233948771.59999999</v>
      </c>
      <c r="W11" s="1534">
        <f t="shared" si="6"/>
        <v>245360906.80000001</v>
      </c>
      <c r="X11" s="1534">
        <f t="shared" si="6"/>
        <v>256773042</v>
      </c>
      <c r="Y11" s="1534">
        <f t="shared" si="6"/>
        <v>268185177.20000002</v>
      </c>
      <c r="Z11" s="1534">
        <f t="shared" si="6"/>
        <v>279597312.39999998</v>
      </c>
      <c r="AA11" s="1534">
        <f t="shared" si="6"/>
        <v>291009447.60000002</v>
      </c>
      <c r="AB11" s="1534">
        <f t="shared" si="6"/>
        <v>302421582.80000001</v>
      </c>
      <c r="AC11" s="1534">
        <f t="shared" si="6"/>
        <v>313833718</v>
      </c>
    </row>
    <row r="12" spans="1:29" outlineLevel="2">
      <c r="A12" s="1532" t="s">
        <v>105</v>
      </c>
      <c r="B12" s="1533">
        <v>0</v>
      </c>
      <c r="C12" s="1533"/>
      <c r="D12" s="1534">
        <f t="shared" ref="D12:AC12" si="7">$B$12*D2</f>
        <v>0</v>
      </c>
      <c r="E12" s="1534">
        <f t="shared" si="7"/>
        <v>0</v>
      </c>
      <c r="F12" s="1534">
        <f t="shared" si="7"/>
        <v>0</v>
      </c>
      <c r="G12" s="1534">
        <f t="shared" si="7"/>
        <v>0</v>
      </c>
      <c r="H12" s="1534">
        <f t="shared" si="7"/>
        <v>0</v>
      </c>
      <c r="I12" s="1534">
        <f t="shared" si="7"/>
        <v>0</v>
      </c>
      <c r="J12" s="1534">
        <f t="shared" si="7"/>
        <v>0</v>
      </c>
      <c r="K12" s="1534">
        <f t="shared" si="7"/>
        <v>0</v>
      </c>
      <c r="L12" s="1534">
        <f t="shared" si="7"/>
        <v>0</v>
      </c>
      <c r="M12" s="1534">
        <f t="shared" si="7"/>
        <v>0</v>
      </c>
      <c r="N12" s="1534">
        <f t="shared" si="7"/>
        <v>0</v>
      </c>
      <c r="O12" s="1534">
        <f t="shared" si="7"/>
        <v>0</v>
      </c>
      <c r="P12" s="1534">
        <f t="shared" si="7"/>
        <v>0</v>
      </c>
      <c r="Q12" s="1534">
        <f t="shared" si="7"/>
        <v>0</v>
      </c>
      <c r="R12" s="1534">
        <f t="shared" si="7"/>
        <v>0</v>
      </c>
      <c r="S12" s="1534">
        <f t="shared" si="7"/>
        <v>0</v>
      </c>
      <c r="T12" s="1534">
        <f t="shared" si="7"/>
        <v>0</v>
      </c>
      <c r="U12" s="1534">
        <f t="shared" si="7"/>
        <v>0</v>
      </c>
      <c r="V12" s="1534">
        <f t="shared" si="7"/>
        <v>0</v>
      </c>
      <c r="W12" s="1534">
        <f t="shared" si="7"/>
        <v>0</v>
      </c>
      <c r="X12" s="1534">
        <f t="shared" si="7"/>
        <v>0</v>
      </c>
      <c r="Y12" s="1534">
        <f t="shared" si="7"/>
        <v>0</v>
      </c>
      <c r="Z12" s="1534">
        <f t="shared" si="7"/>
        <v>0</v>
      </c>
      <c r="AA12" s="1534">
        <f t="shared" si="7"/>
        <v>0</v>
      </c>
      <c r="AB12" s="1534">
        <f t="shared" si="7"/>
        <v>0</v>
      </c>
      <c r="AC12" s="1534">
        <f t="shared" si="7"/>
        <v>0</v>
      </c>
    </row>
    <row r="13" spans="1:29" ht="56.25" outlineLevel="1">
      <c r="A13" s="1530" t="s">
        <v>1086</v>
      </c>
      <c r="B13" s="1531">
        <f>SUM(B14:B16)</f>
        <v>47729.909773673207</v>
      </c>
      <c r="C13" s="1531"/>
      <c r="D13" s="1531">
        <f t="shared" ref="D13:AC13" si="8">SUM(D14:D16)</f>
        <v>2733909.2817871086</v>
      </c>
      <c r="E13" s="1531">
        <f t="shared" si="8"/>
        <v>3827472.9945019521</v>
      </c>
      <c r="F13" s="1531">
        <f t="shared" si="8"/>
        <v>4921036.7072167955</v>
      </c>
      <c r="G13" s="1531">
        <f t="shared" si="8"/>
        <v>6014600.419931639</v>
      </c>
      <c r="H13" s="1531">
        <f t="shared" si="8"/>
        <v>7108164.1326464824</v>
      </c>
      <c r="I13" s="1531">
        <f t="shared" si="8"/>
        <v>8201727.8453613259</v>
      </c>
      <c r="J13" s="1531">
        <f t="shared" si="8"/>
        <v>9295291.5580761693</v>
      </c>
      <c r="K13" s="1531">
        <f t="shared" si="8"/>
        <v>10388855.270791013</v>
      </c>
      <c r="L13" s="1531">
        <f t="shared" si="8"/>
        <v>11482418.983505856</v>
      </c>
      <c r="M13" s="1531">
        <f t="shared" si="8"/>
        <v>12575982.6962207</v>
      </c>
      <c r="N13" s="1531">
        <f t="shared" si="8"/>
        <v>13669546.408935543</v>
      </c>
      <c r="O13" s="1531">
        <f t="shared" si="8"/>
        <v>14763110.121650387</v>
      </c>
      <c r="P13" s="1531">
        <f t="shared" si="8"/>
        <v>15856673.83436523</v>
      </c>
      <c r="Q13" s="1531">
        <f t="shared" si="8"/>
        <v>16950237.547080077</v>
      </c>
      <c r="R13" s="1531">
        <f t="shared" si="8"/>
        <v>18043801.259794917</v>
      </c>
      <c r="S13" s="1531">
        <f t="shared" si="8"/>
        <v>19137364.97250976</v>
      </c>
      <c r="T13" s="1531">
        <f t="shared" si="8"/>
        <v>20230928.685224604</v>
      </c>
      <c r="U13" s="1531">
        <f t="shared" si="8"/>
        <v>21324492.397939447</v>
      </c>
      <c r="V13" s="1531">
        <f t="shared" si="8"/>
        <v>22418056.110654291</v>
      </c>
      <c r="W13" s="1531">
        <f t="shared" si="8"/>
        <v>23511619.823369134</v>
      </c>
      <c r="X13" s="1531">
        <f t="shared" si="8"/>
        <v>24605183.536083978</v>
      </c>
      <c r="Y13" s="1531">
        <f t="shared" si="8"/>
        <v>25698747.248798821</v>
      </c>
      <c r="Z13" s="1531">
        <f t="shared" si="8"/>
        <v>26792310.961513665</v>
      </c>
      <c r="AA13" s="1531">
        <f t="shared" si="8"/>
        <v>27885874.674228508</v>
      </c>
      <c r="AB13" s="1531">
        <f t="shared" si="8"/>
        <v>28979438.386943351</v>
      </c>
      <c r="AC13" s="1531">
        <f t="shared" si="8"/>
        <v>30073002.099658195</v>
      </c>
    </row>
    <row r="14" spans="1:29" outlineLevel="2">
      <c r="A14" s="1532" t="s">
        <v>1087</v>
      </c>
      <c r="B14" s="1533">
        <v>46500</v>
      </c>
      <c r="C14" s="1533">
        <f>B14*B5</f>
        <v>53448.275862068964</v>
      </c>
      <c r="D14" s="1534">
        <f t="shared" ref="D14:AC14" si="9">$C$14*D2</f>
        <v>2672413.7931034481</v>
      </c>
      <c r="E14" s="1534">
        <f t="shared" si="9"/>
        <v>3741379.3103448274</v>
      </c>
      <c r="F14" s="1534">
        <f t="shared" si="9"/>
        <v>4810344.8275862066</v>
      </c>
      <c r="G14" s="1534">
        <f t="shared" si="9"/>
        <v>5879310.3448275859</v>
      </c>
      <c r="H14" s="1534">
        <f t="shared" si="9"/>
        <v>6948275.8620689651</v>
      </c>
      <c r="I14" s="1534">
        <f t="shared" si="9"/>
        <v>8017241.3793103443</v>
      </c>
      <c r="J14" s="1534">
        <f t="shared" si="9"/>
        <v>9086206.8965517245</v>
      </c>
      <c r="K14" s="1534">
        <f t="shared" si="9"/>
        <v>10155172.413793104</v>
      </c>
      <c r="L14" s="1534">
        <f t="shared" si="9"/>
        <v>11224137.931034483</v>
      </c>
      <c r="M14" s="1534">
        <f t="shared" si="9"/>
        <v>12293103.448275862</v>
      </c>
      <c r="N14" s="1534">
        <f t="shared" si="9"/>
        <v>13362068.965517242</v>
      </c>
      <c r="O14" s="1534">
        <f t="shared" si="9"/>
        <v>14431034.482758621</v>
      </c>
      <c r="P14" s="1534">
        <f t="shared" si="9"/>
        <v>15500000</v>
      </c>
      <c r="Q14" s="1534">
        <f t="shared" si="9"/>
        <v>16568965.517241379</v>
      </c>
      <c r="R14" s="1534">
        <f t="shared" si="9"/>
        <v>17637931.034482758</v>
      </c>
      <c r="S14" s="1534">
        <f t="shared" si="9"/>
        <v>18706896.551724136</v>
      </c>
      <c r="T14" s="1534">
        <f t="shared" si="9"/>
        <v>19775862.068965517</v>
      </c>
      <c r="U14" s="1534">
        <f t="shared" si="9"/>
        <v>20844827.586206894</v>
      </c>
      <c r="V14" s="1534">
        <f t="shared" si="9"/>
        <v>21913793.103448275</v>
      </c>
      <c r="W14" s="1534">
        <f t="shared" si="9"/>
        <v>22982758.620689653</v>
      </c>
      <c r="X14" s="1534">
        <f t="shared" si="9"/>
        <v>24051724.137931034</v>
      </c>
      <c r="Y14" s="1534">
        <f t="shared" si="9"/>
        <v>25120689.655172411</v>
      </c>
      <c r="Z14" s="1534">
        <f t="shared" si="9"/>
        <v>26189655.172413792</v>
      </c>
      <c r="AA14" s="1534">
        <f t="shared" si="9"/>
        <v>27258620.68965517</v>
      </c>
      <c r="AB14" s="1534">
        <f t="shared" si="9"/>
        <v>28327586.206896551</v>
      </c>
      <c r="AC14" s="1534">
        <f t="shared" si="9"/>
        <v>29396551.724137928</v>
      </c>
    </row>
    <row r="15" spans="1:29" outlineLevel="2">
      <c r="A15" s="1532" t="s">
        <v>25</v>
      </c>
      <c r="B15" s="1533">
        <v>800</v>
      </c>
      <c r="C15" s="1533"/>
      <c r="D15" s="1534">
        <f t="shared" ref="D15:AC15" si="10">$B$15*D2</f>
        <v>40000</v>
      </c>
      <c r="E15" s="1534">
        <f t="shared" si="10"/>
        <v>56000</v>
      </c>
      <c r="F15" s="1534">
        <f t="shared" si="10"/>
        <v>72000</v>
      </c>
      <c r="G15" s="1534">
        <f t="shared" si="10"/>
        <v>88000</v>
      </c>
      <c r="H15" s="1534">
        <f t="shared" si="10"/>
        <v>104000</v>
      </c>
      <c r="I15" s="1534">
        <f t="shared" si="10"/>
        <v>120000</v>
      </c>
      <c r="J15" s="1534">
        <f t="shared" si="10"/>
        <v>136000</v>
      </c>
      <c r="K15" s="1534">
        <f t="shared" si="10"/>
        <v>152000</v>
      </c>
      <c r="L15" s="1534">
        <f t="shared" si="10"/>
        <v>168000</v>
      </c>
      <c r="M15" s="1534">
        <f t="shared" si="10"/>
        <v>184000</v>
      </c>
      <c r="N15" s="1534">
        <f t="shared" si="10"/>
        <v>200000</v>
      </c>
      <c r="O15" s="1534">
        <f t="shared" si="10"/>
        <v>216000</v>
      </c>
      <c r="P15" s="1534">
        <f t="shared" si="10"/>
        <v>232000</v>
      </c>
      <c r="Q15" s="1534">
        <f t="shared" si="10"/>
        <v>248000</v>
      </c>
      <c r="R15" s="1534">
        <f t="shared" si="10"/>
        <v>264000</v>
      </c>
      <c r="S15" s="1534">
        <f t="shared" si="10"/>
        <v>280000</v>
      </c>
      <c r="T15" s="1534">
        <f t="shared" si="10"/>
        <v>296000</v>
      </c>
      <c r="U15" s="1534">
        <f t="shared" si="10"/>
        <v>312000</v>
      </c>
      <c r="V15" s="1534">
        <f t="shared" si="10"/>
        <v>328000</v>
      </c>
      <c r="W15" s="1534">
        <f t="shared" si="10"/>
        <v>344000</v>
      </c>
      <c r="X15" s="1534">
        <f t="shared" si="10"/>
        <v>360000</v>
      </c>
      <c r="Y15" s="1534">
        <f t="shared" si="10"/>
        <v>376000</v>
      </c>
      <c r="Z15" s="1534">
        <f t="shared" si="10"/>
        <v>392000</v>
      </c>
      <c r="AA15" s="1534">
        <f t="shared" si="10"/>
        <v>408000</v>
      </c>
      <c r="AB15" s="1534">
        <f t="shared" si="10"/>
        <v>424000</v>
      </c>
      <c r="AC15" s="1534">
        <f t="shared" si="10"/>
        <v>440000</v>
      </c>
    </row>
    <row r="16" spans="1:29" outlineLevel="2">
      <c r="A16" s="1532" t="s">
        <v>26</v>
      </c>
      <c r="B16" s="1533">
        <f>'Расходы помесячно (План-Факт)'!BK46</f>
        <v>429.90977367321028</v>
      </c>
      <c r="C16" s="1533"/>
      <c r="D16" s="1534">
        <f t="shared" ref="D16:AC16" si="11">$B$16*D2</f>
        <v>21495.488683660515</v>
      </c>
      <c r="E16" s="1534">
        <f t="shared" si="11"/>
        <v>30093.684157124721</v>
      </c>
      <c r="F16" s="1534">
        <f t="shared" si="11"/>
        <v>38691.879630588926</v>
      </c>
      <c r="G16" s="1534">
        <f t="shared" si="11"/>
        <v>47290.075104053132</v>
      </c>
      <c r="H16" s="1534">
        <f t="shared" si="11"/>
        <v>55888.270577517338</v>
      </c>
      <c r="I16" s="1534">
        <f t="shared" si="11"/>
        <v>64486.466050981544</v>
      </c>
      <c r="J16" s="1534">
        <f t="shared" si="11"/>
        <v>73084.66152444575</v>
      </c>
      <c r="K16" s="1534">
        <f t="shared" si="11"/>
        <v>81682.856997909956</v>
      </c>
      <c r="L16" s="1534">
        <f t="shared" si="11"/>
        <v>90281.052471374162</v>
      </c>
      <c r="M16" s="1534">
        <f t="shared" si="11"/>
        <v>98879.247944838367</v>
      </c>
      <c r="N16" s="1534">
        <f t="shared" si="11"/>
        <v>107477.44341830257</v>
      </c>
      <c r="O16" s="1534">
        <f t="shared" si="11"/>
        <v>116075.63889176678</v>
      </c>
      <c r="P16" s="1534">
        <f t="shared" si="11"/>
        <v>124673.83436523098</v>
      </c>
      <c r="Q16" s="1534">
        <f t="shared" si="11"/>
        <v>133272.02983869519</v>
      </c>
      <c r="R16" s="1534">
        <f t="shared" si="11"/>
        <v>141870.2253121594</v>
      </c>
      <c r="S16" s="1534">
        <f t="shared" si="11"/>
        <v>150468.4207856236</v>
      </c>
      <c r="T16" s="1534">
        <f t="shared" si="11"/>
        <v>159066.61625908781</v>
      </c>
      <c r="U16" s="1534">
        <f t="shared" si="11"/>
        <v>167664.81173255201</v>
      </c>
      <c r="V16" s="1534">
        <f t="shared" si="11"/>
        <v>176263.00720601622</v>
      </c>
      <c r="W16" s="1534">
        <f t="shared" si="11"/>
        <v>184861.20267948043</v>
      </c>
      <c r="X16" s="1534">
        <f t="shared" si="11"/>
        <v>193459.39815294463</v>
      </c>
      <c r="Y16" s="1534">
        <f t="shared" si="11"/>
        <v>202057.59362640884</v>
      </c>
      <c r="Z16" s="1534">
        <f t="shared" si="11"/>
        <v>210655.78909987304</v>
      </c>
      <c r="AA16" s="1534">
        <f t="shared" si="11"/>
        <v>219253.98457333725</v>
      </c>
      <c r="AB16" s="1534">
        <f t="shared" si="11"/>
        <v>227852.18004680146</v>
      </c>
      <c r="AC16" s="1534">
        <f t="shared" si="11"/>
        <v>236450.37552026566</v>
      </c>
    </row>
    <row r="17" spans="1:29">
      <c r="A17" s="1528" t="s">
        <v>122</v>
      </c>
      <c r="B17" s="1529"/>
      <c r="C17" s="1529"/>
      <c r="D17" s="1535">
        <f t="shared" ref="D17:AC17" si="12">SUM(D18:D19)</f>
        <v>3245280.0455555553</v>
      </c>
      <c r="E17" s="1535">
        <f t="shared" si="12"/>
        <v>3245280.0455555553</v>
      </c>
      <c r="F17" s="1535">
        <f t="shared" si="12"/>
        <v>3245280.0455555553</v>
      </c>
      <c r="G17" s="1535">
        <f t="shared" si="12"/>
        <v>3245280.0455555553</v>
      </c>
      <c r="H17" s="1535">
        <f t="shared" si="12"/>
        <v>3245280.0455555553</v>
      </c>
      <c r="I17" s="1535">
        <f t="shared" si="12"/>
        <v>3245280.0455555553</v>
      </c>
      <c r="J17" s="1535">
        <f t="shared" si="12"/>
        <v>3245280.0455555553</v>
      </c>
      <c r="K17" s="1535">
        <f t="shared" si="12"/>
        <v>3245280.0455555553</v>
      </c>
      <c r="L17" s="1535">
        <f t="shared" si="12"/>
        <v>3245280.0455555553</v>
      </c>
      <c r="M17" s="1535">
        <f t="shared" si="12"/>
        <v>3245280.0455555553</v>
      </c>
      <c r="N17" s="1535">
        <f t="shared" si="12"/>
        <v>3245280.0455555553</v>
      </c>
      <c r="O17" s="1535">
        <f t="shared" si="12"/>
        <v>3245280.0455555553</v>
      </c>
      <c r="P17" s="1535">
        <f t="shared" si="12"/>
        <v>3245280.0455555553</v>
      </c>
      <c r="Q17" s="1535">
        <f t="shared" si="12"/>
        <v>3245280.0455555553</v>
      </c>
      <c r="R17" s="1535">
        <f t="shared" si="12"/>
        <v>3245280.0455555553</v>
      </c>
      <c r="S17" s="1535">
        <f t="shared" si="12"/>
        <v>3245280.0455555553</v>
      </c>
      <c r="T17" s="1535">
        <f t="shared" si="12"/>
        <v>3245280.0455555553</v>
      </c>
      <c r="U17" s="1535">
        <f t="shared" si="12"/>
        <v>3245280.0455555553</v>
      </c>
      <c r="V17" s="1535">
        <f t="shared" si="12"/>
        <v>3245280.0455555553</v>
      </c>
      <c r="W17" s="1535">
        <f t="shared" si="12"/>
        <v>3245280.0455555553</v>
      </c>
      <c r="X17" s="1535">
        <f t="shared" si="12"/>
        <v>3245280.0455555553</v>
      </c>
      <c r="Y17" s="1535">
        <f t="shared" si="12"/>
        <v>3245280.0455555553</v>
      </c>
      <c r="Z17" s="1535">
        <f t="shared" si="12"/>
        <v>3245280.0455555553</v>
      </c>
      <c r="AA17" s="1535">
        <f t="shared" si="12"/>
        <v>3245280.0455555553</v>
      </c>
      <c r="AB17" s="1535">
        <f t="shared" si="12"/>
        <v>3245280.0455555553</v>
      </c>
      <c r="AC17" s="1535">
        <f t="shared" si="12"/>
        <v>3245280.0455555553</v>
      </c>
    </row>
    <row r="18" spans="1:29" outlineLevel="1">
      <c r="A18" s="1530" t="s">
        <v>124</v>
      </c>
      <c r="B18" s="1531">
        <f>'Мес. программа'!B66</f>
        <v>2106854.7966666664</v>
      </c>
      <c r="C18" s="1531">
        <f>B18/B3</f>
        <v>5365.689748025372</v>
      </c>
      <c r="D18" s="1536">
        <f t="shared" ref="D18:AC18" si="13">$B$18</f>
        <v>2106854.7966666664</v>
      </c>
      <c r="E18" s="1536">
        <f t="shared" si="13"/>
        <v>2106854.7966666664</v>
      </c>
      <c r="F18" s="1536">
        <f t="shared" si="13"/>
        <v>2106854.7966666664</v>
      </c>
      <c r="G18" s="1536">
        <f t="shared" si="13"/>
        <v>2106854.7966666664</v>
      </c>
      <c r="H18" s="1536">
        <f t="shared" si="13"/>
        <v>2106854.7966666664</v>
      </c>
      <c r="I18" s="1536">
        <f t="shared" si="13"/>
        <v>2106854.7966666664</v>
      </c>
      <c r="J18" s="1536">
        <f t="shared" si="13"/>
        <v>2106854.7966666664</v>
      </c>
      <c r="K18" s="1536">
        <f t="shared" si="13"/>
        <v>2106854.7966666664</v>
      </c>
      <c r="L18" s="1536">
        <f t="shared" si="13"/>
        <v>2106854.7966666664</v>
      </c>
      <c r="M18" s="1536">
        <f t="shared" si="13"/>
        <v>2106854.7966666664</v>
      </c>
      <c r="N18" s="1536">
        <f t="shared" si="13"/>
        <v>2106854.7966666664</v>
      </c>
      <c r="O18" s="1536">
        <f t="shared" si="13"/>
        <v>2106854.7966666664</v>
      </c>
      <c r="P18" s="1536">
        <f t="shared" si="13"/>
        <v>2106854.7966666664</v>
      </c>
      <c r="Q18" s="1536">
        <f t="shared" si="13"/>
        <v>2106854.7966666664</v>
      </c>
      <c r="R18" s="1536">
        <f t="shared" si="13"/>
        <v>2106854.7966666664</v>
      </c>
      <c r="S18" s="1536">
        <f t="shared" si="13"/>
        <v>2106854.7966666664</v>
      </c>
      <c r="T18" s="1536">
        <f t="shared" si="13"/>
        <v>2106854.7966666664</v>
      </c>
      <c r="U18" s="1536">
        <f t="shared" si="13"/>
        <v>2106854.7966666664</v>
      </c>
      <c r="V18" s="1536">
        <f t="shared" si="13"/>
        <v>2106854.7966666664</v>
      </c>
      <c r="W18" s="1536">
        <f t="shared" si="13"/>
        <v>2106854.7966666664</v>
      </c>
      <c r="X18" s="1536">
        <f t="shared" si="13"/>
        <v>2106854.7966666664</v>
      </c>
      <c r="Y18" s="1536">
        <f t="shared" si="13"/>
        <v>2106854.7966666664</v>
      </c>
      <c r="Z18" s="1536">
        <f t="shared" si="13"/>
        <v>2106854.7966666664</v>
      </c>
      <c r="AA18" s="1536">
        <f t="shared" si="13"/>
        <v>2106854.7966666664</v>
      </c>
      <c r="AB18" s="1536">
        <f t="shared" si="13"/>
        <v>2106854.7966666664</v>
      </c>
      <c r="AC18" s="1536">
        <f t="shared" si="13"/>
        <v>2106854.7966666664</v>
      </c>
    </row>
    <row r="19" spans="1:29" outlineLevel="1">
      <c r="A19" s="1530" t="s">
        <v>170</v>
      </c>
      <c r="B19" s="1531">
        <f>'Мес. программа'!B68</f>
        <v>1138425.2488888889</v>
      </c>
      <c r="C19" s="1531">
        <f>B19/B3</f>
        <v>2899.3154613790798</v>
      </c>
      <c r="D19" s="1536">
        <f t="shared" ref="D19:AC19" si="14">$B$19</f>
        <v>1138425.2488888889</v>
      </c>
      <c r="E19" s="1536">
        <f t="shared" si="14"/>
        <v>1138425.2488888889</v>
      </c>
      <c r="F19" s="1536">
        <f t="shared" si="14"/>
        <v>1138425.2488888889</v>
      </c>
      <c r="G19" s="1536">
        <f t="shared" si="14"/>
        <v>1138425.2488888889</v>
      </c>
      <c r="H19" s="1536">
        <f t="shared" si="14"/>
        <v>1138425.2488888889</v>
      </c>
      <c r="I19" s="1536">
        <f t="shared" si="14"/>
        <v>1138425.2488888889</v>
      </c>
      <c r="J19" s="1536">
        <f t="shared" si="14"/>
        <v>1138425.2488888889</v>
      </c>
      <c r="K19" s="1536">
        <f t="shared" si="14"/>
        <v>1138425.2488888889</v>
      </c>
      <c r="L19" s="1536">
        <f t="shared" si="14"/>
        <v>1138425.2488888889</v>
      </c>
      <c r="M19" s="1536">
        <f t="shared" si="14"/>
        <v>1138425.2488888889</v>
      </c>
      <c r="N19" s="1536">
        <f t="shared" si="14"/>
        <v>1138425.2488888889</v>
      </c>
      <c r="O19" s="1536">
        <f t="shared" si="14"/>
        <v>1138425.2488888889</v>
      </c>
      <c r="P19" s="1536">
        <f t="shared" si="14"/>
        <v>1138425.2488888889</v>
      </c>
      <c r="Q19" s="1536">
        <f t="shared" si="14"/>
        <v>1138425.2488888889</v>
      </c>
      <c r="R19" s="1536">
        <f t="shared" si="14"/>
        <v>1138425.2488888889</v>
      </c>
      <c r="S19" s="1536">
        <f t="shared" si="14"/>
        <v>1138425.2488888889</v>
      </c>
      <c r="T19" s="1536">
        <f t="shared" si="14"/>
        <v>1138425.2488888889</v>
      </c>
      <c r="U19" s="1536">
        <f t="shared" si="14"/>
        <v>1138425.2488888889</v>
      </c>
      <c r="V19" s="1536">
        <f t="shared" si="14"/>
        <v>1138425.2488888889</v>
      </c>
      <c r="W19" s="1536">
        <f t="shared" si="14"/>
        <v>1138425.2488888889</v>
      </c>
      <c r="X19" s="1536">
        <f t="shared" si="14"/>
        <v>1138425.2488888889</v>
      </c>
      <c r="Y19" s="1536">
        <f t="shared" si="14"/>
        <v>1138425.2488888889</v>
      </c>
      <c r="Z19" s="1536">
        <f t="shared" si="14"/>
        <v>1138425.2488888889</v>
      </c>
      <c r="AA19" s="1536">
        <f t="shared" si="14"/>
        <v>1138425.2488888889</v>
      </c>
      <c r="AB19" s="1536">
        <f t="shared" si="14"/>
        <v>1138425.2488888889</v>
      </c>
      <c r="AC19" s="1536">
        <f t="shared" si="14"/>
        <v>1138425.2488888889</v>
      </c>
    </row>
  </sheetData>
  <sheetProtection selectLockedCells="1" selectUnlockedCells="1"/>
  <pageMargins left="0.7" right="0.7" top="0.75" bottom="0.75" header="0.51180555555555551" footer="0.51180555555555551"/>
  <pageSetup firstPageNumber="0"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dimension ref="A1:BU31"/>
  <sheetViews>
    <sheetView zoomScale="90" zoomScaleNormal="90" workbookViewId="0"/>
  </sheetViews>
  <sheetFormatPr defaultRowHeight="12.75" outlineLevelRow="1" outlineLevelCol="1"/>
  <cols>
    <col min="1" max="1" width="41.7109375" style="889" customWidth="1"/>
    <col min="2" max="2" width="6.28515625" style="889" customWidth="1"/>
    <col min="3" max="3" width="7" style="889" customWidth="1"/>
    <col min="4" max="4" width="4.140625" style="889" customWidth="1"/>
    <col min="5" max="5" width="10.5703125" style="889" customWidth="1" outlineLevel="1"/>
    <col min="6" max="6" width="10.7109375" style="889" customWidth="1" outlineLevel="1"/>
    <col min="7" max="7" width="9.85546875" style="889" customWidth="1" outlineLevel="1"/>
    <col min="8" max="9" width="9.85546875" style="1537" customWidth="1" outlineLevel="1"/>
    <col min="10" max="10" width="9.85546875" style="889" customWidth="1" outlineLevel="1"/>
    <col min="11" max="11" width="4.140625" style="889" customWidth="1"/>
    <col min="12" max="17" width="9.85546875" style="889" customWidth="1" outlineLevel="1"/>
    <col min="18" max="18" width="4.140625" style="889" customWidth="1"/>
    <col min="19" max="24" width="9.85546875" style="889" customWidth="1" outlineLevel="1"/>
    <col min="25" max="25" width="4.140625" style="889" customWidth="1"/>
    <col min="26" max="26" width="13.140625" style="889" customWidth="1" outlineLevel="1"/>
    <col min="27" max="31" width="9.85546875" style="889" customWidth="1" outlineLevel="1"/>
    <col min="32" max="32" width="4.140625" style="889" customWidth="1"/>
    <col min="33" max="38" width="9.85546875" style="889" customWidth="1" outlineLevel="1"/>
    <col min="39" max="39" width="4.140625" style="889" customWidth="1"/>
    <col min="40" max="45" width="9.85546875" style="889" customWidth="1" outlineLevel="1"/>
    <col min="46" max="46" width="4.140625" style="889" customWidth="1"/>
    <col min="47" max="47" width="11.140625" style="889" customWidth="1" outlineLevel="1"/>
    <col min="48" max="52" width="9.85546875" style="889" customWidth="1" outlineLevel="1"/>
    <col min="53" max="53" width="4.42578125" style="889" customWidth="1"/>
    <col min="54" max="59" width="9.85546875" style="889" customWidth="1" outlineLevel="1"/>
    <col min="60" max="60" width="9.140625" style="889"/>
    <col min="61" max="61" width="10.5703125" style="889" customWidth="1"/>
    <col min="62" max="67" width="9.140625" style="889"/>
    <col min="68" max="69" width="10.5703125" style="889" customWidth="1"/>
    <col min="70" max="16384" width="9.140625" style="889"/>
  </cols>
  <sheetData>
    <row r="1" spans="1:73" ht="15">
      <c r="A1" s="894" t="s">
        <v>452</v>
      </c>
      <c r="H1" s="889"/>
      <c r="I1" s="889"/>
      <c r="Z1" s="1537"/>
    </row>
    <row r="2" spans="1:73">
      <c r="A2" s="1538"/>
      <c r="B2" s="897"/>
      <c r="C2" s="1539" t="s">
        <v>1088</v>
      </c>
      <c r="D2" s="1540">
        <v>150</v>
      </c>
      <c r="E2" s="1541"/>
      <c r="F2" s="1542" t="s">
        <v>1089</v>
      </c>
      <c r="G2" s="1542"/>
      <c r="H2" s="1542"/>
      <c r="I2" s="1542"/>
      <c r="J2" s="1543"/>
      <c r="K2" s="1544">
        <v>160</v>
      </c>
      <c r="L2" s="1541"/>
      <c r="M2" s="1542" t="s">
        <v>1090</v>
      </c>
      <c r="N2" s="1542"/>
      <c r="O2" s="1542"/>
      <c r="P2" s="1542"/>
      <c r="Q2" s="1543"/>
      <c r="R2" s="1544">
        <v>170</v>
      </c>
      <c r="S2" s="1541"/>
      <c r="T2" s="1542" t="s">
        <v>1091</v>
      </c>
      <c r="U2" s="1542"/>
      <c r="V2" s="1542"/>
      <c r="W2" s="1542"/>
      <c r="X2" s="1543"/>
      <c r="Y2" s="1544">
        <v>180</v>
      </c>
      <c r="Z2" s="1541"/>
      <c r="AA2" s="1542" t="s">
        <v>1092</v>
      </c>
      <c r="AB2" s="1542"/>
      <c r="AC2" s="1542"/>
      <c r="AD2" s="1542"/>
      <c r="AE2" s="1543"/>
      <c r="AF2" s="1544">
        <v>190</v>
      </c>
      <c r="AG2" s="1541"/>
      <c r="AH2" s="1542" t="s">
        <v>1093</v>
      </c>
      <c r="AI2" s="1542"/>
      <c r="AJ2" s="1542"/>
      <c r="AK2" s="1542"/>
      <c r="AL2" s="1543"/>
      <c r="AM2" s="1544">
        <v>200</v>
      </c>
      <c r="AN2" s="1541"/>
      <c r="AO2" s="1542" t="s">
        <v>1094</v>
      </c>
      <c r="AP2" s="1542"/>
      <c r="AQ2" s="1542"/>
      <c r="AR2" s="1542"/>
      <c r="AS2" s="1543"/>
      <c r="AT2" s="1544">
        <v>210</v>
      </c>
      <c r="AU2" s="1541"/>
      <c r="AV2" s="1542" t="s">
        <v>1095</v>
      </c>
      <c r="AW2" s="1542"/>
      <c r="AX2" s="1542"/>
      <c r="AY2" s="1542"/>
      <c r="AZ2" s="1543"/>
      <c r="BA2" s="1544">
        <v>260</v>
      </c>
      <c r="BB2" s="1541"/>
      <c r="BC2" s="1542" t="s">
        <v>1096</v>
      </c>
      <c r="BD2" s="1542"/>
      <c r="BE2" s="1542"/>
      <c r="BF2" s="1542"/>
      <c r="BG2" s="1543"/>
      <c r="BH2" s="1544">
        <v>290</v>
      </c>
      <c r="BI2" s="1541"/>
      <c r="BJ2" s="1542">
        <v>290</v>
      </c>
      <c r="BK2" s="1542"/>
      <c r="BL2" s="1542"/>
      <c r="BM2" s="1542"/>
      <c r="BN2" s="1543"/>
      <c r="BO2" s="1544">
        <v>300</v>
      </c>
      <c r="BP2" s="1541"/>
      <c r="BQ2" s="1542">
        <v>300</v>
      </c>
      <c r="BR2" s="1542"/>
      <c r="BS2" s="1542"/>
      <c r="BT2" s="1542"/>
      <c r="BU2" s="1543"/>
    </row>
    <row r="3" spans="1:73">
      <c r="A3" s="1545" t="s">
        <v>460</v>
      </c>
      <c r="B3" s="1546"/>
      <c r="C3" s="1547"/>
      <c r="D3" s="1548"/>
      <c r="E3" s="1549" t="s">
        <v>517</v>
      </c>
      <c r="F3" s="1550" t="s">
        <v>518</v>
      </c>
      <c r="G3" s="1550" t="s">
        <v>519</v>
      </c>
      <c r="H3" s="1551" t="s">
        <v>1097</v>
      </c>
      <c r="I3" s="1552" t="s">
        <v>1098</v>
      </c>
      <c r="J3" s="1552" t="s">
        <v>1099</v>
      </c>
      <c r="K3" s="1548"/>
      <c r="L3" s="1549" t="s">
        <v>517</v>
      </c>
      <c r="M3" s="1550" t="s">
        <v>518</v>
      </c>
      <c r="N3" s="1550" t="s">
        <v>519</v>
      </c>
      <c r="O3" s="1551" t="s">
        <v>1097</v>
      </c>
      <c r="P3" s="1552" t="s">
        <v>1098</v>
      </c>
      <c r="Q3" s="1552" t="s">
        <v>1099</v>
      </c>
      <c r="R3" s="1548"/>
      <c r="S3" s="1549" t="s">
        <v>517</v>
      </c>
      <c r="T3" s="1550" t="s">
        <v>518</v>
      </c>
      <c r="U3" s="1550" t="s">
        <v>519</v>
      </c>
      <c r="V3" s="1551" t="s">
        <v>1097</v>
      </c>
      <c r="W3" s="1552" t="s">
        <v>1098</v>
      </c>
      <c r="X3" s="1552" t="s">
        <v>1099</v>
      </c>
      <c r="Y3" s="1548"/>
      <c r="Z3" s="1549" t="s">
        <v>517</v>
      </c>
      <c r="AA3" s="1550" t="s">
        <v>518</v>
      </c>
      <c r="AB3" s="1550" t="s">
        <v>519</v>
      </c>
      <c r="AC3" s="1551" t="s">
        <v>1097</v>
      </c>
      <c r="AD3" s="1552" t="s">
        <v>1098</v>
      </c>
      <c r="AE3" s="1552" t="s">
        <v>1099</v>
      </c>
      <c r="AF3" s="1548"/>
      <c r="AG3" s="1549" t="s">
        <v>517</v>
      </c>
      <c r="AH3" s="1550" t="s">
        <v>518</v>
      </c>
      <c r="AI3" s="1550" t="s">
        <v>519</v>
      </c>
      <c r="AJ3" s="1551" t="s">
        <v>1097</v>
      </c>
      <c r="AK3" s="1552" t="s">
        <v>1098</v>
      </c>
      <c r="AL3" s="1552" t="s">
        <v>1099</v>
      </c>
      <c r="AM3" s="1548"/>
      <c r="AN3" s="1549" t="s">
        <v>517</v>
      </c>
      <c r="AO3" s="1550" t="s">
        <v>518</v>
      </c>
      <c r="AP3" s="1550" t="s">
        <v>519</v>
      </c>
      <c r="AQ3" s="1551" t="s">
        <v>1097</v>
      </c>
      <c r="AR3" s="1552" t="s">
        <v>1098</v>
      </c>
      <c r="AS3" s="1552" t="s">
        <v>1099</v>
      </c>
      <c r="AT3" s="1548"/>
      <c r="AU3" s="1549" t="s">
        <v>517</v>
      </c>
      <c r="AV3" s="1550" t="s">
        <v>518</v>
      </c>
      <c r="AW3" s="1550" t="s">
        <v>519</v>
      </c>
      <c r="AX3" s="1551" t="s">
        <v>1097</v>
      </c>
      <c r="AY3" s="1552" t="s">
        <v>1098</v>
      </c>
      <c r="AZ3" s="1552" t="s">
        <v>1099</v>
      </c>
      <c r="BA3" s="1548"/>
      <c r="BB3" s="1549" t="s">
        <v>517</v>
      </c>
      <c r="BC3" s="1550" t="s">
        <v>518</v>
      </c>
      <c r="BD3" s="1550" t="s">
        <v>519</v>
      </c>
      <c r="BE3" s="1551" t="s">
        <v>1097</v>
      </c>
      <c r="BF3" s="1552" t="s">
        <v>1098</v>
      </c>
      <c r="BG3" s="1552" t="s">
        <v>1099</v>
      </c>
      <c r="BH3" s="1548"/>
      <c r="BI3" s="1549" t="s">
        <v>517</v>
      </c>
      <c r="BJ3" s="1550" t="s">
        <v>518</v>
      </c>
      <c r="BK3" s="1550" t="s">
        <v>519</v>
      </c>
      <c r="BL3" s="1551" t="s">
        <v>1097</v>
      </c>
      <c r="BM3" s="1552" t="s">
        <v>1098</v>
      </c>
      <c r="BN3" s="1552" t="s">
        <v>1099</v>
      </c>
      <c r="BO3" s="1548"/>
      <c r="BP3" s="1549" t="s">
        <v>517</v>
      </c>
      <c r="BQ3" s="1550" t="s">
        <v>518</v>
      </c>
      <c r="BR3" s="1550" t="s">
        <v>519</v>
      </c>
      <c r="BS3" s="1551" t="s">
        <v>1097</v>
      </c>
      <c r="BT3" s="1552" t="s">
        <v>1098</v>
      </c>
      <c r="BU3" s="1552" t="s">
        <v>1099</v>
      </c>
    </row>
    <row r="4" spans="1:73" ht="15">
      <c r="A4" s="1553" t="s">
        <v>470</v>
      </c>
      <c r="B4" s="1554" t="s">
        <v>471</v>
      </c>
      <c r="C4" s="1555">
        <v>32.39</v>
      </c>
      <c r="D4" s="1556"/>
      <c r="E4" s="1557">
        <v>1840</v>
      </c>
      <c r="F4" s="1558"/>
      <c r="G4" s="1558"/>
      <c r="H4" s="1559"/>
      <c r="I4" s="1560"/>
      <c r="J4" s="1560"/>
      <c r="K4" s="1556"/>
      <c r="L4" s="1557">
        <v>2150</v>
      </c>
      <c r="M4" s="1558"/>
      <c r="N4" s="1558"/>
      <c r="O4" s="1559"/>
      <c r="P4" s="1560"/>
      <c r="Q4" s="1560"/>
      <c r="R4" s="1556"/>
      <c r="S4" s="1557">
        <v>2150</v>
      </c>
      <c r="T4" s="1558"/>
      <c r="U4" s="1558"/>
      <c r="V4" s="1559"/>
      <c r="W4" s="1560"/>
      <c r="X4" s="1560"/>
      <c r="Y4" s="1556"/>
      <c r="Z4" s="1557">
        <v>1900</v>
      </c>
      <c r="AA4" s="1558"/>
      <c r="AB4" s="1558"/>
      <c r="AC4" s="1559"/>
      <c r="AD4" s="1560"/>
      <c r="AE4" s="1560"/>
      <c r="AF4" s="1556"/>
      <c r="AG4" s="1557">
        <v>1900</v>
      </c>
      <c r="AH4" s="1558"/>
      <c r="AI4" s="1558"/>
      <c r="AJ4" s="1559"/>
      <c r="AK4" s="1560"/>
      <c r="AL4" s="1560"/>
      <c r="AM4" s="1556"/>
      <c r="AN4" s="1557">
        <v>1740</v>
      </c>
      <c r="AO4" s="1558"/>
      <c r="AP4" s="1558"/>
      <c r="AQ4" s="1559"/>
      <c r="AR4" s="1560"/>
      <c r="AS4" s="1560"/>
      <c r="AT4" s="1556"/>
      <c r="AU4" s="1557">
        <v>1740</v>
      </c>
      <c r="AV4" s="1558"/>
      <c r="AW4" s="1558"/>
      <c r="AX4" s="1559"/>
      <c r="AY4" s="1560"/>
      <c r="AZ4" s="1560"/>
      <c r="BA4" s="1556"/>
      <c r="BB4" s="1557">
        <v>1740</v>
      </c>
      <c r="BC4" s="1558"/>
      <c r="BD4" s="1558"/>
      <c r="BE4" s="1559"/>
      <c r="BF4" s="1560"/>
      <c r="BG4" s="1560"/>
      <c r="BH4" s="1556"/>
      <c r="BI4" s="1557">
        <v>1740</v>
      </c>
      <c r="BJ4" s="1558"/>
      <c r="BK4" s="1558"/>
      <c r="BL4" s="1559"/>
      <c r="BM4" s="1560"/>
      <c r="BN4" s="1560"/>
      <c r="BO4" s="1556"/>
      <c r="BP4" s="1557">
        <v>1740</v>
      </c>
      <c r="BQ4" s="1558"/>
      <c r="BR4" s="1558"/>
      <c r="BS4" s="1559"/>
      <c r="BT4" s="1560"/>
      <c r="BU4" s="1560"/>
    </row>
    <row r="5" spans="1:73" s="1565" customFormat="1" ht="15" outlineLevel="1">
      <c r="A5" s="1561" t="s">
        <v>472</v>
      </c>
      <c r="B5" s="1554"/>
      <c r="C5" s="1562">
        <v>0</v>
      </c>
      <c r="D5" s="1556"/>
      <c r="E5" s="1563">
        <f>(E4*$C4)+(E4*$C4)*$C$5</f>
        <v>59597.599999999999</v>
      </c>
      <c r="F5" s="1564">
        <v>73000</v>
      </c>
      <c r="G5" s="1564">
        <v>69620</v>
      </c>
      <c r="H5" s="1564">
        <v>75000</v>
      </c>
      <c r="I5" s="1564">
        <v>85000</v>
      </c>
      <c r="J5" s="1564">
        <v>77000</v>
      </c>
      <c r="K5" s="1556"/>
      <c r="L5" s="1563">
        <f>(L4*$C4)+(L4*$C4)*$C$5</f>
        <v>69638.5</v>
      </c>
      <c r="M5" s="1564">
        <v>73000</v>
      </c>
      <c r="N5" s="1564">
        <v>63000</v>
      </c>
      <c r="O5" s="1564">
        <v>84032</v>
      </c>
      <c r="P5" s="1564">
        <v>85000</v>
      </c>
      <c r="Q5" s="1564">
        <v>77000</v>
      </c>
      <c r="R5" s="1556"/>
      <c r="S5" s="1563">
        <f>(S4*$C4)+(S4*$C4)*$C$5</f>
        <v>69638.5</v>
      </c>
      <c r="T5" s="1564">
        <v>73000</v>
      </c>
      <c r="U5" s="1564">
        <v>63000</v>
      </c>
      <c r="V5" s="1564">
        <v>84032</v>
      </c>
      <c r="W5" s="1564">
        <v>85000</v>
      </c>
      <c r="X5" s="1564">
        <v>77000</v>
      </c>
      <c r="Y5" s="1556"/>
      <c r="Z5" s="1563">
        <f>(Z4*$C4)+(Z4*$C4)*$C$5</f>
        <v>61541</v>
      </c>
      <c r="AA5" s="1564">
        <v>73000</v>
      </c>
      <c r="AB5" s="1564">
        <v>63000</v>
      </c>
      <c r="AC5" s="1564">
        <v>71000</v>
      </c>
      <c r="AD5" s="1564">
        <v>85000</v>
      </c>
      <c r="AE5" s="1564">
        <v>77000</v>
      </c>
      <c r="AF5" s="1556"/>
      <c r="AG5" s="1563">
        <f>(AG4*$C4)+(AG4*$C4)*$C$5</f>
        <v>61541</v>
      </c>
      <c r="AH5" s="1564">
        <v>73000</v>
      </c>
      <c r="AI5" s="1564">
        <v>69620</v>
      </c>
      <c r="AJ5" s="1564">
        <v>75000</v>
      </c>
      <c r="AK5" s="1564">
        <v>85000</v>
      </c>
      <c r="AL5" s="1564">
        <v>77000</v>
      </c>
      <c r="AM5" s="1556"/>
      <c r="AN5" s="1563">
        <f>(AN4*$C4)+(AN4*$C4)*$C$5</f>
        <v>56358.6</v>
      </c>
      <c r="AO5" s="1564">
        <v>73000</v>
      </c>
      <c r="AP5" s="1564">
        <v>63000</v>
      </c>
      <c r="AQ5" s="1564">
        <v>86000</v>
      </c>
      <c r="AR5" s="1564">
        <v>68829</v>
      </c>
      <c r="AS5" s="1564">
        <v>77000</v>
      </c>
      <c r="AT5" s="1556"/>
      <c r="AU5" s="1563">
        <f>(AU4*$C4)+(AU4*$C4)*$C$5</f>
        <v>56358.6</v>
      </c>
      <c r="AV5" s="1564">
        <v>73000</v>
      </c>
      <c r="AW5" s="1564">
        <v>63000</v>
      </c>
      <c r="AX5" s="1564">
        <v>84032</v>
      </c>
      <c r="AY5" s="1564">
        <v>85000</v>
      </c>
      <c r="AZ5" s="1564">
        <v>77000</v>
      </c>
      <c r="BA5" s="1556"/>
      <c r="BB5" s="1563">
        <f>(BB4*$C4)+(BB4*$C4)*$C$5</f>
        <v>56358.6</v>
      </c>
      <c r="BC5" s="1564">
        <v>73000</v>
      </c>
      <c r="BD5" s="1564">
        <v>63000</v>
      </c>
      <c r="BE5" s="1564">
        <v>86000</v>
      </c>
      <c r="BF5" s="1564">
        <v>85000</v>
      </c>
      <c r="BG5" s="1564">
        <v>77000</v>
      </c>
      <c r="BH5" s="1556"/>
      <c r="BI5" s="1563">
        <f>(BI4*$C4)+(BI4*$C4)*$C$5</f>
        <v>56358.6</v>
      </c>
      <c r="BJ5" s="1564">
        <v>73000</v>
      </c>
      <c r="BK5" s="1564">
        <v>63000</v>
      </c>
      <c r="BL5" s="1564">
        <v>86000</v>
      </c>
      <c r="BM5" s="1564">
        <v>85000</v>
      </c>
      <c r="BN5" s="1564">
        <v>77000</v>
      </c>
      <c r="BO5" s="1556"/>
      <c r="BP5" s="1563">
        <f>(BP4*$C4)+(BP4*$C4)*$C$5</f>
        <v>56358.6</v>
      </c>
      <c r="BQ5" s="1564">
        <v>73000</v>
      </c>
      <c r="BR5" s="1564">
        <v>63000</v>
      </c>
      <c r="BS5" s="1564">
        <v>86000</v>
      </c>
      <c r="BT5" s="1564">
        <v>85000</v>
      </c>
      <c r="BU5" s="1564">
        <v>77000</v>
      </c>
    </row>
    <row r="6" spans="1:73" s="1565" customFormat="1" ht="14.25" outlineLevel="1">
      <c r="A6" s="1566" t="s">
        <v>474</v>
      </c>
      <c r="B6" s="1567"/>
      <c r="C6" s="1568"/>
      <c r="D6" s="1569"/>
      <c r="E6" s="1570">
        <v>50000</v>
      </c>
      <c r="F6" s="1571">
        <v>50000</v>
      </c>
      <c r="G6" s="1571">
        <v>50000</v>
      </c>
      <c r="H6" s="1571">
        <v>50000</v>
      </c>
      <c r="I6" s="1571">
        <v>50000</v>
      </c>
      <c r="J6" s="1571">
        <v>50000</v>
      </c>
      <c r="K6" s="1569"/>
      <c r="L6" s="1570">
        <v>51000</v>
      </c>
      <c r="M6" s="1571">
        <v>51000</v>
      </c>
      <c r="N6" s="1571">
        <v>51000</v>
      </c>
      <c r="O6" s="1571">
        <v>71000</v>
      </c>
      <c r="P6" s="1571">
        <v>51000</v>
      </c>
      <c r="Q6" s="1571">
        <v>51000</v>
      </c>
      <c r="R6" s="1569"/>
      <c r="S6" s="1570">
        <v>51000</v>
      </c>
      <c r="T6" s="1571">
        <v>51000</v>
      </c>
      <c r="U6" s="1571">
        <v>51000</v>
      </c>
      <c r="V6" s="1571">
        <v>71000</v>
      </c>
      <c r="W6" s="1571">
        <v>51000</v>
      </c>
      <c r="X6" s="1571">
        <v>51000</v>
      </c>
      <c r="Y6" s="1569"/>
      <c r="Z6" s="1570">
        <v>44500</v>
      </c>
      <c r="AA6" s="1571">
        <v>51000</v>
      </c>
      <c r="AB6" s="1571">
        <v>47500</v>
      </c>
      <c r="AC6" s="1571">
        <v>58427</v>
      </c>
      <c r="AD6" s="1571">
        <v>51000</v>
      </c>
      <c r="AE6" s="1571">
        <v>51000</v>
      </c>
      <c r="AF6" s="1569"/>
      <c r="AG6" s="1570">
        <v>49860</v>
      </c>
      <c r="AH6" s="1571">
        <v>51000</v>
      </c>
      <c r="AI6" s="1571">
        <v>50103</v>
      </c>
      <c r="AJ6" s="1571">
        <v>62000</v>
      </c>
      <c r="AK6" s="1571">
        <v>51000</v>
      </c>
      <c r="AL6" s="1571">
        <v>62000</v>
      </c>
      <c r="AM6" s="1569"/>
      <c r="AN6" s="1570">
        <v>45000</v>
      </c>
      <c r="AO6" s="1571">
        <v>52000</v>
      </c>
      <c r="AP6" s="1571">
        <v>51000</v>
      </c>
      <c r="AQ6" s="1571">
        <v>69000</v>
      </c>
      <c r="AR6" s="1571">
        <v>45000</v>
      </c>
      <c r="AS6" s="1571">
        <v>51000</v>
      </c>
      <c r="AT6" s="1569"/>
      <c r="AU6" s="1570">
        <v>42500</v>
      </c>
      <c r="AV6" s="1571">
        <v>51000</v>
      </c>
      <c r="AW6" s="1571">
        <v>51000</v>
      </c>
      <c r="AX6" s="1571">
        <v>71000</v>
      </c>
      <c r="AY6" s="1571">
        <v>51000</v>
      </c>
      <c r="AZ6" s="1571">
        <v>51000</v>
      </c>
      <c r="BA6" s="1569"/>
      <c r="BB6" s="1570">
        <v>43500</v>
      </c>
      <c r="BC6" s="1571">
        <v>51000</v>
      </c>
      <c r="BD6" s="1571">
        <v>51000</v>
      </c>
      <c r="BE6" s="1571">
        <v>69000</v>
      </c>
      <c r="BF6" s="1571">
        <v>51000</v>
      </c>
      <c r="BG6" s="1571">
        <v>51000</v>
      </c>
      <c r="BH6" s="1569"/>
      <c r="BI6" s="1570">
        <v>43500</v>
      </c>
      <c r="BJ6" s="1571">
        <v>51000</v>
      </c>
      <c r="BK6" s="1571">
        <v>51000</v>
      </c>
      <c r="BL6" s="1571">
        <v>69000</v>
      </c>
      <c r="BM6" s="1571">
        <v>51000</v>
      </c>
      <c r="BN6" s="1571">
        <v>51000</v>
      </c>
      <c r="BO6" s="1569"/>
      <c r="BP6" s="1570">
        <v>43500</v>
      </c>
      <c r="BQ6" s="1571">
        <v>51000</v>
      </c>
      <c r="BR6" s="1571">
        <v>51000</v>
      </c>
      <c r="BS6" s="1571">
        <v>69000</v>
      </c>
      <c r="BT6" s="1571">
        <v>51000</v>
      </c>
      <c r="BU6" s="1571">
        <v>51000</v>
      </c>
    </row>
    <row r="7" spans="1:73" s="970" customFormat="1" outlineLevel="1">
      <c r="A7" s="1572" t="s">
        <v>482</v>
      </c>
      <c r="B7" s="1573"/>
      <c r="C7" s="1574"/>
      <c r="D7" s="1575"/>
      <c r="E7" s="1576">
        <v>0.87</v>
      </c>
      <c r="F7" s="1577">
        <v>0.88</v>
      </c>
      <c r="G7" s="1577">
        <v>0.86</v>
      </c>
      <c r="H7" s="1577">
        <v>0.95</v>
      </c>
      <c r="I7" s="1577">
        <v>0.88</v>
      </c>
      <c r="J7" s="1577">
        <v>0.94</v>
      </c>
      <c r="K7" s="1575"/>
      <c r="L7" s="1576">
        <v>0.87</v>
      </c>
      <c r="M7" s="1577">
        <v>0.88</v>
      </c>
      <c r="N7" s="1577">
        <v>0.86</v>
      </c>
      <c r="O7" s="1577">
        <v>0.95</v>
      </c>
      <c r="P7" s="1577">
        <v>0.88</v>
      </c>
      <c r="Q7" s="1577">
        <v>0.94</v>
      </c>
      <c r="R7" s="1575"/>
      <c r="S7" s="1576">
        <v>0.87</v>
      </c>
      <c r="T7" s="1577">
        <v>0.88</v>
      </c>
      <c r="U7" s="1577">
        <v>0.86</v>
      </c>
      <c r="V7" s="1577">
        <v>0.95</v>
      </c>
      <c r="W7" s="1577">
        <v>0.88</v>
      </c>
      <c r="X7" s="1577">
        <v>0.94</v>
      </c>
      <c r="Y7" s="1575"/>
      <c r="Z7" s="1576">
        <v>0.87</v>
      </c>
      <c r="AA7" s="1577">
        <v>0.88</v>
      </c>
      <c r="AB7" s="1577">
        <v>0.86</v>
      </c>
      <c r="AC7" s="1577">
        <v>0.95</v>
      </c>
      <c r="AD7" s="1577">
        <v>0.88</v>
      </c>
      <c r="AE7" s="1577">
        <v>0.94</v>
      </c>
      <c r="AF7" s="1575"/>
      <c r="AG7" s="1576">
        <v>0.87</v>
      </c>
      <c r="AH7" s="1577">
        <v>0.88</v>
      </c>
      <c r="AI7" s="1577">
        <v>0.86</v>
      </c>
      <c r="AJ7" s="1577">
        <v>0.95</v>
      </c>
      <c r="AK7" s="1577">
        <v>0.88</v>
      </c>
      <c r="AL7" s="1577">
        <v>0.94</v>
      </c>
      <c r="AM7" s="1575"/>
      <c r="AN7" s="1576">
        <v>0.87</v>
      </c>
      <c r="AO7" s="1577">
        <v>0.88</v>
      </c>
      <c r="AP7" s="1577">
        <v>0.86</v>
      </c>
      <c r="AQ7" s="1577">
        <v>0.95</v>
      </c>
      <c r="AR7" s="1577">
        <v>0.88</v>
      </c>
      <c r="AS7" s="1577">
        <v>0.94</v>
      </c>
      <c r="AT7" s="1575"/>
      <c r="AU7" s="1576">
        <v>0.87</v>
      </c>
      <c r="AV7" s="1577">
        <v>0.88</v>
      </c>
      <c r="AW7" s="1577">
        <v>0.86</v>
      </c>
      <c r="AX7" s="1577">
        <v>0.95</v>
      </c>
      <c r="AY7" s="1577">
        <v>0.88</v>
      </c>
      <c r="AZ7" s="1577">
        <v>0.94</v>
      </c>
      <c r="BA7" s="1575"/>
      <c r="BB7" s="1576">
        <v>0.87</v>
      </c>
      <c r="BC7" s="1577">
        <v>0.88</v>
      </c>
      <c r="BD7" s="1577">
        <v>0.86</v>
      </c>
      <c r="BE7" s="1577">
        <v>0.95</v>
      </c>
      <c r="BF7" s="1577">
        <v>0.88</v>
      </c>
      <c r="BG7" s="1577">
        <v>0.94</v>
      </c>
      <c r="BH7" s="1575"/>
      <c r="BI7" s="1576">
        <v>0.87</v>
      </c>
      <c r="BJ7" s="1577">
        <v>0.88</v>
      </c>
      <c r="BK7" s="1577">
        <v>0.86</v>
      </c>
      <c r="BL7" s="1577">
        <v>0.95</v>
      </c>
      <c r="BM7" s="1577">
        <v>0.88</v>
      </c>
      <c r="BN7" s="1577">
        <v>0.94</v>
      </c>
      <c r="BO7" s="1575"/>
      <c r="BP7" s="1576">
        <v>0.87</v>
      </c>
      <c r="BQ7" s="1577">
        <v>0.88</v>
      </c>
      <c r="BR7" s="1577">
        <v>0.86</v>
      </c>
      <c r="BS7" s="1577">
        <v>0.95</v>
      </c>
      <c r="BT7" s="1577">
        <v>0.88</v>
      </c>
      <c r="BU7" s="1577">
        <v>0.94</v>
      </c>
    </row>
    <row r="8" spans="1:73" s="970" customFormat="1" outlineLevel="1">
      <c r="A8" s="1572" t="s">
        <v>483</v>
      </c>
      <c r="B8" s="1573"/>
      <c r="C8" s="1574"/>
      <c r="D8" s="1575"/>
      <c r="E8" s="1578">
        <f t="shared" ref="E8:J8" si="0">IF(E7="",0,ROUND((1000/E7)/1000,3))</f>
        <v>1.149</v>
      </c>
      <c r="F8" s="1579">
        <f t="shared" si="0"/>
        <v>1.1359999999999999</v>
      </c>
      <c r="G8" s="1579">
        <f t="shared" si="0"/>
        <v>1.163</v>
      </c>
      <c r="H8" s="1579">
        <f t="shared" si="0"/>
        <v>1.0529999999999999</v>
      </c>
      <c r="I8" s="1579">
        <f t="shared" si="0"/>
        <v>1.1359999999999999</v>
      </c>
      <c r="J8" s="1579">
        <f t="shared" si="0"/>
        <v>1.0640000000000001</v>
      </c>
      <c r="K8" s="1575"/>
      <c r="L8" s="1578">
        <f t="shared" ref="L8:Q8" si="1">IF(L7="",0,ROUND((1000/L7)/1000,3))</f>
        <v>1.149</v>
      </c>
      <c r="M8" s="1579">
        <f t="shared" si="1"/>
        <v>1.1359999999999999</v>
      </c>
      <c r="N8" s="1579">
        <f t="shared" si="1"/>
        <v>1.163</v>
      </c>
      <c r="O8" s="1579">
        <f t="shared" si="1"/>
        <v>1.0529999999999999</v>
      </c>
      <c r="P8" s="1579">
        <f t="shared" si="1"/>
        <v>1.1359999999999999</v>
      </c>
      <c r="Q8" s="1579">
        <f t="shared" si="1"/>
        <v>1.0640000000000001</v>
      </c>
      <c r="R8" s="1575"/>
      <c r="S8" s="1578">
        <f t="shared" ref="S8:X8" si="2">IF(S7="",0,ROUND((1000/S7)/1000,3))</f>
        <v>1.149</v>
      </c>
      <c r="T8" s="1579">
        <f t="shared" si="2"/>
        <v>1.1359999999999999</v>
      </c>
      <c r="U8" s="1579">
        <f t="shared" si="2"/>
        <v>1.163</v>
      </c>
      <c r="V8" s="1579">
        <f t="shared" si="2"/>
        <v>1.0529999999999999</v>
      </c>
      <c r="W8" s="1579">
        <f t="shared" si="2"/>
        <v>1.1359999999999999</v>
      </c>
      <c r="X8" s="1579">
        <f t="shared" si="2"/>
        <v>1.0640000000000001</v>
      </c>
      <c r="Y8" s="1575"/>
      <c r="Z8" s="1578">
        <f t="shared" ref="Z8:AE8" si="3">IF(Z7="",0,ROUND((1000/Z7)/1000,3))</f>
        <v>1.149</v>
      </c>
      <c r="AA8" s="1579">
        <f t="shared" si="3"/>
        <v>1.1359999999999999</v>
      </c>
      <c r="AB8" s="1579">
        <f t="shared" si="3"/>
        <v>1.163</v>
      </c>
      <c r="AC8" s="1579">
        <f t="shared" si="3"/>
        <v>1.0529999999999999</v>
      </c>
      <c r="AD8" s="1579">
        <f t="shared" si="3"/>
        <v>1.1359999999999999</v>
      </c>
      <c r="AE8" s="1579">
        <f t="shared" si="3"/>
        <v>1.0640000000000001</v>
      </c>
      <c r="AF8" s="1575"/>
      <c r="AG8" s="1578">
        <f t="shared" ref="AG8:AL8" si="4">IF(AG7="",0,ROUND((1000/AG7)/1000,3))</f>
        <v>1.149</v>
      </c>
      <c r="AH8" s="1579">
        <f t="shared" si="4"/>
        <v>1.1359999999999999</v>
      </c>
      <c r="AI8" s="1579">
        <f t="shared" si="4"/>
        <v>1.163</v>
      </c>
      <c r="AJ8" s="1579">
        <f t="shared" si="4"/>
        <v>1.0529999999999999</v>
      </c>
      <c r="AK8" s="1579">
        <f t="shared" si="4"/>
        <v>1.1359999999999999</v>
      </c>
      <c r="AL8" s="1579">
        <f t="shared" si="4"/>
        <v>1.0640000000000001</v>
      </c>
      <c r="AM8" s="1575"/>
      <c r="AN8" s="1578">
        <f t="shared" ref="AN8:AS8" si="5">IF(AN7="",0,ROUND((1000/AN7)/1000,3))</f>
        <v>1.149</v>
      </c>
      <c r="AO8" s="1579">
        <f t="shared" si="5"/>
        <v>1.1359999999999999</v>
      </c>
      <c r="AP8" s="1579">
        <f t="shared" si="5"/>
        <v>1.163</v>
      </c>
      <c r="AQ8" s="1579">
        <f t="shared" si="5"/>
        <v>1.0529999999999999</v>
      </c>
      <c r="AR8" s="1579">
        <f t="shared" si="5"/>
        <v>1.1359999999999999</v>
      </c>
      <c r="AS8" s="1579">
        <f t="shared" si="5"/>
        <v>1.0640000000000001</v>
      </c>
      <c r="AT8" s="1575"/>
      <c r="AU8" s="1578">
        <f t="shared" ref="AU8:AZ8" si="6">IF(AU7="",0,ROUND((1000/AU7)/1000,3))</f>
        <v>1.149</v>
      </c>
      <c r="AV8" s="1579">
        <f t="shared" si="6"/>
        <v>1.1359999999999999</v>
      </c>
      <c r="AW8" s="1579">
        <f t="shared" si="6"/>
        <v>1.163</v>
      </c>
      <c r="AX8" s="1579">
        <f t="shared" si="6"/>
        <v>1.0529999999999999</v>
      </c>
      <c r="AY8" s="1579">
        <f t="shared" si="6"/>
        <v>1.1359999999999999</v>
      </c>
      <c r="AZ8" s="1579">
        <f t="shared" si="6"/>
        <v>1.0640000000000001</v>
      </c>
      <c r="BA8" s="1575"/>
      <c r="BB8" s="1578">
        <f t="shared" ref="BB8:BG8" si="7">IF(BB7="",0,ROUND((1000/BB7)/1000,3))</f>
        <v>1.149</v>
      </c>
      <c r="BC8" s="1579">
        <f t="shared" si="7"/>
        <v>1.1359999999999999</v>
      </c>
      <c r="BD8" s="1579">
        <f t="shared" si="7"/>
        <v>1.163</v>
      </c>
      <c r="BE8" s="1579">
        <f t="shared" si="7"/>
        <v>1.0529999999999999</v>
      </c>
      <c r="BF8" s="1579">
        <f t="shared" si="7"/>
        <v>1.1359999999999999</v>
      </c>
      <c r="BG8" s="1579">
        <f t="shared" si="7"/>
        <v>1.0640000000000001</v>
      </c>
      <c r="BH8" s="1575"/>
      <c r="BI8" s="1578">
        <f t="shared" ref="BI8:BN8" si="8">IF(BI7="",0,ROUND((1000/BI7)/1000,3))</f>
        <v>1.149</v>
      </c>
      <c r="BJ8" s="1579">
        <f t="shared" si="8"/>
        <v>1.1359999999999999</v>
      </c>
      <c r="BK8" s="1579">
        <f t="shared" si="8"/>
        <v>1.163</v>
      </c>
      <c r="BL8" s="1579">
        <f t="shared" si="8"/>
        <v>1.0529999999999999</v>
      </c>
      <c r="BM8" s="1579">
        <f t="shared" si="8"/>
        <v>1.1359999999999999</v>
      </c>
      <c r="BN8" s="1579">
        <f t="shared" si="8"/>
        <v>1.0640000000000001</v>
      </c>
      <c r="BO8" s="1575"/>
      <c r="BP8" s="1578">
        <f t="shared" ref="BP8:BU8" si="9">IF(BP7="",0,ROUND((1000/BP7)/1000,3))</f>
        <v>1.149</v>
      </c>
      <c r="BQ8" s="1579">
        <f t="shared" si="9"/>
        <v>1.1359999999999999</v>
      </c>
      <c r="BR8" s="1579">
        <f t="shared" si="9"/>
        <v>1.163</v>
      </c>
      <c r="BS8" s="1579">
        <f t="shared" si="9"/>
        <v>1.0529999999999999</v>
      </c>
      <c r="BT8" s="1579">
        <f t="shared" si="9"/>
        <v>1.1359999999999999</v>
      </c>
      <c r="BU8" s="1579">
        <f t="shared" si="9"/>
        <v>1.0640000000000001</v>
      </c>
    </row>
    <row r="9" spans="1:73" s="1586" customFormat="1" outlineLevel="1">
      <c r="A9" s="1580" t="s">
        <v>1100</v>
      </c>
      <c r="B9" s="1581"/>
      <c r="C9" s="1582"/>
      <c r="D9" s="1583"/>
      <c r="E9" s="1584" t="e">
        <f t="shared" ref="E9:J9" si="10">SUM(E10:E14)</f>
        <v>#REF!</v>
      </c>
      <c r="F9" s="1585" t="e">
        <f t="shared" si="10"/>
        <v>#REF!</v>
      </c>
      <c r="G9" s="1585" t="e">
        <f t="shared" si="10"/>
        <v>#REF!</v>
      </c>
      <c r="H9" s="1585" t="e">
        <f t="shared" si="10"/>
        <v>#REF!</v>
      </c>
      <c r="I9" s="1585" t="e">
        <f t="shared" si="10"/>
        <v>#REF!</v>
      </c>
      <c r="J9" s="1585" t="e">
        <f t="shared" si="10"/>
        <v>#REF!</v>
      </c>
      <c r="K9" s="1583"/>
      <c r="L9" s="1584" t="e">
        <f t="shared" ref="L9:Q9" si="11">SUM(L10:L14)</f>
        <v>#REF!</v>
      </c>
      <c r="M9" s="1585" t="e">
        <f t="shared" si="11"/>
        <v>#REF!</v>
      </c>
      <c r="N9" s="1585" t="e">
        <f t="shared" si="11"/>
        <v>#REF!</v>
      </c>
      <c r="O9" s="1585" t="e">
        <f t="shared" si="11"/>
        <v>#REF!</v>
      </c>
      <c r="P9" s="1585" t="e">
        <f t="shared" si="11"/>
        <v>#REF!</v>
      </c>
      <c r="Q9" s="1585" t="e">
        <f t="shared" si="11"/>
        <v>#REF!</v>
      </c>
      <c r="R9" s="1583"/>
      <c r="S9" s="1584" t="e">
        <f t="shared" ref="S9:X9" si="12">SUM(S10:S14)</f>
        <v>#REF!</v>
      </c>
      <c r="T9" s="1585" t="e">
        <f t="shared" si="12"/>
        <v>#REF!</v>
      </c>
      <c r="U9" s="1585" t="e">
        <f t="shared" si="12"/>
        <v>#REF!</v>
      </c>
      <c r="V9" s="1585" t="e">
        <f t="shared" si="12"/>
        <v>#REF!</v>
      </c>
      <c r="W9" s="1585" t="e">
        <f t="shared" si="12"/>
        <v>#REF!</v>
      </c>
      <c r="X9" s="1585" t="e">
        <f t="shared" si="12"/>
        <v>#REF!</v>
      </c>
      <c r="Y9" s="1583"/>
      <c r="Z9" s="1584" t="e">
        <f t="shared" ref="Z9:AE9" si="13">SUM(Z10:Z14)</f>
        <v>#REF!</v>
      </c>
      <c r="AA9" s="1585" t="e">
        <f t="shared" si="13"/>
        <v>#REF!</v>
      </c>
      <c r="AB9" s="1585" t="e">
        <f t="shared" si="13"/>
        <v>#REF!</v>
      </c>
      <c r="AC9" s="1585" t="e">
        <f t="shared" si="13"/>
        <v>#REF!</v>
      </c>
      <c r="AD9" s="1585" t="e">
        <f t="shared" si="13"/>
        <v>#REF!</v>
      </c>
      <c r="AE9" s="1585" t="e">
        <f t="shared" si="13"/>
        <v>#REF!</v>
      </c>
      <c r="AF9" s="1583"/>
      <c r="AG9" s="1584" t="e">
        <f t="shared" ref="AG9:AL9" si="14">SUM(AG10:AG14)</f>
        <v>#REF!</v>
      </c>
      <c r="AH9" s="1585" t="e">
        <f t="shared" si="14"/>
        <v>#REF!</v>
      </c>
      <c r="AI9" s="1585" t="e">
        <f t="shared" si="14"/>
        <v>#REF!</v>
      </c>
      <c r="AJ9" s="1585" t="e">
        <f t="shared" si="14"/>
        <v>#REF!</v>
      </c>
      <c r="AK9" s="1585" t="e">
        <f t="shared" si="14"/>
        <v>#REF!</v>
      </c>
      <c r="AL9" s="1585" t="e">
        <f t="shared" si="14"/>
        <v>#REF!</v>
      </c>
      <c r="AM9" s="1583"/>
      <c r="AN9" s="1584" t="e">
        <f t="shared" ref="AN9:AS9" si="15">SUM(AN10:AN14)</f>
        <v>#REF!</v>
      </c>
      <c r="AO9" s="1585" t="e">
        <f t="shared" si="15"/>
        <v>#REF!</v>
      </c>
      <c r="AP9" s="1585" t="e">
        <f t="shared" si="15"/>
        <v>#REF!</v>
      </c>
      <c r="AQ9" s="1585" t="e">
        <f t="shared" si="15"/>
        <v>#REF!</v>
      </c>
      <c r="AR9" s="1585" t="e">
        <f t="shared" si="15"/>
        <v>#REF!</v>
      </c>
      <c r="AS9" s="1585" t="e">
        <f t="shared" si="15"/>
        <v>#REF!</v>
      </c>
      <c r="AT9" s="1583"/>
      <c r="AU9" s="1584" t="e">
        <f t="shared" ref="AU9:AZ9" si="16">SUM(AU10:AU14)</f>
        <v>#REF!</v>
      </c>
      <c r="AV9" s="1585" t="e">
        <f t="shared" si="16"/>
        <v>#REF!</v>
      </c>
      <c r="AW9" s="1585" t="e">
        <f t="shared" si="16"/>
        <v>#REF!</v>
      </c>
      <c r="AX9" s="1585" t="e">
        <f t="shared" si="16"/>
        <v>#REF!</v>
      </c>
      <c r="AY9" s="1585" t="e">
        <f t="shared" si="16"/>
        <v>#REF!</v>
      </c>
      <c r="AZ9" s="1585" t="e">
        <f t="shared" si="16"/>
        <v>#REF!</v>
      </c>
      <c r="BA9" s="1583"/>
      <c r="BB9" s="1584" t="e">
        <f t="shared" ref="BB9:BG9" si="17">SUM(BB10:BB14)</f>
        <v>#REF!</v>
      </c>
      <c r="BC9" s="1585" t="e">
        <f t="shared" si="17"/>
        <v>#REF!</v>
      </c>
      <c r="BD9" s="1585" t="e">
        <f t="shared" si="17"/>
        <v>#REF!</v>
      </c>
      <c r="BE9" s="1585" t="e">
        <f t="shared" si="17"/>
        <v>#REF!</v>
      </c>
      <c r="BF9" s="1585" t="e">
        <f t="shared" si="17"/>
        <v>#REF!</v>
      </c>
      <c r="BG9" s="1585" t="e">
        <f t="shared" si="17"/>
        <v>#REF!</v>
      </c>
      <c r="BH9" s="1583"/>
      <c r="BI9" s="1584" t="e">
        <f t="shared" ref="BI9:BN9" si="18">SUM(BI10:BI14)</f>
        <v>#REF!</v>
      </c>
      <c r="BJ9" s="1585" t="e">
        <f t="shared" si="18"/>
        <v>#REF!</v>
      </c>
      <c r="BK9" s="1585" t="e">
        <f t="shared" si="18"/>
        <v>#REF!</v>
      </c>
      <c r="BL9" s="1585" t="e">
        <f t="shared" si="18"/>
        <v>#REF!</v>
      </c>
      <c r="BM9" s="1585" t="e">
        <f t="shared" si="18"/>
        <v>#REF!</v>
      </c>
      <c r="BN9" s="1585" t="e">
        <f t="shared" si="18"/>
        <v>#REF!</v>
      </c>
      <c r="BO9" s="1583"/>
      <c r="BP9" s="1584" t="e">
        <f t="shared" ref="BP9:BU9" si="19">SUM(BP10:BP14)</f>
        <v>#REF!</v>
      </c>
      <c r="BQ9" s="1585" t="e">
        <f t="shared" si="19"/>
        <v>#REF!</v>
      </c>
      <c r="BR9" s="1585" t="e">
        <f t="shared" si="19"/>
        <v>#REF!</v>
      </c>
      <c r="BS9" s="1585" t="e">
        <f t="shared" si="19"/>
        <v>#REF!</v>
      </c>
      <c r="BT9" s="1585" t="e">
        <f t="shared" si="19"/>
        <v>#REF!</v>
      </c>
      <c r="BU9" s="1585" t="e">
        <f t="shared" si="19"/>
        <v>#REF!</v>
      </c>
    </row>
    <row r="10" spans="1:73" s="970" customFormat="1" outlineLevel="1">
      <c r="A10" s="1572" t="s">
        <v>1101</v>
      </c>
      <c r="B10" s="1573"/>
      <c r="C10" s="1574"/>
      <c r="D10" s="1575"/>
      <c r="E10" s="1587">
        <f t="shared" ref="E10:J10" si="20">E8*E6</f>
        <v>57450</v>
      </c>
      <c r="F10" s="1588">
        <f t="shared" si="20"/>
        <v>56799.999999999993</v>
      </c>
      <c r="G10" s="1588">
        <f t="shared" si="20"/>
        <v>58150</v>
      </c>
      <c r="H10" s="1588">
        <f t="shared" si="20"/>
        <v>52650</v>
      </c>
      <c r="I10" s="1589">
        <f t="shared" si="20"/>
        <v>56799.999999999993</v>
      </c>
      <c r="J10" s="1589">
        <f t="shared" si="20"/>
        <v>53200</v>
      </c>
      <c r="K10" s="1575"/>
      <c r="L10" s="1587">
        <f t="shared" ref="L10:Q10" si="21">L8*L6</f>
        <v>58599</v>
      </c>
      <c r="M10" s="1588">
        <f t="shared" si="21"/>
        <v>57935.999999999993</v>
      </c>
      <c r="N10" s="1588">
        <f t="shared" si="21"/>
        <v>59313</v>
      </c>
      <c r="O10" s="1588">
        <f t="shared" si="21"/>
        <v>74763</v>
      </c>
      <c r="P10" s="1589">
        <f t="shared" si="21"/>
        <v>57935.999999999993</v>
      </c>
      <c r="Q10" s="1589">
        <f t="shared" si="21"/>
        <v>54264</v>
      </c>
      <c r="R10" s="1575"/>
      <c r="S10" s="1587">
        <f t="shared" ref="S10:X10" si="22">S8*S6</f>
        <v>58599</v>
      </c>
      <c r="T10" s="1588">
        <f t="shared" si="22"/>
        <v>57935.999999999993</v>
      </c>
      <c r="U10" s="1588">
        <f t="shared" si="22"/>
        <v>59313</v>
      </c>
      <c r="V10" s="1588">
        <f t="shared" si="22"/>
        <v>74763</v>
      </c>
      <c r="W10" s="1589">
        <f t="shared" si="22"/>
        <v>57935.999999999993</v>
      </c>
      <c r="X10" s="1589">
        <f t="shared" si="22"/>
        <v>54264</v>
      </c>
      <c r="Y10" s="1575"/>
      <c r="Z10" s="1587">
        <f t="shared" ref="Z10:AE10" si="23">Z8*Z6</f>
        <v>51130.5</v>
      </c>
      <c r="AA10" s="1588">
        <f t="shared" si="23"/>
        <v>57935.999999999993</v>
      </c>
      <c r="AB10" s="1588">
        <f t="shared" si="23"/>
        <v>55242.5</v>
      </c>
      <c r="AC10" s="1588">
        <f t="shared" si="23"/>
        <v>61523.630999999994</v>
      </c>
      <c r="AD10" s="1589">
        <f t="shared" si="23"/>
        <v>57935.999999999993</v>
      </c>
      <c r="AE10" s="1589">
        <f t="shared" si="23"/>
        <v>54264</v>
      </c>
      <c r="AF10" s="1575"/>
      <c r="AG10" s="1587">
        <f t="shared" ref="AG10:AL10" si="24">AG8*AG6</f>
        <v>57289.14</v>
      </c>
      <c r="AH10" s="1588">
        <f t="shared" si="24"/>
        <v>57935.999999999993</v>
      </c>
      <c r="AI10" s="1588">
        <f t="shared" si="24"/>
        <v>58269.789000000004</v>
      </c>
      <c r="AJ10" s="1588">
        <f t="shared" si="24"/>
        <v>65285.999999999993</v>
      </c>
      <c r="AK10" s="1589">
        <f t="shared" si="24"/>
        <v>57935.999999999993</v>
      </c>
      <c r="AL10" s="1589">
        <f t="shared" si="24"/>
        <v>65968</v>
      </c>
      <c r="AM10" s="1575"/>
      <c r="AN10" s="1587">
        <f t="shared" ref="AN10:AS10" si="25">AN8*AN6</f>
        <v>51705</v>
      </c>
      <c r="AO10" s="1588">
        <f t="shared" si="25"/>
        <v>59071.999999999993</v>
      </c>
      <c r="AP10" s="1588">
        <f t="shared" si="25"/>
        <v>59313</v>
      </c>
      <c r="AQ10" s="1588">
        <f t="shared" si="25"/>
        <v>72657</v>
      </c>
      <c r="AR10" s="1589">
        <f t="shared" si="25"/>
        <v>51119.999999999993</v>
      </c>
      <c r="AS10" s="1589">
        <f t="shared" si="25"/>
        <v>54264</v>
      </c>
      <c r="AT10" s="1575"/>
      <c r="AU10" s="1587">
        <f t="shared" ref="AU10:AZ10" si="26">AU8*AU6</f>
        <v>48832.5</v>
      </c>
      <c r="AV10" s="1588">
        <f t="shared" si="26"/>
        <v>57935.999999999993</v>
      </c>
      <c r="AW10" s="1588">
        <f t="shared" si="26"/>
        <v>59313</v>
      </c>
      <c r="AX10" s="1588">
        <f t="shared" si="26"/>
        <v>74763</v>
      </c>
      <c r="AY10" s="1589">
        <f t="shared" si="26"/>
        <v>57935.999999999993</v>
      </c>
      <c r="AZ10" s="1589">
        <f t="shared" si="26"/>
        <v>54264</v>
      </c>
      <c r="BA10" s="1575"/>
      <c r="BB10" s="1587">
        <f t="shared" ref="BB10:BG10" si="27">BB8*BB6</f>
        <v>49981.5</v>
      </c>
      <c r="BC10" s="1588">
        <f t="shared" si="27"/>
        <v>57935.999999999993</v>
      </c>
      <c r="BD10" s="1588">
        <f t="shared" si="27"/>
        <v>59313</v>
      </c>
      <c r="BE10" s="1588">
        <f t="shared" si="27"/>
        <v>72657</v>
      </c>
      <c r="BF10" s="1589">
        <f t="shared" si="27"/>
        <v>57935.999999999993</v>
      </c>
      <c r="BG10" s="1589">
        <f t="shared" si="27"/>
        <v>54264</v>
      </c>
      <c r="BH10" s="1575"/>
      <c r="BI10" s="1587">
        <f t="shared" ref="BI10:BN10" si="28">BI8*BI6</f>
        <v>49981.5</v>
      </c>
      <c r="BJ10" s="1588">
        <f t="shared" si="28"/>
        <v>57935.999999999993</v>
      </c>
      <c r="BK10" s="1588">
        <f t="shared" si="28"/>
        <v>59313</v>
      </c>
      <c r="BL10" s="1588">
        <f t="shared" si="28"/>
        <v>72657</v>
      </c>
      <c r="BM10" s="1589">
        <f t="shared" si="28"/>
        <v>57935.999999999993</v>
      </c>
      <c r="BN10" s="1589">
        <f t="shared" si="28"/>
        <v>54264</v>
      </c>
      <c r="BO10" s="1575"/>
      <c r="BP10" s="1587">
        <f t="shared" ref="BP10:BU10" si="29">BP8*BP6</f>
        <v>49981.5</v>
      </c>
      <c r="BQ10" s="1588">
        <f t="shared" si="29"/>
        <v>57935.999999999993</v>
      </c>
      <c r="BR10" s="1588">
        <f t="shared" si="29"/>
        <v>59313</v>
      </c>
      <c r="BS10" s="1588">
        <f t="shared" si="29"/>
        <v>72657</v>
      </c>
      <c r="BT10" s="1589">
        <f t="shared" si="29"/>
        <v>57935.999999999993</v>
      </c>
      <c r="BU10" s="1589">
        <f t="shared" si="29"/>
        <v>54264</v>
      </c>
    </row>
    <row r="11" spans="1:73" s="970" customFormat="1" outlineLevel="1">
      <c r="A11" s="1572" t="s">
        <v>480</v>
      </c>
      <c r="B11" s="1573"/>
      <c r="C11" s="1574"/>
      <c r="D11" s="1575"/>
      <c r="E11" s="1587">
        <v>0</v>
      </c>
      <c r="F11" s="1588" t="e">
        <f>#REF!</f>
        <v>#REF!</v>
      </c>
      <c r="G11" s="1588">
        <v>0</v>
      </c>
      <c r="H11" s="1588" t="e">
        <f>#REF!</f>
        <v>#REF!</v>
      </c>
      <c r="I11" s="1589" t="e">
        <f>#REF!</f>
        <v>#REF!</v>
      </c>
      <c r="J11" s="1589" t="e">
        <f>#REF!</f>
        <v>#REF!</v>
      </c>
      <c r="K11" s="1575"/>
      <c r="L11" s="1587">
        <v>0</v>
      </c>
      <c r="M11" s="1588" t="e">
        <f>#REF!</f>
        <v>#REF!</v>
      </c>
      <c r="N11" s="1588">
        <v>0</v>
      </c>
      <c r="O11" s="1588" t="e">
        <f>#REF!</f>
        <v>#REF!</v>
      </c>
      <c r="P11" s="1589" t="e">
        <f>#REF!</f>
        <v>#REF!</v>
      </c>
      <c r="Q11" s="1589" t="e">
        <f>#REF!</f>
        <v>#REF!</v>
      </c>
      <c r="R11" s="1575"/>
      <c r="S11" s="1587">
        <v>0</v>
      </c>
      <c r="T11" s="1588" t="e">
        <f>#REF!</f>
        <v>#REF!</v>
      </c>
      <c r="U11" s="1588">
        <v>0</v>
      </c>
      <c r="V11" s="1588" t="e">
        <f>#REF!</f>
        <v>#REF!</v>
      </c>
      <c r="W11" s="1589" t="e">
        <f>#REF!</f>
        <v>#REF!</v>
      </c>
      <c r="X11" s="1589" t="e">
        <f>#REF!</f>
        <v>#REF!</v>
      </c>
      <c r="Y11" s="1575"/>
      <c r="Z11" s="1587">
        <v>0</v>
      </c>
      <c r="AA11" s="1588" t="e">
        <f>#REF!</f>
        <v>#REF!</v>
      </c>
      <c r="AB11" s="1588">
        <v>0</v>
      </c>
      <c r="AC11" s="1588" t="e">
        <f>#REF!</f>
        <v>#REF!</v>
      </c>
      <c r="AD11" s="1589" t="e">
        <f>#REF!</f>
        <v>#REF!</v>
      </c>
      <c r="AE11" s="1589" t="e">
        <f>#REF!</f>
        <v>#REF!</v>
      </c>
      <c r="AF11" s="1575"/>
      <c r="AG11" s="1587">
        <v>0</v>
      </c>
      <c r="AH11" s="1588" t="e">
        <f>#REF!</f>
        <v>#REF!</v>
      </c>
      <c r="AI11" s="1588">
        <v>0</v>
      </c>
      <c r="AJ11" s="1588" t="e">
        <f>#REF!</f>
        <v>#REF!</v>
      </c>
      <c r="AK11" s="1589" t="e">
        <f>#REF!</f>
        <v>#REF!</v>
      </c>
      <c r="AL11" s="1589" t="e">
        <f>#REF!</f>
        <v>#REF!</v>
      </c>
      <c r="AM11" s="1575"/>
      <c r="AN11" s="1587">
        <v>0</v>
      </c>
      <c r="AO11" s="1588" t="e">
        <f>#REF!</f>
        <v>#REF!</v>
      </c>
      <c r="AP11" s="1588">
        <v>0</v>
      </c>
      <c r="AQ11" s="1588" t="e">
        <f>#REF!</f>
        <v>#REF!</v>
      </c>
      <c r="AR11" s="1589" t="e">
        <f>#REF!</f>
        <v>#REF!</v>
      </c>
      <c r="AS11" s="1589" t="e">
        <f>#REF!</f>
        <v>#REF!</v>
      </c>
      <c r="AT11" s="1575"/>
      <c r="AU11" s="1587">
        <v>0</v>
      </c>
      <c r="AV11" s="1588" t="e">
        <f>#REF!</f>
        <v>#REF!</v>
      </c>
      <c r="AW11" s="1588">
        <v>0</v>
      </c>
      <c r="AX11" s="1588" t="e">
        <f>#REF!</f>
        <v>#REF!</v>
      </c>
      <c r="AY11" s="1589" t="e">
        <f>#REF!</f>
        <v>#REF!</v>
      </c>
      <c r="AZ11" s="1589" t="e">
        <f>#REF!</f>
        <v>#REF!</v>
      </c>
      <c r="BA11" s="1575"/>
      <c r="BB11" s="1587">
        <v>0</v>
      </c>
      <c r="BC11" s="1588" t="e">
        <f>#REF!</f>
        <v>#REF!</v>
      </c>
      <c r="BD11" s="1588">
        <v>0</v>
      </c>
      <c r="BE11" s="1588" t="e">
        <f>#REF!</f>
        <v>#REF!</v>
      </c>
      <c r="BF11" s="1589" t="e">
        <f>#REF!</f>
        <v>#REF!</v>
      </c>
      <c r="BG11" s="1589" t="e">
        <f>#REF!</f>
        <v>#REF!</v>
      </c>
      <c r="BH11" s="1575"/>
      <c r="BI11" s="1587">
        <v>0</v>
      </c>
      <c r="BJ11" s="1588" t="e">
        <f>#REF!</f>
        <v>#REF!</v>
      </c>
      <c r="BK11" s="1588">
        <v>0</v>
      </c>
      <c r="BL11" s="1588" t="e">
        <f>#REF!</f>
        <v>#REF!</v>
      </c>
      <c r="BM11" s="1589" t="e">
        <f>#REF!</f>
        <v>#REF!</v>
      </c>
      <c r="BN11" s="1589" t="e">
        <f>#REF!</f>
        <v>#REF!</v>
      </c>
      <c r="BO11" s="1575"/>
      <c r="BP11" s="1587">
        <v>0</v>
      </c>
      <c r="BQ11" s="1588" t="e">
        <f>#REF!</f>
        <v>#REF!</v>
      </c>
      <c r="BR11" s="1588">
        <v>0</v>
      </c>
      <c r="BS11" s="1588" t="e">
        <f>#REF!</f>
        <v>#REF!</v>
      </c>
      <c r="BT11" s="1589" t="e">
        <f>#REF!</f>
        <v>#REF!</v>
      </c>
      <c r="BU11" s="1589" t="e">
        <f>#REF!</f>
        <v>#REF!</v>
      </c>
    </row>
    <row r="12" spans="1:73" s="970" customFormat="1" outlineLevel="1">
      <c r="A12" s="1572" t="s">
        <v>481</v>
      </c>
      <c r="B12" s="1573"/>
      <c r="C12" s="1574"/>
      <c r="D12" s="1575"/>
      <c r="E12" s="1587">
        <v>0</v>
      </c>
      <c r="F12" s="1588" t="e">
        <f>#REF!</f>
        <v>#REF!</v>
      </c>
      <c r="G12" s="1588">
        <v>0</v>
      </c>
      <c r="H12" s="1588">
        <v>0</v>
      </c>
      <c r="I12" s="1589" t="e">
        <f>#REF!</f>
        <v>#REF!</v>
      </c>
      <c r="J12" s="1589"/>
      <c r="K12" s="1575"/>
      <c r="L12" s="1587">
        <v>0</v>
      </c>
      <c r="M12" s="1588" t="e">
        <f>#REF!</f>
        <v>#REF!</v>
      </c>
      <c r="N12" s="1588">
        <v>0</v>
      </c>
      <c r="O12" s="1588">
        <v>0</v>
      </c>
      <c r="P12" s="1589" t="e">
        <f>#REF!</f>
        <v>#REF!</v>
      </c>
      <c r="Q12" s="1589"/>
      <c r="R12" s="1575"/>
      <c r="S12" s="1587">
        <v>0</v>
      </c>
      <c r="T12" s="1588" t="e">
        <f>#REF!</f>
        <v>#REF!</v>
      </c>
      <c r="U12" s="1588">
        <v>0</v>
      </c>
      <c r="V12" s="1588">
        <v>0</v>
      </c>
      <c r="W12" s="1589" t="e">
        <f>#REF!</f>
        <v>#REF!</v>
      </c>
      <c r="X12" s="1589"/>
      <c r="Y12" s="1575"/>
      <c r="Z12" s="1587">
        <v>0</v>
      </c>
      <c r="AA12" s="1588" t="e">
        <f>#REF!</f>
        <v>#REF!</v>
      </c>
      <c r="AB12" s="1588">
        <v>0</v>
      </c>
      <c r="AC12" s="1588">
        <v>0</v>
      </c>
      <c r="AD12" s="1589" t="e">
        <f>#REF!</f>
        <v>#REF!</v>
      </c>
      <c r="AE12" s="1589"/>
      <c r="AF12" s="1575"/>
      <c r="AG12" s="1587">
        <v>0</v>
      </c>
      <c r="AH12" s="1588" t="e">
        <f>#REF!</f>
        <v>#REF!</v>
      </c>
      <c r="AI12" s="1588">
        <v>0</v>
      </c>
      <c r="AJ12" s="1588">
        <v>0</v>
      </c>
      <c r="AK12" s="1589" t="e">
        <f>#REF!</f>
        <v>#REF!</v>
      </c>
      <c r="AL12" s="1589"/>
      <c r="AM12" s="1575"/>
      <c r="AN12" s="1587">
        <v>0</v>
      </c>
      <c r="AO12" s="1588" t="e">
        <f>#REF!</f>
        <v>#REF!</v>
      </c>
      <c r="AP12" s="1588">
        <v>0</v>
      </c>
      <c r="AQ12" s="1588">
        <v>0</v>
      </c>
      <c r="AR12" s="1589" t="e">
        <f>#REF!</f>
        <v>#REF!</v>
      </c>
      <c r="AS12" s="1589"/>
      <c r="AT12" s="1575"/>
      <c r="AU12" s="1587">
        <v>0</v>
      </c>
      <c r="AV12" s="1588" t="e">
        <f>#REF!</f>
        <v>#REF!</v>
      </c>
      <c r="AW12" s="1588">
        <v>0</v>
      </c>
      <c r="AX12" s="1588">
        <v>0</v>
      </c>
      <c r="AY12" s="1589" t="e">
        <f>#REF!</f>
        <v>#REF!</v>
      </c>
      <c r="AZ12" s="1589"/>
      <c r="BA12" s="1575"/>
      <c r="BB12" s="1587">
        <v>0</v>
      </c>
      <c r="BC12" s="1588" t="e">
        <f>#REF!</f>
        <v>#REF!</v>
      </c>
      <c r="BD12" s="1588">
        <v>0</v>
      </c>
      <c r="BE12" s="1588">
        <v>0</v>
      </c>
      <c r="BF12" s="1589" t="e">
        <f>#REF!</f>
        <v>#REF!</v>
      </c>
      <c r="BG12" s="1589"/>
      <c r="BH12" s="1575"/>
      <c r="BI12" s="1587">
        <v>0</v>
      </c>
      <c r="BJ12" s="1588" t="e">
        <f>#REF!</f>
        <v>#REF!</v>
      </c>
      <c r="BK12" s="1588">
        <v>0</v>
      </c>
      <c r="BL12" s="1588">
        <v>0</v>
      </c>
      <c r="BM12" s="1589" t="e">
        <f>#REF!</f>
        <v>#REF!</v>
      </c>
      <c r="BN12" s="1589"/>
      <c r="BO12" s="1575"/>
      <c r="BP12" s="1587">
        <v>0</v>
      </c>
      <c r="BQ12" s="1588" t="e">
        <f>#REF!</f>
        <v>#REF!</v>
      </c>
      <c r="BR12" s="1588">
        <v>0</v>
      </c>
      <c r="BS12" s="1588">
        <v>0</v>
      </c>
      <c r="BT12" s="1589" t="e">
        <f>#REF!</f>
        <v>#REF!</v>
      </c>
      <c r="BU12" s="1589"/>
    </row>
    <row r="13" spans="1:73" s="970" customFormat="1" outlineLevel="1">
      <c r="A13" s="1572" t="s">
        <v>1102</v>
      </c>
      <c r="B13" s="1573"/>
      <c r="C13" s="1574"/>
      <c r="D13" s="1575"/>
      <c r="E13" s="1587"/>
      <c r="F13" s="1588"/>
      <c r="G13" s="1588"/>
      <c r="H13" s="1588"/>
      <c r="I13" s="1589" t="e">
        <f>#REF!</f>
        <v>#REF!</v>
      </c>
      <c r="J13" s="1589"/>
      <c r="K13" s="1575"/>
      <c r="L13" s="1587"/>
      <c r="M13" s="1588"/>
      <c r="N13" s="1588"/>
      <c r="O13" s="1588"/>
      <c r="P13" s="1589" t="e">
        <f>#REF!</f>
        <v>#REF!</v>
      </c>
      <c r="Q13" s="1589"/>
      <c r="R13" s="1575"/>
      <c r="S13" s="1587"/>
      <c r="T13" s="1588"/>
      <c r="U13" s="1588"/>
      <c r="V13" s="1588"/>
      <c r="W13" s="1589" t="e">
        <f>#REF!</f>
        <v>#REF!</v>
      </c>
      <c r="X13" s="1589"/>
      <c r="Y13" s="1575"/>
      <c r="Z13" s="1587"/>
      <c r="AA13" s="1588"/>
      <c r="AB13" s="1588"/>
      <c r="AC13" s="1588"/>
      <c r="AD13" s="1589" t="e">
        <f>#REF!</f>
        <v>#REF!</v>
      </c>
      <c r="AE13" s="1589"/>
      <c r="AF13" s="1575"/>
      <c r="AG13" s="1587"/>
      <c r="AH13" s="1588"/>
      <c r="AI13" s="1588"/>
      <c r="AJ13" s="1588"/>
      <c r="AK13" s="1589" t="e">
        <f>#REF!</f>
        <v>#REF!</v>
      </c>
      <c r="AL13" s="1589"/>
      <c r="AM13" s="1575"/>
      <c r="AN13" s="1587"/>
      <c r="AO13" s="1588"/>
      <c r="AP13" s="1588"/>
      <c r="AQ13" s="1588"/>
      <c r="AR13" s="1589" t="e">
        <f>#REF!</f>
        <v>#REF!</v>
      </c>
      <c r="AS13" s="1589"/>
      <c r="AT13" s="1575"/>
      <c r="AU13" s="1587"/>
      <c r="AV13" s="1588"/>
      <c r="AW13" s="1588"/>
      <c r="AX13" s="1588"/>
      <c r="AY13" s="1589" t="e">
        <f>#REF!</f>
        <v>#REF!</v>
      </c>
      <c r="AZ13" s="1589"/>
      <c r="BA13" s="1575"/>
      <c r="BB13" s="1587"/>
      <c r="BC13" s="1588"/>
      <c r="BD13" s="1588"/>
      <c r="BE13" s="1588"/>
      <c r="BF13" s="1589" t="e">
        <f>#REF!</f>
        <v>#REF!</v>
      </c>
      <c r="BG13" s="1589"/>
      <c r="BH13" s="1575"/>
      <c r="BI13" s="1587"/>
      <c r="BJ13" s="1588"/>
      <c r="BK13" s="1588"/>
      <c r="BL13" s="1588"/>
      <c r="BM13" s="1589" t="e">
        <f>#REF!</f>
        <v>#REF!</v>
      </c>
      <c r="BN13" s="1589"/>
      <c r="BO13" s="1575"/>
      <c r="BP13" s="1587"/>
      <c r="BQ13" s="1588"/>
      <c r="BR13" s="1588"/>
      <c r="BS13" s="1588"/>
      <c r="BT13" s="1589" t="e">
        <f>#REF!</f>
        <v>#REF!</v>
      </c>
      <c r="BU13" s="1589"/>
    </row>
    <row r="14" spans="1:73" s="970" customFormat="1" outlineLevel="1">
      <c r="A14" s="1590" t="s">
        <v>1103</v>
      </c>
      <c r="B14" s="1591"/>
      <c r="C14" s="1592"/>
      <c r="D14" s="1575"/>
      <c r="E14" s="1587" t="e">
        <f>#REF!</f>
        <v>#REF!</v>
      </c>
      <c r="F14" s="1588" t="e">
        <f>#REF!</f>
        <v>#REF!</v>
      </c>
      <c r="G14" s="1588" t="e">
        <f>#REF!</f>
        <v>#REF!</v>
      </c>
      <c r="H14" s="1588" t="e">
        <f>#REF!</f>
        <v>#REF!</v>
      </c>
      <c r="I14" s="1588" t="e">
        <f>#REF!</f>
        <v>#REF!</v>
      </c>
      <c r="J14" s="1588" t="e">
        <f>#REF!</f>
        <v>#REF!</v>
      </c>
      <c r="K14" s="1575"/>
      <c r="L14" s="1587" t="e">
        <f>#REF!</f>
        <v>#REF!</v>
      </c>
      <c r="M14" s="1588" t="e">
        <f>#REF!</f>
        <v>#REF!</v>
      </c>
      <c r="N14" s="1588" t="e">
        <f>#REF!</f>
        <v>#REF!</v>
      </c>
      <c r="O14" s="1588" t="e">
        <f>#REF!</f>
        <v>#REF!</v>
      </c>
      <c r="P14" s="1588" t="e">
        <f>#REF!</f>
        <v>#REF!</v>
      </c>
      <c r="Q14" s="1588" t="e">
        <f>#REF!</f>
        <v>#REF!</v>
      </c>
      <c r="R14" s="1575"/>
      <c r="S14" s="1587" t="e">
        <f>#REF!</f>
        <v>#REF!</v>
      </c>
      <c r="T14" s="1588" t="e">
        <f>#REF!</f>
        <v>#REF!</v>
      </c>
      <c r="U14" s="1588" t="e">
        <f>#REF!</f>
        <v>#REF!</v>
      </c>
      <c r="V14" s="1588" t="e">
        <f>#REF!</f>
        <v>#REF!</v>
      </c>
      <c r="W14" s="1588" t="e">
        <f>#REF!</f>
        <v>#REF!</v>
      </c>
      <c r="X14" s="1588" t="e">
        <f>#REF!</f>
        <v>#REF!</v>
      </c>
      <c r="Y14" s="1575"/>
      <c r="Z14" s="1587" t="e">
        <f>#REF!</f>
        <v>#REF!</v>
      </c>
      <c r="AA14" s="1588" t="e">
        <f>#REF!</f>
        <v>#REF!</v>
      </c>
      <c r="AB14" s="1588" t="e">
        <f>#REF!</f>
        <v>#REF!</v>
      </c>
      <c r="AC14" s="1588" t="e">
        <f>#REF!</f>
        <v>#REF!</v>
      </c>
      <c r="AD14" s="1588" t="e">
        <f>#REF!</f>
        <v>#REF!</v>
      </c>
      <c r="AE14" s="1588" t="e">
        <f>#REF!</f>
        <v>#REF!</v>
      </c>
      <c r="AF14" s="1575"/>
      <c r="AG14" s="1587" t="e">
        <f>#REF!</f>
        <v>#REF!</v>
      </c>
      <c r="AH14" s="1588" t="e">
        <f>#REF!</f>
        <v>#REF!</v>
      </c>
      <c r="AI14" s="1588" t="e">
        <f>#REF!</f>
        <v>#REF!</v>
      </c>
      <c r="AJ14" s="1588" t="e">
        <f>#REF!</f>
        <v>#REF!</v>
      </c>
      <c r="AK14" s="1588" t="e">
        <f>#REF!</f>
        <v>#REF!</v>
      </c>
      <c r="AL14" s="1588" t="e">
        <f>#REF!</f>
        <v>#REF!</v>
      </c>
      <c r="AM14" s="1575"/>
      <c r="AN14" s="1587" t="e">
        <f>#REF!</f>
        <v>#REF!</v>
      </c>
      <c r="AO14" s="1588" t="e">
        <f>#REF!</f>
        <v>#REF!</v>
      </c>
      <c r="AP14" s="1588" t="e">
        <f>#REF!</f>
        <v>#REF!</v>
      </c>
      <c r="AQ14" s="1588" t="e">
        <f>#REF!</f>
        <v>#REF!</v>
      </c>
      <c r="AR14" s="1588" t="e">
        <f>#REF!</f>
        <v>#REF!</v>
      </c>
      <c r="AS14" s="1588" t="e">
        <f>#REF!</f>
        <v>#REF!</v>
      </c>
      <c r="AT14" s="1575"/>
      <c r="AU14" s="1587" t="e">
        <f>#REF!</f>
        <v>#REF!</v>
      </c>
      <c r="AV14" s="1588" t="e">
        <f>#REF!</f>
        <v>#REF!</v>
      </c>
      <c r="AW14" s="1588" t="e">
        <f>#REF!</f>
        <v>#REF!</v>
      </c>
      <c r="AX14" s="1588" t="e">
        <f>#REF!</f>
        <v>#REF!</v>
      </c>
      <c r="AY14" s="1588" t="e">
        <f>#REF!</f>
        <v>#REF!</v>
      </c>
      <c r="AZ14" s="1588" t="e">
        <f>#REF!</f>
        <v>#REF!</v>
      </c>
      <c r="BA14" s="1575"/>
      <c r="BB14" s="1587" t="e">
        <f>#REF!</f>
        <v>#REF!</v>
      </c>
      <c r="BC14" s="1588" t="e">
        <f>#REF!</f>
        <v>#REF!</v>
      </c>
      <c r="BD14" s="1588" t="e">
        <f>#REF!</f>
        <v>#REF!</v>
      </c>
      <c r="BE14" s="1588" t="e">
        <f>#REF!</f>
        <v>#REF!</v>
      </c>
      <c r="BF14" s="1588" t="e">
        <f>#REF!</f>
        <v>#REF!</v>
      </c>
      <c r="BG14" s="1588" t="e">
        <f>#REF!</f>
        <v>#REF!</v>
      </c>
      <c r="BH14" s="1575"/>
      <c r="BI14" s="1587" t="e">
        <f>#REF!</f>
        <v>#REF!</v>
      </c>
      <c r="BJ14" s="1588" t="e">
        <f>#REF!</f>
        <v>#REF!</v>
      </c>
      <c r="BK14" s="1588" t="e">
        <f>#REF!</f>
        <v>#REF!</v>
      </c>
      <c r="BL14" s="1588" t="e">
        <f>#REF!</f>
        <v>#REF!</v>
      </c>
      <c r="BM14" s="1588" t="e">
        <f>#REF!</f>
        <v>#REF!</v>
      </c>
      <c r="BN14" s="1588" t="e">
        <f>#REF!</f>
        <v>#REF!</v>
      </c>
      <c r="BO14" s="1575"/>
      <c r="BP14" s="1587" t="e">
        <f>#REF!</f>
        <v>#REF!</v>
      </c>
      <c r="BQ14" s="1588" t="e">
        <f>#REF!</f>
        <v>#REF!</v>
      </c>
      <c r="BR14" s="1588" t="e">
        <f>#REF!</f>
        <v>#REF!</v>
      </c>
      <c r="BS14" s="1588" t="e">
        <f>#REF!</f>
        <v>#REF!</v>
      </c>
      <c r="BT14" s="1588" t="e">
        <f>#REF!</f>
        <v>#REF!</v>
      </c>
      <c r="BU14" s="1588" t="e">
        <f>#REF!</f>
        <v>#REF!</v>
      </c>
    </row>
    <row r="15" spans="1:73" s="1599" customFormat="1" ht="15" outlineLevel="1">
      <c r="A15" s="1593" t="s">
        <v>1104</v>
      </c>
      <c r="B15" s="1594"/>
      <c r="C15" s="1595"/>
      <c r="D15" s="1596"/>
      <c r="E15" s="1597" t="e">
        <f t="shared" ref="E15:J15" si="30">E5-E9</f>
        <v>#REF!</v>
      </c>
      <c r="F15" s="1598" t="e">
        <f t="shared" si="30"/>
        <v>#REF!</v>
      </c>
      <c r="G15" s="1598" t="e">
        <f t="shared" si="30"/>
        <v>#REF!</v>
      </c>
      <c r="H15" s="1598" t="e">
        <f t="shared" si="30"/>
        <v>#REF!</v>
      </c>
      <c r="I15" s="1598" t="e">
        <f t="shared" si="30"/>
        <v>#REF!</v>
      </c>
      <c r="J15" s="1598" t="e">
        <f t="shared" si="30"/>
        <v>#REF!</v>
      </c>
      <c r="K15" s="1596"/>
      <c r="L15" s="1597" t="e">
        <f t="shared" ref="L15:Q15" si="31">L5-L9</f>
        <v>#REF!</v>
      </c>
      <c r="M15" s="1598" t="e">
        <f t="shared" si="31"/>
        <v>#REF!</v>
      </c>
      <c r="N15" s="1598" t="e">
        <f t="shared" si="31"/>
        <v>#REF!</v>
      </c>
      <c r="O15" s="1598" t="e">
        <f t="shared" si="31"/>
        <v>#REF!</v>
      </c>
      <c r="P15" s="1598" t="e">
        <f t="shared" si="31"/>
        <v>#REF!</v>
      </c>
      <c r="Q15" s="1598" t="e">
        <f t="shared" si="31"/>
        <v>#REF!</v>
      </c>
      <c r="R15" s="1596"/>
      <c r="S15" s="1597" t="e">
        <f t="shared" ref="S15:X15" si="32">S5-S9</f>
        <v>#REF!</v>
      </c>
      <c r="T15" s="1598" t="e">
        <f t="shared" si="32"/>
        <v>#REF!</v>
      </c>
      <c r="U15" s="1598" t="e">
        <f t="shared" si="32"/>
        <v>#REF!</v>
      </c>
      <c r="V15" s="1598" t="e">
        <f t="shared" si="32"/>
        <v>#REF!</v>
      </c>
      <c r="W15" s="1598" t="e">
        <f t="shared" si="32"/>
        <v>#REF!</v>
      </c>
      <c r="X15" s="1598" t="e">
        <f t="shared" si="32"/>
        <v>#REF!</v>
      </c>
      <c r="Y15" s="1596"/>
      <c r="Z15" s="1597" t="e">
        <f t="shared" ref="Z15:AE15" si="33">Z5-Z9</f>
        <v>#REF!</v>
      </c>
      <c r="AA15" s="1598" t="e">
        <f t="shared" si="33"/>
        <v>#REF!</v>
      </c>
      <c r="AB15" s="1598" t="e">
        <f t="shared" si="33"/>
        <v>#REF!</v>
      </c>
      <c r="AC15" s="1598" t="e">
        <f t="shared" si="33"/>
        <v>#REF!</v>
      </c>
      <c r="AD15" s="1598" t="e">
        <f t="shared" si="33"/>
        <v>#REF!</v>
      </c>
      <c r="AE15" s="1598" t="e">
        <f t="shared" si="33"/>
        <v>#REF!</v>
      </c>
      <c r="AF15" s="1596"/>
      <c r="AG15" s="1597" t="e">
        <f t="shared" ref="AG15:AL15" si="34">AG5-AG9</f>
        <v>#REF!</v>
      </c>
      <c r="AH15" s="1598" t="e">
        <f t="shared" si="34"/>
        <v>#REF!</v>
      </c>
      <c r="AI15" s="1598" t="e">
        <f t="shared" si="34"/>
        <v>#REF!</v>
      </c>
      <c r="AJ15" s="1598" t="e">
        <f t="shared" si="34"/>
        <v>#REF!</v>
      </c>
      <c r="AK15" s="1598" t="e">
        <f t="shared" si="34"/>
        <v>#REF!</v>
      </c>
      <c r="AL15" s="1598" t="e">
        <f t="shared" si="34"/>
        <v>#REF!</v>
      </c>
      <c r="AM15" s="1596"/>
      <c r="AN15" s="1597" t="e">
        <f t="shared" ref="AN15:AS15" si="35">AN5-AN9</f>
        <v>#REF!</v>
      </c>
      <c r="AO15" s="1598" t="e">
        <f t="shared" si="35"/>
        <v>#REF!</v>
      </c>
      <c r="AP15" s="1598" t="e">
        <f t="shared" si="35"/>
        <v>#REF!</v>
      </c>
      <c r="AQ15" s="1598" t="e">
        <f t="shared" si="35"/>
        <v>#REF!</v>
      </c>
      <c r="AR15" s="1598" t="e">
        <f t="shared" si="35"/>
        <v>#REF!</v>
      </c>
      <c r="AS15" s="1598" t="e">
        <f t="shared" si="35"/>
        <v>#REF!</v>
      </c>
      <c r="AT15" s="1596"/>
      <c r="AU15" s="1597" t="e">
        <f t="shared" ref="AU15:AZ15" si="36">AU5-AU9</f>
        <v>#REF!</v>
      </c>
      <c r="AV15" s="1598" t="e">
        <f t="shared" si="36"/>
        <v>#REF!</v>
      </c>
      <c r="AW15" s="1598" t="e">
        <f t="shared" si="36"/>
        <v>#REF!</v>
      </c>
      <c r="AX15" s="1598" t="e">
        <f t="shared" si="36"/>
        <v>#REF!</v>
      </c>
      <c r="AY15" s="1598" t="e">
        <f t="shared" si="36"/>
        <v>#REF!</v>
      </c>
      <c r="AZ15" s="1598" t="e">
        <f t="shared" si="36"/>
        <v>#REF!</v>
      </c>
      <c r="BA15" s="1596"/>
      <c r="BB15" s="1597" t="e">
        <f t="shared" ref="BB15:BG15" si="37">BB5-BB9</f>
        <v>#REF!</v>
      </c>
      <c r="BC15" s="1598" t="e">
        <f t="shared" si="37"/>
        <v>#REF!</v>
      </c>
      <c r="BD15" s="1598" t="e">
        <f t="shared" si="37"/>
        <v>#REF!</v>
      </c>
      <c r="BE15" s="1598" t="e">
        <f t="shared" si="37"/>
        <v>#REF!</v>
      </c>
      <c r="BF15" s="1598" t="e">
        <f t="shared" si="37"/>
        <v>#REF!</v>
      </c>
      <c r="BG15" s="1598" t="e">
        <f t="shared" si="37"/>
        <v>#REF!</v>
      </c>
      <c r="BH15" s="1596"/>
      <c r="BI15" s="1597" t="e">
        <f t="shared" ref="BI15:BN15" si="38">BI5-BI9</f>
        <v>#REF!</v>
      </c>
      <c r="BJ15" s="1598" t="e">
        <f t="shared" si="38"/>
        <v>#REF!</v>
      </c>
      <c r="BK15" s="1598" t="e">
        <f t="shared" si="38"/>
        <v>#REF!</v>
      </c>
      <c r="BL15" s="1598" t="e">
        <f t="shared" si="38"/>
        <v>#REF!</v>
      </c>
      <c r="BM15" s="1598" t="e">
        <f t="shared" si="38"/>
        <v>#REF!</v>
      </c>
      <c r="BN15" s="1598" t="e">
        <f t="shared" si="38"/>
        <v>#REF!</v>
      </c>
      <c r="BO15" s="1596"/>
      <c r="BP15" s="1597" t="e">
        <f t="shared" ref="BP15:BU15" si="39">BP5-BP9</f>
        <v>#REF!</v>
      </c>
      <c r="BQ15" s="1598" t="e">
        <f t="shared" si="39"/>
        <v>#REF!</v>
      </c>
      <c r="BR15" s="1598" t="e">
        <f t="shared" si="39"/>
        <v>#REF!</v>
      </c>
      <c r="BS15" s="1598" t="e">
        <f t="shared" si="39"/>
        <v>#REF!</v>
      </c>
      <c r="BT15" s="1598" t="e">
        <f t="shared" si="39"/>
        <v>#REF!</v>
      </c>
      <c r="BU15" s="1598" t="e">
        <f t="shared" si="39"/>
        <v>#REF!</v>
      </c>
    </row>
    <row r="16" spans="1:73" s="970" customFormat="1" outlineLevel="1">
      <c r="A16" s="1600" t="s">
        <v>497</v>
      </c>
      <c r="B16" s="1601"/>
      <c r="C16" s="1602"/>
      <c r="D16" s="1575"/>
      <c r="E16" s="1603" t="e">
        <f>#REF!</f>
        <v>#REF!</v>
      </c>
      <c r="F16" s="1604" t="e">
        <f>#REF!</f>
        <v>#REF!</v>
      </c>
      <c r="G16" s="1604" t="e">
        <f>#REF!</f>
        <v>#REF!</v>
      </c>
      <c r="H16" s="1604" t="e">
        <f>#REF!</f>
        <v>#REF!</v>
      </c>
      <c r="I16" s="1604" t="e">
        <f>#REF!</f>
        <v>#REF!</v>
      </c>
      <c r="J16" s="1604" t="e">
        <f>#REF!</f>
        <v>#REF!</v>
      </c>
      <c r="K16" s="1575"/>
      <c r="L16" s="1603" t="e">
        <f>#REF!</f>
        <v>#REF!</v>
      </c>
      <c r="M16" s="1604" t="e">
        <f>#REF!</f>
        <v>#REF!</v>
      </c>
      <c r="N16" s="1604" t="e">
        <f>#REF!</f>
        <v>#REF!</v>
      </c>
      <c r="O16" s="1604" t="e">
        <f>#REF!</f>
        <v>#REF!</v>
      </c>
      <c r="P16" s="1604" t="e">
        <f>#REF!</f>
        <v>#REF!</v>
      </c>
      <c r="Q16" s="1604" t="e">
        <f>#REF!</f>
        <v>#REF!</v>
      </c>
      <c r="R16" s="1575"/>
      <c r="S16" s="1603" t="e">
        <f>#REF!</f>
        <v>#REF!</v>
      </c>
      <c r="T16" s="1604" t="e">
        <f>#REF!</f>
        <v>#REF!</v>
      </c>
      <c r="U16" s="1604" t="e">
        <f>#REF!</f>
        <v>#REF!</v>
      </c>
      <c r="V16" s="1604" t="e">
        <f>#REF!</f>
        <v>#REF!</v>
      </c>
      <c r="W16" s="1604" t="e">
        <f>#REF!</f>
        <v>#REF!</v>
      </c>
      <c r="X16" s="1604" t="e">
        <f>#REF!</f>
        <v>#REF!</v>
      </c>
      <c r="Y16" s="1575"/>
      <c r="Z16" s="1603" t="e">
        <f>#REF!</f>
        <v>#REF!</v>
      </c>
      <c r="AA16" s="1604" t="e">
        <f>#REF!</f>
        <v>#REF!</v>
      </c>
      <c r="AB16" s="1604" t="e">
        <f>#REF!</f>
        <v>#REF!</v>
      </c>
      <c r="AC16" s="1604" t="e">
        <f>#REF!</f>
        <v>#REF!</v>
      </c>
      <c r="AD16" s="1604" t="e">
        <f>#REF!</f>
        <v>#REF!</v>
      </c>
      <c r="AE16" s="1604" t="e">
        <f>#REF!</f>
        <v>#REF!</v>
      </c>
      <c r="AF16" s="1575"/>
      <c r="AG16" s="1603" t="e">
        <f>#REF!</f>
        <v>#REF!</v>
      </c>
      <c r="AH16" s="1604" t="e">
        <f>#REF!</f>
        <v>#REF!</v>
      </c>
      <c r="AI16" s="1604" t="e">
        <f>#REF!</f>
        <v>#REF!</v>
      </c>
      <c r="AJ16" s="1604" t="e">
        <f>#REF!</f>
        <v>#REF!</v>
      </c>
      <c r="AK16" s="1604" t="e">
        <f>#REF!</f>
        <v>#REF!</v>
      </c>
      <c r="AL16" s="1604" t="e">
        <f>#REF!</f>
        <v>#REF!</v>
      </c>
      <c r="AM16" s="1575"/>
      <c r="AN16" s="1603" t="e">
        <f>#REF!</f>
        <v>#REF!</v>
      </c>
      <c r="AO16" s="1604" t="e">
        <f>#REF!</f>
        <v>#REF!</v>
      </c>
      <c r="AP16" s="1604" t="e">
        <f>#REF!</f>
        <v>#REF!</v>
      </c>
      <c r="AQ16" s="1604" t="e">
        <f>#REF!</f>
        <v>#REF!</v>
      </c>
      <c r="AR16" s="1604" t="e">
        <f>#REF!</f>
        <v>#REF!</v>
      </c>
      <c r="AS16" s="1604" t="e">
        <f>#REF!</f>
        <v>#REF!</v>
      </c>
      <c r="AT16" s="1575"/>
      <c r="AU16" s="1603" t="e">
        <f>#REF!</f>
        <v>#REF!</v>
      </c>
      <c r="AV16" s="1604" t="e">
        <f>#REF!</f>
        <v>#REF!</v>
      </c>
      <c r="AW16" s="1604" t="e">
        <f>#REF!</f>
        <v>#REF!</v>
      </c>
      <c r="AX16" s="1604" t="e">
        <f>#REF!</f>
        <v>#REF!</v>
      </c>
      <c r="AY16" s="1604" t="e">
        <f>#REF!</f>
        <v>#REF!</v>
      </c>
      <c r="AZ16" s="1604" t="e">
        <f>#REF!</f>
        <v>#REF!</v>
      </c>
      <c r="BA16" s="1575"/>
      <c r="BB16" s="1603" t="e">
        <f>#REF!</f>
        <v>#REF!</v>
      </c>
      <c r="BC16" s="1604" t="e">
        <f>#REF!</f>
        <v>#REF!</v>
      </c>
      <c r="BD16" s="1604" t="e">
        <f>#REF!</f>
        <v>#REF!</v>
      </c>
      <c r="BE16" s="1604" t="e">
        <f>#REF!</f>
        <v>#REF!</v>
      </c>
      <c r="BF16" s="1604" t="e">
        <f>#REF!</f>
        <v>#REF!</v>
      </c>
      <c r="BG16" s="1604" t="e">
        <f>#REF!</f>
        <v>#REF!</v>
      </c>
      <c r="BH16" s="1575"/>
      <c r="BI16" s="1603" t="e">
        <f>#REF!</f>
        <v>#REF!</v>
      </c>
      <c r="BJ16" s="1604" t="e">
        <f>#REF!</f>
        <v>#REF!</v>
      </c>
      <c r="BK16" s="1604" t="e">
        <f>#REF!</f>
        <v>#REF!</v>
      </c>
      <c r="BL16" s="1604" t="e">
        <f>#REF!</f>
        <v>#REF!</v>
      </c>
      <c r="BM16" s="1604" t="e">
        <f>#REF!</f>
        <v>#REF!</v>
      </c>
      <c r="BN16" s="1604" t="e">
        <f>#REF!</f>
        <v>#REF!</v>
      </c>
      <c r="BO16" s="1575"/>
      <c r="BP16" s="1603" t="e">
        <f>#REF!</f>
        <v>#REF!</v>
      </c>
      <c r="BQ16" s="1604" t="e">
        <f>#REF!</f>
        <v>#REF!</v>
      </c>
      <c r="BR16" s="1604" t="e">
        <f>#REF!</f>
        <v>#REF!</v>
      </c>
      <c r="BS16" s="1604" t="e">
        <f>#REF!</f>
        <v>#REF!</v>
      </c>
      <c r="BT16" s="1604" t="e">
        <f>#REF!</f>
        <v>#REF!</v>
      </c>
      <c r="BU16" s="1604" t="e">
        <f>#REF!</f>
        <v>#REF!</v>
      </c>
    </row>
    <row r="17" spans="1:73" s="1599" customFormat="1" ht="15" outlineLevel="1">
      <c r="A17" s="1593" t="s">
        <v>1105</v>
      </c>
      <c r="B17" s="1594"/>
      <c r="C17" s="1595"/>
      <c r="D17" s="1596"/>
      <c r="E17" s="1605" t="e">
        <f t="shared" ref="E17:J17" si="40">E15-E16</f>
        <v>#REF!</v>
      </c>
      <c r="F17" s="1606" t="e">
        <f t="shared" si="40"/>
        <v>#REF!</v>
      </c>
      <c r="G17" s="1606" t="e">
        <f t="shared" si="40"/>
        <v>#REF!</v>
      </c>
      <c r="H17" s="1606" t="e">
        <f t="shared" si="40"/>
        <v>#REF!</v>
      </c>
      <c r="I17" s="1606" t="e">
        <f t="shared" si="40"/>
        <v>#REF!</v>
      </c>
      <c r="J17" s="1606" t="e">
        <f t="shared" si="40"/>
        <v>#REF!</v>
      </c>
      <c r="K17" s="1596"/>
      <c r="L17" s="1605" t="e">
        <f t="shared" ref="L17:Q17" si="41">L15-L16</f>
        <v>#REF!</v>
      </c>
      <c r="M17" s="1606" t="e">
        <f t="shared" si="41"/>
        <v>#REF!</v>
      </c>
      <c r="N17" s="1606" t="e">
        <f t="shared" si="41"/>
        <v>#REF!</v>
      </c>
      <c r="O17" s="1606" t="e">
        <f t="shared" si="41"/>
        <v>#REF!</v>
      </c>
      <c r="P17" s="1606" t="e">
        <f t="shared" si="41"/>
        <v>#REF!</v>
      </c>
      <c r="Q17" s="1606" t="e">
        <f t="shared" si="41"/>
        <v>#REF!</v>
      </c>
      <c r="R17" s="1596"/>
      <c r="S17" s="1605" t="e">
        <f t="shared" ref="S17:X17" si="42">S15-S16</f>
        <v>#REF!</v>
      </c>
      <c r="T17" s="1606" t="e">
        <f t="shared" si="42"/>
        <v>#REF!</v>
      </c>
      <c r="U17" s="1606" t="e">
        <f t="shared" si="42"/>
        <v>#REF!</v>
      </c>
      <c r="V17" s="1606" t="e">
        <f t="shared" si="42"/>
        <v>#REF!</v>
      </c>
      <c r="W17" s="1606" t="e">
        <f t="shared" si="42"/>
        <v>#REF!</v>
      </c>
      <c r="X17" s="1606" t="e">
        <f t="shared" si="42"/>
        <v>#REF!</v>
      </c>
      <c r="Y17" s="1596"/>
      <c r="Z17" s="1605" t="e">
        <f t="shared" ref="Z17:AE17" si="43">Z15-Z16</f>
        <v>#REF!</v>
      </c>
      <c r="AA17" s="1606" t="e">
        <f t="shared" si="43"/>
        <v>#REF!</v>
      </c>
      <c r="AB17" s="1606" t="e">
        <f t="shared" si="43"/>
        <v>#REF!</v>
      </c>
      <c r="AC17" s="1606" t="e">
        <f t="shared" si="43"/>
        <v>#REF!</v>
      </c>
      <c r="AD17" s="1606" t="e">
        <f t="shared" si="43"/>
        <v>#REF!</v>
      </c>
      <c r="AE17" s="1606" t="e">
        <f t="shared" si="43"/>
        <v>#REF!</v>
      </c>
      <c r="AF17" s="1596"/>
      <c r="AG17" s="1605" t="e">
        <f t="shared" ref="AG17:AL17" si="44">AG15-AG16</f>
        <v>#REF!</v>
      </c>
      <c r="AH17" s="1606" t="e">
        <f t="shared" si="44"/>
        <v>#REF!</v>
      </c>
      <c r="AI17" s="1606" t="e">
        <f t="shared" si="44"/>
        <v>#REF!</v>
      </c>
      <c r="AJ17" s="1606" t="e">
        <f t="shared" si="44"/>
        <v>#REF!</v>
      </c>
      <c r="AK17" s="1606" t="e">
        <f t="shared" si="44"/>
        <v>#REF!</v>
      </c>
      <c r="AL17" s="1606" t="e">
        <f t="shared" si="44"/>
        <v>#REF!</v>
      </c>
      <c r="AM17" s="1596"/>
      <c r="AN17" s="1605" t="e">
        <f t="shared" ref="AN17:AS17" si="45">AN15-AN16</f>
        <v>#REF!</v>
      </c>
      <c r="AO17" s="1606" t="e">
        <f t="shared" si="45"/>
        <v>#REF!</v>
      </c>
      <c r="AP17" s="1606" t="e">
        <f t="shared" si="45"/>
        <v>#REF!</v>
      </c>
      <c r="AQ17" s="1606" t="e">
        <f t="shared" si="45"/>
        <v>#REF!</v>
      </c>
      <c r="AR17" s="1606" t="e">
        <f t="shared" si="45"/>
        <v>#REF!</v>
      </c>
      <c r="AS17" s="1606" t="e">
        <f t="shared" si="45"/>
        <v>#REF!</v>
      </c>
      <c r="AT17" s="1596"/>
      <c r="AU17" s="1605" t="e">
        <f t="shared" ref="AU17:AZ17" si="46">AU15-AU16</f>
        <v>#REF!</v>
      </c>
      <c r="AV17" s="1606" t="e">
        <f t="shared" si="46"/>
        <v>#REF!</v>
      </c>
      <c r="AW17" s="1606" t="e">
        <f t="shared" si="46"/>
        <v>#REF!</v>
      </c>
      <c r="AX17" s="1606" t="e">
        <f t="shared" si="46"/>
        <v>#REF!</v>
      </c>
      <c r="AY17" s="1606" t="e">
        <f t="shared" si="46"/>
        <v>#REF!</v>
      </c>
      <c r="AZ17" s="1606" t="e">
        <f t="shared" si="46"/>
        <v>#REF!</v>
      </c>
      <c r="BA17" s="1596"/>
      <c r="BB17" s="1605" t="e">
        <f t="shared" ref="BB17:BG17" si="47">BB15-BB16</f>
        <v>#REF!</v>
      </c>
      <c r="BC17" s="1606" t="e">
        <f t="shared" si="47"/>
        <v>#REF!</v>
      </c>
      <c r="BD17" s="1606" t="e">
        <f t="shared" si="47"/>
        <v>#REF!</v>
      </c>
      <c r="BE17" s="1606" t="e">
        <f t="shared" si="47"/>
        <v>#REF!</v>
      </c>
      <c r="BF17" s="1606" t="e">
        <f t="shared" si="47"/>
        <v>#REF!</v>
      </c>
      <c r="BG17" s="1606" t="e">
        <f t="shared" si="47"/>
        <v>#REF!</v>
      </c>
      <c r="BH17" s="1596"/>
      <c r="BI17" s="1605" t="e">
        <f t="shared" ref="BI17:BN17" si="48">BI15-BI16</f>
        <v>#REF!</v>
      </c>
      <c r="BJ17" s="1606" t="e">
        <f t="shared" si="48"/>
        <v>#REF!</v>
      </c>
      <c r="BK17" s="1606" t="e">
        <f t="shared" si="48"/>
        <v>#REF!</v>
      </c>
      <c r="BL17" s="1606" t="e">
        <f t="shared" si="48"/>
        <v>#REF!</v>
      </c>
      <c r="BM17" s="1606" t="e">
        <f t="shared" si="48"/>
        <v>#REF!</v>
      </c>
      <c r="BN17" s="1606" t="e">
        <f t="shared" si="48"/>
        <v>#REF!</v>
      </c>
      <c r="BO17" s="1596"/>
      <c r="BP17" s="1605" t="e">
        <f t="shared" ref="BP17:BU17" si="49">BP15-BP16</f>
        <v>#REF!</v>
      </c>
      <c r="BQ17" s="1606" t="e">
        <f t="shared" si="49"/>
        <v>#REF!</v>
      </c>
      <c r="BR17" s="1606" t="e">
        <f t="shared" si="49"/>
        <v>#REF!</v>
      </c>
      <c r="BS17" s="1606" t="e">
        <f t="shared" si="49"/>
        <v>#REF!</v>
      </c>
      <c r="BT17" s="1606" t="e">
        <f t="shared" si="49"/>
        <v>#REF!</v>
      </c>
      <c r="BU17" s="1606" t="e">
        <f t="shared" si="49"/>
        <v>#REF!</v>
      </c>
    </row>
    <row r="18" spans="1:73" s="1613" customFormat="1" ht="15" outlineLevel="1">
      <c r="A18" s="1607" t="s">
        <v>28</v>
      </c>
      <c r="B18" s="1608"/>
      <c r="C18" s="1609"/>
      <c r="D18" s="1610"/>
      <c r="E18" s="1611">
        <f t="shared" ref="E18:J18" si="50">SUM(E19:E20)</f>
        <v>3526.3184000000001</v>
      </c>
      <c r="F18" s="1611">
        <f t="shared" si="50"/>
        <v>653</v>
      </c>
      <c r="G18" s="1611">
        <f t="shared" si="50"/>
        <v>998</v>
      </c>
      <c r="H18" s="1611">
        <f t="shared" si="50"/>
        <v>1392</v>
      </c>
      <c r="I18" s="1611">
        <f t="shared" si="50"/>
        <v>1392</v>
      </c>
      <c r="J18" s="1611">
        <f t="shared" si="50"/>
        <v>1392</v>
      </c>
      <c r="K18" s="1610"/>
      <c r="L18" s="1612">
        <f t="shared" ref="L18:Q18" si="51">SUM(L19:L20)</f>
        <v>3867.7090000000003</v>
      </c>
      <c r="M18" s="1612">
        <f t="shared" si="51"/>
        <v>653</v>
      </c>
      <c r="N18" s="1612">
        <f t="shared" si="51"/>
        <v>998</v>
      </c>
      <c r="O18" s="1612">
        <f t="shared" si="51"/>
        <v>1392</v>
      </c>
      <c r="P18" s="1612">
        <f t="shared" si="51"/>
        <v>1392</v>
      </c>
      <c r="Q18" s="1612">
        <f t="shared" si="51"/>
        <v>1392</v>
      </c>
      <c r="R18" s="1610"/>
      <c r="S18" s="1612">
        <f t="shared" ref="S18:X18" si="52">SUM(S19:S20)</f>
        <v>3867.7090000000003</v>
      </c>
      <c r="T18" s="1612">
        <f t="shared" si="52"/>
        <v>653</v>
      </c>
      <c r="U18" s="1612">
        <f t="shared" si="52"/>
        <v>998</v>
      </c>
      <c r="V18" s="1612">
        <f t="shared" si="52"/>
        <v>1392</v>
      </c>
      <c r="W18" s="1612">
        <f t="shared" si="52"/>
        <v>1392</v>
      </c>
      <c r="X18" s="1612">
        <f t="shared" si="52"/>
        <v>1392</v>
      </c>
      <c r="Y18" s="1610"/>
      <c r="Z18" s="1612">
        <f t="shared" ref="Z18:AE18" si="53">SUM(Z19:Z20)</f>
        <v>4342.3940000000002</v>
      </c>
      <c r="AA18" s="1612">
        <f t="shared" si="53"/>
        <v>653</v>
      </c>
      <c r="AB18" s="1612">
        <f t="shared" si="53"/>
        <v>0</v>
      </c>
      <c r="AC18" s="1612">
        <f t="shared" si="53"/>
        <v>1392</v>
      </c>
      <c r="AD18" s="1612">
        <f t="shared" si="53"/>
        <v>1392</v>
      </c>
      <c r="AE18" s="1612">
        <f t="shared" si="53"/>
        <v>1392</v>
      </c>
      <c r="AF18" s="1610"/>
      <c r="AG18" s="1612">
        <f t="shared" ref="AG18:AL18" si="54">SUM(AG19:AG20)</f>
        <v>4592.3940000000002</v>
      </c>
      <c r="AH18" s="1612">
        <f t="shared" si="54"/>
        <v>653</v>
      </c>
      <c r="AI18" s="1612">
        <f t="shared" si="54"/>
        <v>998</v>
      </c>
      <c r="AJ18" s="1612">
        <f t="shared" si="54"/>
        <v>1392</v>
      </c>
      <c r="AK18" s="1612">
        <f t="shared" si="54"/>
        <v>1392</v>
      </c>
      <c r="AL18" s="1612">
        <f t="shared" si="54"/>
        <v>1392</v>
      </c>
      <c r="AM18" s="1610"/>
      <c r="AN18" s="1612">
        <f t="shared" ref="AN18:AS18" si="55">SUM(AN19:AN20)</f>
        <v>3416.1923999999999</v>
      </c>
      <c r="AO18" s="1612">
        <f t="shared" si="55"/>
        <v>653</v>
      </c>
      <c r="AP18" s="1612">
        <f t="shared" si="55"/>
        <v>998</v>
      </c>
      <c r="AQ18" s="1612">
        <f t="shared" si="55"/>
        <v>1392</v>
      </c>
      <c r="AR18" s="1612">
        <f t="shared" si="55"/>
        <v>0</v>
      </c>
      <c r="AS18" s="1612">
        <f t="shared" si="55"/>
        <v>1392</v>
      </c>
      <c r="AT18" s="1610"/>
      <c r="AU18" s="1612">
        <f t="shared" ref="AU18:AZ18" si="56">SUM(AU19:AU20)</f>
        <v>3416.1923999999999</v>
      </c>
      <c r="AV18" s="1612">
        <f t="shared" si="56"/>
        <v>653</v>
      </c>
      <c r="AW18" s="1612">
        <f t="shared" si="56"/>
        <v>998</v>
      </c>
      <c r="AX18" s="1612">
        <f t="shared" si="56"/>
        <v>1392</v>
      </c>
      <c r="AY18" s="1612">
        <f t="shared" si="56"/>
        <v>1392</v>
      </c>
      <c r="AZ18" s="1612">
        <f t="shared" si="56"/>
        <v>1392</v>
      </c>
      <c r="BA18" s="1610"/>
      <c r="BB18" s="1612">
        <f t="shared" ref="BB18:BG18" si="57">SUM(BB19:BB20)</f>
        <v>3416.1923999999999</v>
      </c>
      <c r="BC18" s="1612">
        <f t="shared" si="57"/>
        <v>653</v>
      </c>
      <c r="BD18" s="1612">
        <f t="shared" si="57"/>
        <v>998</v>
      </c>
      <c r="BE18" s="1612">
        <f t="shared" si="57"/>
        <v>1392</v>
      </c>
      <c r="BF18" s="1612">
        <f t="shared" si="57"/>
        <v>1392</v>
      </c>
      <c r="BG18" s="1612">
        <f t="shared" si="57"/>
        <v>1392</v>
      </c>
      <c r="BH18" s="1610"/>
      <c r="BI18" s="1612">
        <f t="shared" ref="BI18:BN18" si="58">SUM(BI19:BI20)</f>
        <v>3416.1923999999999</v>
      </c>
      <c r="BJ18" s="1612">
        <f t="shared" si="58"/>
        <v>653</v>
      </c>
      <c r="BK18" s="1612">
        <f t="shared" si="58"/>
        <v>998</v>
      </c>
      <c r="BL18" s="1612">
        <f t="shared" si="58"/>
        <v>1392</v>
      </c>
      <c r="BM18" s="1612">
        <f t="shared" si="58"/>
        <v>1392</v>
      </c>
      <c r="BN18" s="1612">
        <f t="shared" si="58"/>
        <v>1392</v>
      </c>
      <c r="BO18" s="1610"/>
      <c r="BP18" s="1612">
        <f t="shared" ref="BP18:BU18" si="59">SUM(BP19:BP20)</f>
        <v>3416.1923999999999</v>
      </c>
      <c r="BQ18" s="1612">
        <f t="shared" si="59"/>
        <v>653</v>
      </c>
      <c r="BR18" s="1612">
        <f t="shared" si="59"/>
        <v>998</v>
      </c>
      <c r="BS18" s="1612">
        <f t="shared" si="59"/>
        <v>1392</v>
      </c>
      <c r="BT18" s="1612">
        <f t="shared" si="59"/>
        <v>1392</v>
      </c>
      <c r="BU18" s="1612">
        <f t="shared" si="59"/>
        <v>1392</v>
      </c>
    </row>
    <row r="19" spans="1:73" s="1620" customFormat="1" outlineLevel="1">
      <c r="A19" s="1614" t="s">
        <v>29</v>
      </c>
      <c r="B19" s="1615"/>
      <c r="C19" s="1616">
        <v>3.4000000000000002E-2</v>
      </c>
      <c r="D19" s="1617"/>
      <c r="E19" s="1587">
        <f>IF(E5="",0,E5*$C19)</f>
        <v>2026.3184000000001</v>
      </c>
      <c r="F19" s="1588"/>
      <c r="G19" s="1588"/>
      <c r="H19" s="1588"/>
      <c r="I19" s="1588"/>
      <c r="J19" s="1588"/>
      <c r="K19" s="1618"/>
      <c r="L19" s="1587">
        <f>IF(L5="",0,L5*$C19)</f>
        <v>2367.7090000000003</v>
      </c>
      <c r="M19" s="1588"/>
      <c r="N19" s="1588"/>
      <c r="O19" s="1619"/>
      <c r="P19" s="1619"/>
      <c r="Q19" s="1619"/>
      <c r="R19" s="1617"/>
      <c r="S19" s="1587">
        <f>IF(S5="",0,S5*$C19)</f>
        <v>2367.7090000000003</v>
      </c>
      <c r="T19" s="1588"/>
      <c r="U19" s="1588"/>
      <c r="V19" s="1619"/>
      <c r="W19" s="1619"/>
      <c r="X19" s="1619"/>
      <c r="Y19" s="1617"/>
      <c r="Z19" s="1587">
        <f>IF(Z5="",0,Z5*$C19)</f>
        <v>2092.3940000000002</v>
      </c>
      <c r="AA19" s="1588"/>
      <c r="AB19" s="1588"/>
      <c r="AC19" s="1619"/>
      <c r="AD19" s="1619"/>
      <c r="AE19" s="1619"/>
      <c r="AF19" s="1617"/>
      <c r="AG19" s="1587">
        <f>IF(AG5="",0,AG5*$C19)</f>
        <v>2092.3940000000002</v>
      </c>
      <c r="AH19" s="1588"/>
      <c r="AI19" s="1588"/>
      <c r="AJ19" s="1619"/>
      <c r="AK19" s="1619"/>
      <c r="AL19" s="1619"/>
      <c r="AM19" s="1617"/>
      <c r="AN19" s="1587">
        <f>IF(AN5="",0,AN5*$C19)</f>
        <v>1916.1924000000001</v>
      </c>
      <c r="AO19" s="1588"/>
      <c r="AP19" s="1588"/>
      <c r="AQ19" s="1619"/>
      <c r="AR19" s="1619"/>
      <c r="AS19" s="1619"/>
      <c r="AT19" s="1617"/>
      <c r="AU19" s="1587">
        <f>IF(AU5="",0,AU5*$C19)</f>
        <v>1916.1924000000001</v>
      </c>
      <c r="AV19" s="1588"/>
      <c r="AW19" s="1588"/>
      <c r="AX19" s="1619"/>
      <c r="AY19" s="1619"/>
      <c r="AZ19" s="1619"/>
      <c r="BA19" s="1617"/>
      <c r="BB19" s="1587">
        <f>IF(BB5="",0,BB5*$C19)</f>
        <v>1916.1924000000001</v>
      </c>
      <c r="BC19" s="1588"/>
      <c r="BD19" s="1588"/>
      <c r="BE19" s="1619"/>
      <c r="BF19" s="1619"/>
      <c r="BG19" s="1619"/>
      <c r="BH19" s="1617"/>
      <c r="BI19" s="1587">
        <f>IF(BI5="",0,BI5*$C19)</f>
        <v>1916.1924000000001</v>
      </c>
      <c r="BJ19" s="1588"/>
      <c r="BK19" s="1588"/>
      <c r="BL19" s="1619"/>
      <c r="BM19" s="1619"/>
      <c r="BN19" s="1619"/>
      <c r="BO19" s="1617"/>
      <c r="BP19" s="1587">
        <f>IF(BP5="",0,BP5*$C19)</f>
        <v>1916.1924000000001</v>
      </c>
      <c r="BQ19" s="1588"/>
      <c r="BR19" s="1588"/>
      <c r="BS19" s="1619"/>
      <c r="BT19" s="1619"/>
      <c r="BU19" s="1619"/>
    </row>
    <row r="20" spans="1:73" s="1620" customFormat="1" ht="25.5" outlineLevel="1">
      <c r="A20" s="1621" t="s">
        <v>1106</v>
      </c>
      <c r="B20" s="1622"/>
      <c r="C20" s="1623"/>
      <c r="D20" s="1624"/>
      <c r="E20" s="1625">
        <v>1500</v>
      </c>
      <c r="F20" s="1589">
        <v>653</v>
      </c>
      <c r="G20" s="1588">
        <v>998</v>
      </c>
      <c r="H20" s="1589">
        <v>1392</v>
      </c>
      <c r="I20" s="1589">
        <v>1392</v>
      </c>
      <c r="J20" s="1589">
        <v>1392</v>
      </c>
      <c r="K20" s="1626"/>
      <c r="L20" s="1627">
        <v>1500</v>
      </c>
      <c r="M20" s="1628">
        <v>653</v>
      </c>
      <c r="N20" s="1629">
        <v>998</v>
      </c>
      <c r="O20" s="1630">
        <v>1392</v>
      </c>
      <c r="P20" s="1630">
        <v>1392</v>
      </c>
      <c r="Q20" s="1630">
        <v>1392</v>
      </c>
      <c r="R20" s="1624"/>
      <c r="S20" s="1627">
        <v>1500</v>
      </c>
      <c r="T20" s="1628">
        <v>653</v>
      </c>
      <c r="U20" s="1629">
        <v>998</v>
      </c>
      <c r="V20" s="1630">
        <v>1392</v>
      </c>
      <c r="W20" s="1630">
        <v>1392</v>
      </c>
      <c r="X20" s="1630">
        <v>1392</v>
      </c>
      <c r="Y20" s="1624"/>
      <c r="Z20" s="1627">
        <v>2250</v>
      </c>
      <c r="AA20" s="1628">
        <v>653</v>
      </c>
      <c r="AB20" s="1629"/>
      <c r="AC20" s="1630">
        <v>1392</v>
      </c>
      <c r="AD20" s="1630">
        <v>1392</v>
      </c>
      <c r="AE20" s="1630">
        <v>1392</v>
      </c>
      <c r="AF20" s="1624"/>
      <c r="AG20" s="1627">
        <v>2500</v>
      </c>
      <c r="AH20" s="1628">
        <v>653</v>
      </c>
      <c r="AI20" s="1629">
        <v>998</v>
      </c>
      <c r="AJ20" s="1630">
        <v>1392</v>
      </c>
      <c r="AK20" s="1630">
        <v>1392</v>
      </c>
      <c r="AL20" s="1630">
        <v>1392</v>
      </c>
      <c r="AM20" s="1624"/>
      <c r="AN20" s="1627">
        <v>1500</v>
      </c>
      <c r="AO20" s="1628">
        <v>653</v>
      </c>
      <c r="AP20" s="1629">
        <v>998</v>
      </c>
      <c r="AQ20" s="1630">
        <v>1392</v>
      </c>
      <c r="AR20" s="1630"/>
      <c r="AS20" s="1630">
        <v>1392</v>
      </c>
      <c r="AT20" s="1624"/>
      <c r="AU20" s="1627">
        <v>1500</v>
      </c>
      <c r="AV20" s="1628">
        <v>653</v>
      </c>
      <c r="AW20" s="1629">
        <v>998</v>
      </c>
      <c r="AX20" s="1630">
        <v>1392</v>
      </c>
      <c r="AY20" s="1630">
        <v>1392</v>
      </c>
      <c r="AZ20" s="1630">
        <v>1392</v>
      </c>
      <c r="BA20" s="1624"/>
      <c r="BB20" s="1627">
        <v>1500</v>
      </c>
      <c r="BC20" s="1628">
        <v>653</v>
      </c>
      <c r="BD20" s="1629">
        <v>998</v>
      </c>
      <c r="BE20" s="1630">
        <v>1392</v>
      </c>
      <c r="BF20" s="1630">
        <v>1392</v>
      </c>
      <c r="BG20" s="1630">
        <v>1392</v>
      </c>
      <c r="BH20" s="1624"/>
      <c r="BI20" s="1627">
        <v>1500</v>
      </c>
      <c r="BJ20" s="1628">
        <v>653</v>
      </c>
      <c r="BK20" s="1629">
        <v>998</v>
      </c>
      <c r="BL20" s="1630">
        <v>1392</v>
      </c>
      <c r="BM20" s="1630">
        <v>1392</v>
      </c>
      <c r="BN20" s="1630">
        <v>1392</v>
      </c>
      <c r="BO20" s="1624"/>
      <c r="BP20" s="1627">
        <v>1500</v>
      </c>
      <c r="BQ20" s="1628">
        <v>653</v>
      </c>
      <c r="BR20" s="1629">
        <v>998</v>
      </c>
      <c r="BS20" s="1630">
        <v>1392</v>
      </c>
      <c r="BT20" s="1630">
        <v>1392</v>
      </c>
      <c r="BU20" s="1630">
        <v>1392</v>
      </c>
    </row>
    <row r="21" spans="1:73" s="1599" customFormat="1" ht="30" outlineLevel="1">
      <c r="A21" s="1631" t="s">
        <v>1107</v>
      </c>
      <c r="B21" s="1594"/>
      <c r="C21" s="1595"/>
      <c r="D21" s="1596"/>
      <c r="E21" s="1597" t="e">
        <f t="shared" ref="E21:J21" si="60">E17-E18</f>
        <v>#REF!</v>
      </c>
      <c r="F21" s="1598" t="e">
        <f t="shared" si="60"/>
        <v>#REF!</v>
      </c>
      <c r="G21" s="1598" t="e">
        <f t="shared" si="60"/>
        <v>#REF!</v>
      </c>
      <c r="H21" s="1598" t="e">
        <f t="shared" si="60"/>
        <v>#REF!</v>
      </c>
      <c r="I21" s="1598" t="e">
        <f t="shared" si="60"/>
        <v>#REF!</v>
      </c>
      <c r="J21" s="1598" t="e">
        <f t="shared" si="60"/>
        <v>#REF!</v>
      </c>
      <c r="K21" s="1596"/>
      <c r="L21" s="1605" t="e">
        <f t="shared" ref="L21:Q21" si="61">L17-L18</f>
        <v>#REF!</v>
      </c>
      <c r="M21" s="1606" t="e">
        <f t="shared" si="61"/>
        <v>#REF!</v>
      </c>
      <c r="N21" s="1606" t="e">
        <f t="shared" si="61"/>
        <v>#REF!</v>
      </c>
      <c r="O21" s="1606" t="e">
        <f t="shared" si="61"/>
        <v>#REF!</v>
      </c>
      <c r="P21" s="1606" t="e">
        <f t="shared" si="61"/>
        <v>#REF!</v>
      </c>
      <c r="Q21" s="1606" t="e">
        <f t="shared" si="61"/>
        <v>#REF!</v>
      </c>
      <c r="R21" s="1596"/>
      <c r="S21" s="1605" t="e">
        <f t="shared" ref="S21:X21" si="62">S17-S18</f>
        <v>#REF!</v>
      </c>
      <c r="T21" s="1606" t="e">
        <f t="shared" si="62"/>
        <v>#REF!</v>
      </c>
      <c r="U21" s="1606" t="e">
        <f t="shared" si="62"/>
        <v>#REF!</v>
      </c>
      <c r="V21" s="1606" t="e">
        <f t="shared" si="62"/>
        <v>#REF!</v>
      </c>
      <c r="W21" s="1606" t="e">
        <f t="shared" si="62"/>
        <v>#REF!</v>
      </c>
      <c r="X21" s="1606" t="e">
        <f t="shared" si="62"/>
        <v>#REF!</v>
      </c>
      <c r="Y21" s="1596"/>
      <c r="Z21" s="1605" t="e">
        <f t="shared" ref="Z21:AE21" si="63">Z17-Z18</f>
        <v>#REF!</v>
      </c>
      <c r="AA21" s="1606" t="e">
        <f t="shared" si="63"/>
        <v>#REF!</v>
      </c>
      <c r="AB21" s="1606" t="e">
        <f t="shared" si="63"/>
        <v>#REF!</v>
      </c>
      <c r="AC21" s="1606" t="e">
        <f t="shared" si="63"/>
        <v>#REF!</v>
      </c>
      <c r="AD21" s="1606" t="e">
        <f t="shared" si="63"/>
        <v>#REF!</v>
      </c>
      <c r="AE21" s="1606" t="e">
        <f t="shared" si="63"/>
        <v>#REF!</v>
      </c>
      <c r="AF21" s="1596"/>
      <c r="AG21" s="1605" t="e">
        <f t="shared" ref="AG21:AL21" si="64">AG17-AG18</f>
        <v>#REF!</v>
      </c>
      <c r="AH21" s="1606" t="e">
        <f t="shared" si="64"/>
        <v>#REF!</v>
      </c>
      <c r="AI21" s="1606" t="e">
        <f t="shared" si="64"/>
        <v>#REF!</v>
      </c>
      <c r="AJ21" s="1606" t="e">
        <f t="shared" si="64"/>
        <v>#REF!</v>
      </c>
      <c r="AK21" s="1606" t="e">
        <f t="shared" si="64"/>
        <v>#REF!</v>
      </c>
      <c r="AL21" s="1606" t="e">
        <f t="shared" si="64"/>
        <v>#REF!</v>
      </c>
      <c r="AM21" s="1596"/>
      <c r="AN21" s="1605" t="e">
        <f t="shared" ref="AN21:AS21" si="65">AN17-AN18</f>
        <v>#REF!</v>
      </c>
      <c r="AO21" s="1606" t="e">
        <f t="shared" si="65"/>
        <v>#REF!</v>
      </c>
      <c r="AP21" s="1606" t="e">
        <f t="shared" si="65"/>
        <v>#REF!</v>
      </c>
      <c r="AQ21" s="1606" t="e">
        <f t="shared" si="65"/>
        <v>#REF!</v>
      </c>
      <c r="AR21" s="1606" t="e">
        <f t="shared" si="65"/>
        <v>#REF!</v>
      </c>
      <c r="AS21" s="1606" t="e">
        <f t="shared" si="65"/>
        <v>#REF!</v>
      </c>
      <c r="AT21" s="1596"/>
      <c r="AU21" s="1605" t="e">
        <f t="shared" ref="AU21:AZ21" si="66">AU17-AU18</f>
        <v>#REF!</v>
      </c>
      <c r="AV21" s="1606" t="e">
        <f t="shared" si="66"/>
        <v>#REF!</v>
      </c>
      <c r="AW21" s="1606" t="e">
        <f t="shared" si="66"/>
        <v>#REF!</v>
      </c>
      <c r="AX21" s="1606" t="e">
        <f t="shared" si="66"/>
        <v>#REF!</v>
      </c>
      <c r="AY21" s="1606" t="e">
        <f t="shared" si="66"/>
        <v>#REF!</v>
      </c>
      <c r="AZ21" s="1606" t="e">
        <f t="shared" si="66"/>
        <v>#REF!</v>
      </c>
      <c r="BA21" s="1596"/>
      <c r="BB21" s="1605" t="e">
        <f t="shared" ref="BB21:BG21" si="67">BB17-BB18</f>
        <v>#REF!</v>
      </c>
      <c r="BC21" s="1606" t="e">
        <f t="shared" si="67"/>
        <v>#REF!</v>
      </c>
      <c r="BD21" s="1606" t="e">
        <f t="shared" si="67"/>
        <v>#REF!</v>
      </c>
      <c r="BE21" s="1606" t="e">
        <f t="shared" si="67"/>
        <v>#REF!</v>
      </c>
      <c r="BF21" s="1606" t="e">
        <f t="shared" si="67"/>
        <v>#REF!</v>
      </c>
      <c r="BG21" s="1606" t="e">
        <f t="shared" si="67"/>
        <v>#REF!</v>
      </c>
      <c r="BH21" s="1596"/>
      <c r="BI21" s="1605" t="e">
        <f t="shared" ref="BI21:BN21" si="68">BI17-BI18</f>
        <v>#REF!</v>
      </c>
      <c r="BJ21" s="1606" t="e">
        <f t="shared" si="68"/>
        <v>#REF!</v>
      </c>
      <c r="BK21" s="1606" t="e">
        <f t="shared" si="68"/>
        <v>#REF!</v>
      </c>
      <c r="BL21" s="1606" t="e">
        <f t="shared" si="68"/>
        <v>#REF!</v>
      </c>
      <c r="BM21" s="1606" t="e">
        <f t="shared" si="68"/>
        <v>#REF!</v>
      </c>
      <c r="BN21" s="1606" t="e">
        <f t="shared" si="68"/>
        <v>#REF!</v>
      </c>
      <c r="BO21" s="1596"/>
      <c r="BP21" s="1605" t="e">
        <f t="shared" ref="BP21:BU21" si="69">BP17-BP18</f>
        <v>#REF!</v>
      </c>
      <c r="BQ21" s="1606" t="e">
        <f t="shared" si="69"/>
        <v>#REF!</v>
      </c>
      <c r="BR21" s="1606" t="e">
        <f t="shared" si="69"/>
        <v>#REF!</v>
      </c>
      <c r="BS21" s="1606" t="e">
        <f t="shared" si="69"/>
        <v>#REF!</v>
      </c>
      <c r="BT21" s="1606" t="e">
        <f t="shared" si="69"/>
        <v>#REF!</v>
      </c>
      <c r="BU21" s="1606" t="e">
        <f t="shared" si="69"/>
        <v>#REF!</v>
      </c>
    </row>
    <row r="22" spans="1:73" s="1620" customFormat="1" outlineLevel="1">
      <c r="A22" s="1632" t="s">
        <v>1108</v>
      </c>
      <c r="B22" s="1633" t="s">
        <v>1109</v>
      </c>
      <c r="C22" s="1633" t="s">
        <v>471</v>
      </c>
      <c r="D22" s="1634"/>
      <c r="E22" s="1635">
        <f t="shared" ref="E22:J22" si="70">SUM(E23:E25)</f>
        <v>2072.7960000000003</v>
      </c>
      <c r="F22" s="1636">
        <f t="shared" si="70"/>
        <v>1799.4239999999998</v>
      </c>
      <c r="G22" s="1636">
        <f t="shared" si="70"/>
        <v>2353.9119999999998</v>
      </c>
      <c r="H22" s="1637">
        <f t="shared" si="70"/>
        <v>1042.47</v>
      </c>
      <c r="I22" s="1637">
        <f t="shared" si="70"/>
        <v>17044.543999999998</v>
      </c>
      <c r="J22" s="1637">
        <f t="shared" si="70"/>
        <v>1685.3760000000002</v>
      </c>
      <c r="K22" s="1634"/>
      <c r="L22" s="1635">
        <f t="shared" ref="L22:Q22" si="71">SUM(L23:L25)</f>
        <v>2072.7960000000003</v>
      </c>
      <c r="M22" s="1636">
        <f t="shared" si="71"/>
        <v>1799.4239999999998</v>
      </c>
      <c r="N22" s="1636">
        <f t="shared" si="71"/>
        <v>2353.9119999999998</v>
      </c>
      <c r="O22" s="1637">
        <f t="shared" si="71"/>
        <v>1042.47</v>
      </c>
      <c r="P22" s="1637">
        <f t="shared" si="71"/>
        <v>17044.543999999998</v>
      </c>
      <c r="Q22" s="1637">
        <f t="shared" si="71"/>
        <v>1685.3760000000002</v>
      </c>
      <c r="R22" s="1634"/>
      <c r="S22" s="1635">
        <f t="shared" ref="S22:X22" si="72">SUM(S23:S25)</f>
        <v>2072.7960000000003</v>
      </c>
      <c r="T22" s="1636">
        <f t="shared" si="72"/>
        <v>1799.4239999999998</v>
      </c>
      <c r="U22" s="1636">
        <f t="shared" si="72"/>
        <v>2353.9119999999998</v>
      </c>
      <c r="V22" s="1637">
        <f t="shared" si="72"/>
        <v>1042.47</v>
      </c>
      <c r="W22" s="1637">
        <f t="shared" si="72"/>
        <v>17044.543999999998</v>
      </c>
      <c r="X22" s="1637">
        <f t="shared" si="72"/>
        <v>1685.3760000000002</v>
      </c>
      <c r="Y22" s="1634"/>
      <c r="Z22" s="1635">
        <f t="shared" ref="Z22:AE22" si="73">SUM(Z23:Z25)</f>
        <v>2072.7960000000003</v>
      </c>
      <c r="AA22" s="1636">
        <f t="shared" si="73"/>
        <v>1799.4239999999998</v>
      </c>
      <c r="AB22" s="1636">
        <f t="shared" si="73"/>
        <v>2353.9119999999998</v>
      </c>
      <c r="AC22" s="1637">
        <f t="shared" si="73"/>
        <v>1042.47</v>
      </c>
      <c r="AD22" s="1637">
        <f t="shared" si="73"/>
        <v>17044.543999999998</v>
      </c>
      <c r="AE22" s="1637">
        <f t="shared" si="73"/>
        <v>1685.3760000000002</v>
      </c>
      <c r="AF22" s="1634"/>
      <c r="AG22" s="1635">
        <f t="shared" ref="AG22:AL22" si="74">SUM(AG23:AG25)</f>
        <v>2072.7960000000003</v>
      </c>
      <c r="AH22" s="1636">
        <f t="shared" si="74"/>
        <v>1799.4239999999998</v>
      </c>
      <c r="AI22" s="1636">
        <f t="shared" si="74"/>
        <v>2353.9119999999998</v>
      </c>
      <c r="AJ22" s="1637">
        <f t="shared" si="74"/>
        <v>1042.47</v>
      </c>
      <c r="AK22" s="1637">
        <f t="shared" si="74"/>
        <v>17044.543999999998</v>
      </c>
      <c r="AL22" s="1637">
        <f t="shared" si="74"/>
        <v>1685.3760000000002</v>
      </c>
      <c r="AM22" s="1634"/>
      <c r="AN22" s="1635">
        <f t="shared" ref="AN22:AS22" si="75">SUM(AN23:AN25)</f>
        <v>2072.7960000000003</v>
      </c>
      <c r="AO22" s="1636">
        <f t="shared" si="75"/>
        <v>1799.4239999999998</v>
      </c>
      <c r="AP22" s="1636">
        <f t="shared" si="75"/>
        <v>2353.9119999999998</v>
      </c>
      <c r="AQ22" s="1637">
        <f t="shared" si="75"/>
        <v>1042.47</v>
      </c>
      <c r="AR22" s="1637">
        <f t="shared" si="75"/>
        <v>17044.543999999998</v>
      </c>
      <c r="AS22" s="1637">
        <f t="shared" si="75"/>
        <v>1685.3760000000002</v>
      </c>
      <c r="AT22" s="1634"/>
      <c r="AU22" s="1635">
        <f t="shared" ref="AU22:AZ22" si="76">SUM(AU23:AU25)</f>
        <v>11288.796</v>
      </c>
      <c r="AV22" s="1636">
        <f t="shared" si="76"/>
        <v>1799.4239999999998</v>
      </c>
      <c r="AW22" s="1636">
        <f t="shared" si="76"/>
        <v>2353.9119999999998</v>
      </c>
      <c r="AX22" s="1637">
        <f t="shared" si="76"/>
        <v>1042.47</v>
      </c>
      <c r="AY22" s="1637">
        <f t="shared" si="76"/>
        <v>17044.543999999998</v>
      </c>
      <c r="AZ22" s="1637">
        <f t="shared" si="76"/>
        <v>1685.3760000000002</v>
      </c>
      <c r="BA22" s="1634"/>
      <c r="BB22" s="1635">
        <f t="shared" ref="BB22:BG22" si="77">SUM(BB23:BB25)</f>
        <v>2072.7960000000003</v>
      </c>
      <c r="BC22" s="1636">
        <f t="shared" si="77"/>
        <v>1799.4239999999998</v>
      </c>
      <c r="BD22" s="1636">
        <f t="shared" si="77"/>
        <v>2353.9119999999998</v>
      </c>
      <c r="BE22" s="1637">
        <f t="shared" si="77"/>
        <v>1042.47</v>
      </c>
      <c r="BF22" s="1637">
        <f t="shared" si="77"/>
        <v>17044.543999999998</v>
      </c>
      <c r="BG22" s="1637">
        <f t="shared" si="77"/>
        <v>1685.3760000000002</v>
      </c>
      <c r="BH22" s="1634"/>
      <c r="BI22" s="1635">
        <f t="shared" ref="BI22:BN22" si="78">SUM(BI23:BI25)</f>
        <v>2072.7960000000003</v>
      </c>
      <c r="BJ22" s="1636">
        <f t="shared" si="78"/>
        <v>1799.4239999999998</v>
      </c>
      <c r="BK22" s="1636">
        <f t="shared" si="78"/>
        <v>2353.9119999999998</v>
      </c>
      <c r="BL22" s="1637">
        <f t="shared" si="78"/>
        <v>1042.47</v>
      </c>
      <c r="BM22" s="1637">
        <f t="shared" si="78"/>
        <v>17044.543999999998</v>
      </c>
      <c r="BN22" s="1637">
        <f t="shared" si="78"/>
        <v>1685.3760000000002</v>
      </c>
      <c r="BO22" s="1634"/>
      <c r="BP22" s="1635">
        <f t="shared" ref="BP22:BU22" si="79">SUM(BP23:BP25)</f>
        <v>2072.7960000000003</v>
      </c>
      <c r="BQ22" s="1636">
        <f t="shared" si="79"/>
        <v>1799.4239999999998</v>
      </c>
      <c r="BR22" s="1636">
        <f t="shared" si="79"/>
        <v>2353.9119999999998</v>
      </c>
      <c r="BS22" s="1637">
        <f t="shared" si="79"/>
        <v>1042.47</v>
      </c>
      <c r="BT22" s="1637">
        <f t="shared" si="79"/>
        <v>17044.543999999998</v>
      </c>
      <c r="BU22" s="1637">
        <f t="shared" si="79"/>
        <v>1685.3760000000002</v>
      </c>
    </row>
    <row r="23" spans="1:73" s="1620" customFormat="1" ht="25.5" outlineLevel="1">
      <c r="A23" s="1638" t="s">
        <v>1110</v>
      </c>
      <c r="B23" s="1615">
        <v>22000</v>
      </c>
      <c r="C23" s="1639">
        <v>1</v>
      </c>
      <c r="D23" s="1624"/>
      <c r="E23" s="1587">
        <f>E8*0.07*$B$23*$C$23</f>
        <v>1769.4600000000003</v>
      </c>
      <c r="F23" s="1588">
        <f>F8*0.06*$B$23*$C$23</f>
        <v>1499.5199999999998</v>
      </c>
      <c r="G23" s="1588">
        <f>G8*0.08*$B$23*$C$23</f>
        <v>2046.8799999999999</v>
      </c>
      <c r="H23" s="1588">
        <f>H8*0.045*$B$23*$C$23</f>
        <v>1042.47</v>
      </c>
      <c r="I23" s="1588">
        <f>I8*0.67*$B$23*$C$23</f>
        <v>16744.64</v>
      </c>
      <c r="J23" s="1588">
        <f>J8*0.06*$B$23*$C$23</f>
        <v>1404.4800000000002</v>
      </c>
      <c r="K23" s="1624"/>
      <c r="L23" s="1587">
        <f>L8*0.07*$B$23*$C$23</f>
        <v>1769.4600000000003</v>
      </c>
      <c r="M23" s="1588">
        <f>M8*0.06*$B$23*$C$23</f>
        <v>1499.5199999999998</v>
      </c>
      <c r="N23" s="1588">
        <f>N8*0.08*$B$23*$C$23</f>
        <v>2046.8799999999999</v>
      </c>
      <c r="O23" s="1588">
        <f>O8*0.045*$B$23*$C$23</f>
        <v>1042.47</v>
      </c>
      <c r="P23" s="1588">
        <f>P8*0.67*$B$23*$C$23</f>
        <v>16744.64</v>
      </c>
      <c r="Q23" s="1588">
        <f>Q8*0.06*$B$23*$C$23</f>
        <v>1404.4800000000002</v>
      </c>
      <c r="R23" s="1624"/>
      <c r="S23" s="1587">
        <f>S8*0.07*$B$23*$C$23</f>
        <v>1769.4600000000003</v>
      </c>
      <c r="T23" s="1588">
        <f>T8*0.06*$B$23*$C$23</f>
        <v>1499.5199999999998</v>
      </c>
      <c r="U23" s="1588">
        <f>U8*0.08*$B$23*$C$23</f>
        <v>2046.8799999999999</v>
      </c>
      <c r="V23" s="1588">
        <f>V8*0.045*$B$23*$C$23</f>
        <v>1042.47</v>
      </c>
      <c r="W23" s="1588">
        <f>W8*0.67*$B$23*$C$23</f>
        <v>16744.64</v>
      </c>
      <c r="X23" s="1588">
        <f>X8*0.06*$B$23*$C$23</f>
        <v>1404.4800000000002</v>
      </c>
      <c r="Y23" s="1624"/>
      <c r="Z23" s="1587">
        <f>Z8*0.07*$B$23*$C$23</f>
        <v>1769.4600000000003</v>
      </c>
      <c r="AA23" s="1588">
        <f>AA8*0.06*$B$23*$C$23</f>
        <v>1499.5199999999998</v>
      </c>
      <c r="AB23" s="1588">
        <f>AB8*0.08*$B$23*$C$23</f>
        <v>2046.8799999999999</v>
      </c>
      <c r="AC23" s="1588">
        <f>AC8*0.045*$B$23*$C$23</f>
        <v>1042.47</v>
      </c>
      <c r="AD23" s="1588">
        <f>AD8*0.67*$B$23*$C$23</f>
        <v>16744.64</v>
      </c>
      <c r="AE23" s="1588">
        <f>AE8*0.06*$B$23*$C$23</f>
        <v>1404.4800000000002</v>
      </c>
      <c r="AF23" s="1624"/>
      <c r="AG23" s="1587">
        <f>AG8*0.07*$B$23*$C$23</f>
        <v>1769.4600000000003</v>
      </c>
      <c r="AH23" s="1588">
        <f>AH8*0.06*$B$23*$C$23</f>
        <v>1499.5199999999998</v>
      </c>
      <c r="AI23" s="1588">
        <f>AI8*0.08*$B$23*$C$23</f>
        <v>2046.8799999999999</v>
      </c>
      <c r="AJ23" s="1588">
        <f>AJ8*0.045*$B$23*$C$23</f>
        <v>1042.47</v>
      </c>
      <c r="AK23" s="1588">
        <f>AK8*0.67*$B$23*$C$23</f>
        <v>16744.64</v>
      </c>
      <c r="AL23" s="1588">
        <f>AL8*0.06*$B$23*$C$23</f>
        <v>1404.4800000000002</v>
      </c>
      <c r="AM23" s="1624"/>
      <c r="AN23" s="1587">
        <f>AN8*0.07*$B$23*$C$23</f>
        <v>1769.4600000000003</v>
      </c>
      <c r="AO23" s="1588">
        <f>AO8*0.06*$B$23*$C$23</f>
        <v>1499.5199999999998</v>
      </c>
      <c r="AP23" s="1588">
        <f>AP8*0.08*$B$23*$C$23</f>
        <v>2046.8799999999999</v>
      </c>
      <c r="AQ23" s="1588">
        <f>AQ8*0.045*$B$23*$C$23</f>
        <v>1042.47</v>
      </c>
      <c r="AR23" s="1588">
        <f>AR8*0.67*$B$23*$C$23</f>
        <v>16744.64</v>
      </c>
      <c r="AS23" s="1588">
        <f>AS8*0.06*$B$23*$C$23</f>
        <v>1404.4800000000002</v>
      </c>
      <c r="AT23" s="1624"/>
      <c r="AU23" s="1587">
        <f>AU8*0.07*$B$23*$C$23</f>
        <v>1769.4600000000003</v>
      </c>
      <c r="AV23" s="1588">
        <f>AV8*0.06*$B$23*$C$23</f>
        <v>1499.5199999999998</v>
      </c>
      <c r="AW23" s="1588">
        <f>AW8*0.08*$B$23*$C$23</f>
        <v>2046.8799999999999</v>
      </c>
      <c r="AX23" s="1588">
        <f>AX8*0.045*$B$23*$C$23</f>
        <v>1042.47</v>
      </c>
      <c r="AY23" s="1588">
        <f>AY8*0.67*$B$23*$C$23</f>
        <v>16744.64</v>
      </c>
      <c r="AZ23" s="1588">
        <f>AZ8*0.06*$B$23*$C$23</f>
        <v>1404.4800000000002</v>
      </c>
      <c r="BA23" s="1624"/>
      <c r="BB23" s="1587">
        <f>BB8*0.07*$B$23*$C$23</f>
        <v>1769.4600000000003</v>
      </c>
      <c r="BC23" s="1588">
        <f>BC8*0.06*$B$23*$C$23</f>
        <v>1499.5199999999998</v>
      </c>
      <c r="BD23" s="1588">
        <f>BD8*0.08*$B$23*$C$23</f>
        <v>2046.8799999999999</v>
      </c>
      <c r="BE23" s="1588">
        <f>BE8*0.045*$B$23*$C$23</f>
        <v>1042.47</v>
      </c>
      <c r="BF23" s="1588">
        <f>BF8*0.67*$B$23*$C$23</f>
        <v>16744.64</v>
      </c>
      <c r="BG23" s="1588">
        <f>BG8*0.06*$B$23*$C$23</f>
        <v>1404.4800000000002</v>
      </c>
      <c r="BH23" s="1624"/>
      <c r="BI23" s="1587">
        <f>BI8*0.07*$B$23*$C$23</f>
        <v>1769.4600000000003</v>
      </c>
      <c r="BJ23" s="1588">
        <f>BJ8*0.06*$B$23*$C$23</f>
        <v>1499.5199999999998</v>
      </c>
      <c r="BK23" s="1588">
        <f>BK8*0.08*$B$23*$C$23</f>
        <v>2046.8799999999999</v>
      </c>
      <c r="BL23" s="1588">
        <f>BL8*0.045*$B$23*$C$23</f>
        <v>1042.47</v>
      </c>
      <c r="BM23" s="1588">
        <f>BM8*0.67*$B$23*$C$23</f>
        <v>16744.64</v>
      </c>
      <c r="BN23" s="1588">
        <f>BN8*0.06*$B$23*$C$23</f>
        <v>1404.4800000000002</v>
      </c>
      <c r="BO23" s="1624"/>
      <c r="BP23" s="1587">
        <f>BP8*0.07*$B$23*$C$23</f>
        <v>1769.4600000000003</v>
      </c>
      <c r="BQ23" s="1588">
        <f>BQ8*0.06*$B$23*$C$23</f>
        <v>1499.5199999999998</v>
      </c>
      <c r="BR23" s="1588">
        <f>BR8*0.08*$B$23*$C$23</f>
        <v>2046.8799999999999</v>
      </c>
      <c r="BS23" s="1588">
        <f>BS8*0.045*$B$23*$C$23</f>
        <v>1042.47</v>
      </c>
      <c r="BT23" s="1588">
        <f>BT8*0.67*$B$23*$C$23</f>
        <v>16744.64</v>
      </c>
      <c r="BU23" s="1588">
        <f>BU8*0.06*$B$23*$C$23</f>
        <v>1404.4800000000002</v>
      </c>
    </row>
    <row r="24" spans="1:73" s="1620" customFormat="1" outlineLevel="1">
      <c r="A24" s="1638" t="s">
        <v>320</v>
      </c>
      <c r="B24" s="1615">
        <v>6600</v>
      </c>
      <c r="C24" s="1639"/>
      <c r="D24" s="1624"/>
      <c r="E24" s="1587">
        <f>E8*0.04*$B$24</f>
        <v>303.33600000000001</v>
      </c>
      <c r="F24" s="1588">
        <f>F8*0.04*$B$24</f>
        <v>299.90399999999994</v>
      </c>
      <c r="G24" s="1588">
        <f>G8*0.04*$B$24</f>
        <v>307.03199999999998</v>
      </c>
      <c r="H24" s="1588">
        <f>H8*0*$B$24</f>
        <v>0</v>
      </c>
      <c r="I24" s="1588">
        <f>I8*0.04*$B$24</f>
        <v>299.90399999999994</v>
      </c>
      <c r="J24" s="1588">
        <f>J8*0.04*$B$24</f>
        <v>280.89600000000002</v>
      </c>
      <c r="K24" s="1624"/>
      <c r="L24" s="1587">
        <f>L8*0.04*$B$24</f>
        <v>303.33600000000001</v>
      </c>
      <c r="M24" s="1588">
        <f>M8*0.04*$B$24</f>
        <v>299.90399999999994</v>
      </c>
      <c r="N24" s="1588">
        <f>N8*0.04*$B$24</f>
        <v>307.03199999999998</v>
      </c>
      <c r="O24" s="1588">
        <f>O8*0*$B$24</f>
        <v>0</v>
      </c>
      <c r="P24" s="1588">
        <f>P8*0.04*$B$24</f>
        <v>299.90399999999994</v>
      </c>
      <c r="Q24" s="1588">
        <f>Q8*0.04*$B$24</f>
        <v>280.89600000000002</v>
      </c>
      <c r="R24" s="1624"/>
      <c r="S24" s="1587">
        <f>S8*0.04*$B$24</f>
        <v>303.33600000000001</v>
      </c>
      <c r="T24" s="1588">
        <f>T8*0.04*$B$24</f>
        <v>299.90399999999994</v>
      </c>
      <c r="U24" s="1588">
        <f>U8*0.04*$B$24</f>
        <v>307.03199999999998</v>
      </c>
      <c r="V24" s="1588">
        <f>V8*0*$B$24</f>
        <v>0</v>
      </c>
      <c r="W24" s="1588">
        <f>W8*0.04*$B$24</f>
        <v>299.90399999999994</v>
      </c>
      <c r="X24" s="1588">
        <f>X8*0.04*$B$24</f>
        <v>280.89600000000002</v>
      </c>
      <c r="Y24" s="1624"/>
      <c r="Z24" s="1587">
        <f>Z8*0.04*$B$24</f>
        <v>303.33600000000001</v>
      </c>
      <c r="AA24" s="1588">
        <f>AA8*0.04*$B$24</f>
        <v>299.90399999999994</v>
      </c>
      <c r="AB24" s="1588">
        <f>AB8*0.04*$B$24</f>
        <v>307.03199999999998</v>
      </c>
      <c r="AC24" s="1588">
        <f>AC8*0*$B$24</f>
        <v>0</v>
      </c>
      <c r="AD24" s="1588">
        <f>AD8*0.04*$B$24</f>
        <v>299.90399999999994</v>
      </c>
      <c r="AE24" s="1588">
        <f>AE8*0.04*$B$24</f>
        <v>280.89600000000002</v>
      </c>
      <c r="AF24" s="1624"/>
      <c r="AG24" s="1587">
        <f>AG8*0.04*$B$24</f>
        <v>303.33600000000001</v>
      </c>
      <c r="AH24" s="1588">
        <f>AH8*0.04*$B$24</f>
        <v>299.90399999999994</v>
      </c>
      <c r="AI24" s="1588">
        <f>AI8*0.04*$B$24</f>
        <v>307.03199999999998</v>
      </c>
      <c r="AJ24" s="1588">
        <f>AJ8*0*$B$24</f>
        <v>0</v>
      </c>
      <c r="AK24" s="1588">
        <f>AK8*0.04*$B$24</f>
        <v>299.90399999999994</v>
      </c>
      <c r="AL24" s="1588">
        <f>AL8*0.04*$B$24</f>
        <v>280.89600000000002</v>
      </c>
      <c r="AM24" s="1624"/>
      <c r="AN24" s="1587">
        <f>AN8*0.04*$B$24</f>
        <v>303.33600000000001</v>
      </c>
      <c r="AO24" s="1588">
        <f>AO8*0.04*$B$24</f>
        <v>299.90399999999994</v>
      </c>
      <c r="AP24" s="1588">
        <f>AP8*0.04*$B$24</f>
        <v>307.03199999999998</v>
      </c>
      <c r="AQ24" s="1588">
        <f>AQ8*0*$B$24</f>
        <v>0</v>
      </c>
      <c r="AR24" s="1588">
        <f>AR8*0.04*$B$24</f>
        <v>299.90399999999994</v>
      </c>
      <c r="AS24" s="1588">
        <f>AS8*0.04*$B$24</f>
        <v>280.89600000000002</v>
      </c>
      <c r="AT24" s="1624"/>
      <c r="AU24" s="1587">
        <f>AU8*0.04*$B$24</f>
        <v>303.33600000000001</v>
      </c>
      <c r="AV24" s="1588">
        <f>AV8*0.04*$B$24</f>
        <v>299.90399999999994</v>
      </c>
      <c r="AW24" s="1588">
        <f>AW8*0.04*$B$24</f>
        <v>307.03199999999998</v>
      </c>
      <c r="AX24" s="1588">
        <f>AX8*0*$B$24</f>
        <v>0</v>
      </c>
      <c r="AY24" s="1588">
        <f>AY8*0.04*$B$24</f>
        <v>299.90399999999994</v>
      </c>
      <c r="AZ24" s="1588">
        <f>AZ8*0.04*$B$24</f>
        <v>280.89600000000002</v>
      </c>
      <c r="BA24" s="1624"/>
      <c r="BB24" s="1587">
        <f>BB8*0.04*$B$24</f>
        <v>303.33600000000001</v>
      </c>
      <c r="BC24" s="1588">
        <f>BC8*0.04*$B$24</f>
        <v>299.90399999999994</v>
      </c>
      <c r="BD24" s="1588">
        <f>BD8*0.04*$B$24</f>
        <v>307.03199999999998</v>
      </c>
      <c r="BE24" s="1588">
        <f>BE8*0*$B$24</f>
        <v>0</v>
      </c>
      <c r="BF24" s="1588">
        <f>BF8*0.04*$B$24</f>
        <v>299.90399999999994</v>
      </c>
      <c r="BG24" s="1588">
        <f>BG8*0.04*$B$24</f>
        <v>280.89600000000002</v>
      </c>
      <c r="BH24" s="1624"/>
      <c r="BI24" s="1587">
        <f>BI8*0.04*$B$24</f>
        <v>303.33600000000001</v>
      </c>
      <c r="BJ24" s="1588">
        <f>BJ8*0.04*$B$24</f>
        <v>299.90399999999994</v>
      </c>
      <c r="BK24" s="1588">
        <f>BK8*0.04*$B$24</f>
        <v>307.03199999999998</v>
      </c>
      <c r="BL24" s="1588">
        <f>BL8*0*$B$24</f>
        <v>0</v>
      </c>
      <c r="BM24" s="1588">
        <f>BM8*0.04*$B$24</f>
        <v>299.90399999999994</v>
      </c>
      <c r="BN24" s="1588">
        <f>BN8*0.04*$B$24</f>
        <v>280.89600000000002</v>
      </c>
      <c r="BO24" s="1624"/>
      <c r="BP24" s="1587">
        <f>BP8*0.04*$B$24</f>
        <v>303.33600000000001</v>
      </c>
      <c r="BQ24" s="1588">
        <f>BQ8*0.04*$B$24</f>
        <v>299.90399999999994</v>
      </c>
      <c r="BR24" s="1588">
        <f>BR8*0.04*$B$24</f>
        <v>307.03199999999998</v>
      </c>
      <c r="BS24" s="1588">
        <f>BS8*0*$B$24</f>
        <v>0</v>
      </c>
      <c r="BT24" s="1588">
        <f>BT8*0.04*$B$24</f>
        <v>299.90399999999994</v>
      </c>
      <c r="BU24" s="1588">
        <f>BU8*0.04*$B$24</f>
        <v>280.89600000000002</v>
      </c>
    </row>
    <row r="25" spans="1:73" s="1620" customFormat="1" outlineLevel="1">
      <c r="A25" s="1640" t="s">
        <v>1111</v>
      </c>
      <c r="B25" s="1622"/>
      <c r="C25" s="1623"/>
      <c r="D25" s="1624"/>
      <c r="E25" s="1587"/>
      <c r="F25" s="1588"/>
      <c r="G25" s="1588"/>
      <c r="H25" s="1588"/>
      <c r="I25" s="1588"/>
      <c r="J25" s="1588"/>
      <c r="K25" s="1624"/>
      <c r="L25" s="1587"/>
      <c r="M25" s="1588"/>
      <c r="N25" s="1588"/>
      <c r="O25" s="1588"/>
      <c r="P25" s="1588"/>
      <c r="Q25" s="1588"/>
      <c r="R25" s="1624"/>
      <c r="S25" s="1587"/>
      <c r="T25" s="1588"/>
      <c r="U25" s="1588"/>
      <c r="V25" s="1588"/>
      <c r="W25" s="1588"/>
      <c r="X25" s="1588"/>
      <c r="Y25" s="1624"/>
      <c r="Z25" s="1587"/>
      <c r="AA25" s="1588"/>
      <c r="AB25" s="1588"/>
      <c r="AC25" s="1588"/>
      <c r="AD25" s="1588"/>
      <c r="AE25" s="1588"/>
      <c r="AF25" s="1624"/>
      <c r="AG25" s="1587"/>
      <c r="AH25" s="1588"/>
      <c r="AI25" s="1588"/>
      <c r="AJ25" s="1588"/>
      <c r="AK25" s="1588"/>
      <c r="AL25" s="1588"/>
      <c r="AM25" s="1624"/>
      <c r="AN25" s="1587"/>
      <c r="AO25" s="1588"/>
      <c r="AP25" s="1588"/>
      <c r="AQ25" s="1588"/>
      <c r="AR25" s="1588"/>
      <c r="AS25" s="1588"/>
      <c r="AT25" s="1624"/>
      <c r="AU25" s="1587">
        <v>9216</v>
      </c>
      <c r="AV25" s="1588"/>
      <c r="AW25" s="1588"/>
      <c r="AX25" s="1588"/>
      <c r="AY25" s="1588"/>
      <c r="AZ25" s="1588"/>
      <c r="BA25" s="1624"/>
      <c r="BB25" s="1587"/>
      <c r="BC25" s="1588"/>
      <c r="BD25" s="1588"/>
      <c r="BE25" s="1588"/>
      <c r="BF25" s="1588"/>
      <c r="BG25" s="1588"/>
      <c r="BH25" s="1624"/>
      <c r="BI25" s="1587"/>
      <c r="BJ25" s="1588"/>
      <c r="BK25" s="1588"/>
      <c r="BL25" s="1588"/>
      <c r="BM25" s="1588"/>
      <c r="BN25" s="1588"/>
      <c r="BO25" s="1624"/>
      <c r="BP25" s="1587"/>
      <c r="BQ25" s="1588"/>
      <c r="BR25" s="1588"/>
      <c r="BS25" s="1588"/>
      <c r="BT25" s="1588"/>
      <c r="BU25" s="1588"/>
    </row>
    <row r="26" spans="1:73" s="1599" customFormat="1" ht="45" outlineLevel="1">
      <c r="A26" s="1631" t="s">
        <v>1112</v>
      </c>
      <c r="B26" s="1594"/>
      <c r="C26" s="1595"/>
      <c r="D26" s="1596"/>
      <c r="E26" s="1597" t="e">
        <f t="shared" ref="E26:J26" si="80">E21+E22</f>
        <v>#REF!</v>
      </c>
      <c r="F26" s="1598" t="e">
        <f t="shared" si="80"/>
        <v>#REF!</v>
      </c>
      <c r="G26" s="1598" t="e">
        <f t="shared" si="80"/>
        <v>#REF!</v>
      </c>
      <c r="H26" s="1598" t="e">
        <f t="shared" si="80"/>
        <v>#REF!</v>
      </c>
      <c r="I26" s="1598" t="e">
        <f t="shared" si="80"/>
        <v>#REF!</v>
      </c>
      <c r="J26" s="1598" t="e">
        <f t="shared" si="80"/>
        <v>#REF!</v>
      </c>
      <c r="K26" s="1596"/>
      <c r="L26" s="1597" t="e">
        <f t="shared" ref="L26:Q26" si="81">L21+L22</f>
        <v>#REF!</v>
      </c>
      <c r="M26" s="1598" t="e">
        <f t="shared" si="81"/>
        <v>#REF!</v>
      </c>
      <c r="N26" s="1598" t="e">
        <f t="shared" si="81"/>
        <v>#REF!</v>
      </c>
      <c r="O26" s="1598" t="e">
        <f t="shared" si="81"/>
        <v>#REF!</v>
      </c>
      <c r="P26" s="1598" t="e">
        <f t="shared" si="81"/>
        <v>#REF!</v>
      </c>
      <c r="Q26" s="1598" t="e">
        <f t="shared" si="81"/>
        <v>#REF!</v>
      </c>
      <c r="R26" s="1596"/>
      <c r="S26" s="1597" t="e">
        <f t="shared" ref="S26:X26" si="82">S21+S22</f>
        <v>#REF!</v>
      </c>
      <c r="T26" s="1598" t="e">
        <f t="shared" si="82"/>
        <v>#REF!</v>
      </c>
      <c r="U26" s="1598" t="e">
        <f t="shared" si="82"/>
        <v>#REF!</v>
      </c>
      <c r="V26" s="1598" t="e">
        <f t="shared" si="82"/>
        <v>#REF!</v>
      </c>
      <c r="W26" s="1598" t="e">
        <f t="shared" si="82"/>
        <v>#REF!</v>
      </c>
      <c r="X26" s="1598" t="e">
        <f t="shared" si="82"/>
        <v>#REF!</v>
      </c>
      <c r="Y26" s="1596"/>
      <c r="Z26" s="1597" t="e">
        <f t="shared" ref="Z26:AE26" si="83">Z21+Z22</f>
        <v>#REF!</v>
      </c>
      <c r="AA26" s="1598" t="e">
        <f t="shared" si="83"/>
        <v>#REF!</v>
      </c>
      <c r="AB26" s="1598" t="e">
        <f t="shared" si="83"/>
        <v>#REF!</v>
      </c>
      <c r="AC26" s="1598" t="e">
        <f t="shared" si="83"/>
        <v>#REF!</v>
      </c>
      <c r="AD26" s="1598" t="e">
        <f t="shared" si="83"/>
        <v>#REF!</v>
      </c>
      <c r="AE26" s="1598" t="e">
        <f t="shared" si="83"/>
        <v>#REF!</v>
      </c>
      <c r="AF26" s="1596"/>
      <c r="AG26" s="1597" t="e">
        <f t="shared" ref="AG26:AL26" si="84">AG21+AG22</f>
        <v>#REF!</v>
      </c>
      <c r="AH26" s="1598" t="e">
        <f t="shared" si="84"/>
        <v>#REF!</v>
      </c>
      <c r="AI26" s="1598" t="e">
        <f t="shared" si="84"/>
        <v>#REF!</v>
      </c>
      <c r="AJ26" s="1598" t="e">
        <f t="shared" si="84"/>
        <v>#REF!</v>
      </c>
      <c r="AK26" s="1598" t="e">
        <f t="shared" si="84"/>
        <v>#REF!</v>
      </c>
      <c r="AL26" s="1598" t="e">
        <f t="shared" si="84"/>
        <v>#REF!</v>
      </c>
      <c r="AM26" s="1596"/>
      <c r="AN26" s="1597" t="e">
        <f t="shared" ref="AN26:AS26" si="85">AN21+AN22</f>
        <v>#REF!</v>
      </c>
      <c r="AO26" s="1598" t="e">
        <f t="shared" si="85"/>
        <v>#REF!</v>
      </c>
      <c r="AP26" s="1598" t="e">
        <f t="shared" si="85"/>
        <v>#REF!</v>
      </c>
      <c r="AQ26" s="1598" t="e">
        <f t="shared" si="85"/>
        <v>#REF!</v>
      </c>
      <c r="AR26" s="1598" t="e">
        <f t="shared" si="85"/>
        <v>#REF!</v>
      </c>
      <c r="AS26" s="1598" t="e">
        <f t="shared" si="85"/>
        <v>#REF!</v>
      </c>
      <c r="AT26" s="1596"/>
      <c r="AU26" s="1597" t="e">
        <f t="shared" ref="AU26:AZ26" si="86">AU21+AU22</f>
        <v>#REF!</v>
      </c>
      <c r="AV26" s="1598" t="e">
        <f t="shared" si="86"/>
        <v>#REF!</v>
      </c>
      <c r="AW26" s="1598" t="e">
        <f t="shared" si="86"/>
        <v>#REF!</v>
      </c>
      <c r="AX26" s="1598" t="e">
        <f t="shared" si="86"/>
        <v>#REF!</v>
      </c>
      <c r="AY26" s="1598" t="e">
        <f t="shared" si="86"/>
        <v>#REF!</v>
      </c>
      <c r="AZ26" s="1598" t="e">
        <f t="shared" si="86"/>
        <v>#REF!</v>
      </c>
      <c r="BA26" s="1596"/>
      <c r="BB26" s="1597" t="e">
        <f t="shared" ref="BB26:BG26" si="87">BB21+BB22</f>
        <v>#REF!</v>
      </c>
      <c r="BC26" s="1598" t="e">
        <f t="shared" si="87"/>
        <v>#REF!</v>
      </c>
      <c r="BD26" s="1598" t="e">
        <f t="shared" si="87"/>
        <v>#REF!</v>
      </c>
      <c r="BE26" s="1598" t="e">
        <f t="shared" si="87"/>
        <v>#REF!</v>
      </c>
      <c r="BF26" s="1598" t="e">
        <f t="shared" si="87"/>
        <v>#REF!</v>
      </c>
      <c r="BG26" s="1598" t="e">
        <f t="shared" si="87"/>
        <v>#REF!</v>
      </c>
      <c r="BH26" s="1596"/>
      <c r="BI26" s="1597" t="e">
        <f t="shared" ref="BI26:BN26" si="88">BI21+BI22</f>
        <v>#REF!</v>
      </c>
      <c r="BJ26" s="1598" t="e">
        <f t="shared" si="88"/>
        <v>#REF!</v>
      </c>
      <c r="BK26" s="1598" t="e">
        <f t="shared" si="88"/>
        <v>#REF!</v>
      </c>
      <c r="BL26" s="1598" t="e">
        <f t="shared" si="88"/>
        <v>#REF!</v>
      </c>
      <c r="BM26" s="1598" t="e">
        <f t="shared" si="88"/>
        <v>#REF!</v>
      </c>
      <c r="BN26" s="1598" t="e">
        <f t="shared" si="88"/>
        <v>#REF!</v>
      </c>
      <c r="BO26" s="1596"/>
      <c r="BP26" s="1597" t="e">
        <f t="shared" ref="BP26:BU26" si="89">BP21+BP22</f>
        <v>#REF!</v>
      </c>
      <c r="BQ26" s="1598" t="e">
        <f t="shared" si="89"/>
        <v>#REF!</v>
      </c>
      <c r="BR26" s="1598" t="e">
        <f t="shared" si="89"/>
        <v>#REF!</v>
      </c>
      <c r="BS26" s="1598" t="e">
        <f t="shared" si="89"/>
        <v>#REF!</v>
      </c>
      <c r="BT26" s="1598" t="e">
        <f t="shared" si="89"/>
        <v>#REF!</v>
      </c>
      <c r="BU26" s="1598" t="e">
        <f t="shared" si="89"/>
        <v>#REF!</v>
      </c>
    </row>
    <row r="27" spans="1:73" s="1586" customFormat="1" outlineLevel="1">
      <c r="A27" s="1580" t="s">
        <v>122</v>
      </c>
      <c r="B27" s="1581"/>
      <c r="C27" s="1582"/>
      <c r="D27" s="1583"/>
      <c r="E27" s="1641" t="e">
        <f t="shared" ref="E27:J27" si="90">SUM(E28:E30)</f>
        <v>#REF!</v>
      </c>
      <c r="F27" s="1641" t="e">
        <f t="shared" si="90"/>
        <v>#REF!</v>
      </c>
      <c r="G27" s="1641" t="e">
        <f t="shared" si="90"/>
        <v>#REF!</v>
      </c>
      <c r="H27" s="1641" t="e">
        <f t="shared" si="90"/>
        <v>#REF!</v>
      </c>
      <c r="I27" s="1641" t="e">
        <f t="shared" si="90"/>
        <v>#REF!</v>
      </c>
      <c r="J27" s="1641" t="e">
        <f t="shared" si="90"/>
        <v>#REF!</v>
      </c>
      <c r="K27" s="1583"/>
      <c r="L27" s="1641" t="e">
        <f t="shared" ref="L27:Q27" si="91">SUM(L28:L30)</f>
        <v>#REF!</v>
      </c>
      <c r="M27" s="1641" t="e">
        <f t="shared" si="91"/>
        <v>#REF!</v>
      </c>
      <c r="N27" s="1641" t="e">
        <f t="shared" si="91"/>
        <v>#REF!</v>
      </c>
      <c r="O27" s="1641" t="e">
        <f t="shared" si="91"/>
        <v>#REF!</v>
      </c>
      <c r="P27" s="1641" t="e">
        <f t="shared" si="91"/>
        <v>#REF!</v>
      </c>
      <c r="Q27" s="1641" t="e">
        <f t="shared" si="91"/>
        <v>#REF!</v>
      </c>
      <c r="R27" s="1583"/>
      <c r="S27" s="1641" t="e">
        <f t="shared" ref="S27:X27" si="92">SUM(S28:S30)</f>
        <v>#REF!</v>
      </c>
      <c r="T27" s="1641" t="e">
        <f t="shared" si="92"/>
        <v>#REF!</v>
      </c>
      <c r="U27" s="1641" t="e">
        <f t="shared" si="92"/>
        <v>#REF!</v>
      </c>
      <c r="V27" s="1641" t="e">
        <f t="shared" si="92"/>
        <v>#REF!</v>
      </c>
      <c r="W27" s="1641" t="e">
        <f t="shared" si="92"/>
        <v>#REF!</v>
      </c>
      <c r="X27" s="1641" t="e">
        <f t="shared" si="92"/>
        <v>#REF!</v>
      </c>
      <c r="Y27" s="1583"/>
      <c r="Z27" s="1641" t="e">
        <f t="shared" ref="Z27:AE27" si="93">SUM(Z28:Z30)</f>
        <v>#REF!</v>
      </c>
      <c r="AA27" s="1641" t="e">
        <f t="shared" si="93"/>
        <v>#REF!</v>
      </c>
      <c r="AB27" s="1641" t="e">
        <f t="shared" si="93"/>
        <v>#REF!</v>
      </c>
      <c r="AC27" s="1641" t="e">
        <f t="shared" si="93"/>
        <v>#REF!</v>
      </c>
      <c r="AD27" s="1641" t="e">
        <f t="shared" si="93"/>
        <v>#REF!</v>
      </c>
      <c r="AE27" s="1641" t="e">
        <f t="shared" si="93"/>
        <v>#REF!</v>
      </c>
      <c r="AF27" s="1583"/>
      <c r="AG27" s="1641" t="e">
        <f t="shared" ref="AG27:AL27" si="94">SUM(AG28:AG30)</f>
        <v>#REF!</v>
      </c>
      <c r="AH27" s="1641" t="e">
        <f t="shared" si="94"/>
        <v>#REF!</v>
      </c>
      <c r="AI27" s="1641" t="e">
        <f t="shared" si="94"/>
        <v>#REF!</v>
      </c>
      <c r="AJ27" s="1641" t="e">
        <f t="shared" si="94"/>
        <v>#REF!</v>
      </c>
      <c r="AK27" s="1641" t="e">
        <f t="shared" si="94"/>
        <v>#REF!</v>
      </c>
      <c r="AL27" s="1641" t="e">
        <f t="shared" si="94"/>
        <v>#REF!</v>
      </c>
      <c r="AM27" s="1583"/>
      <c r="AN27" s="1641" t="e">
        <f t="shared" ref="AN27:AS27" si="95">SUM(AN28:AN30)</f>
        <v>#REF!</v>
      </c>
      <c r="AO27" s="1641" t="e">
        <f t="shared" si="95"/>
        <v>#REF!</v>
      </c>
      <c r="AP27" s="1641" t="e">
        <f t="shared" si="95"/>
        <v>#REF!</v>
      </c>
      <c r="AQ27" s="1641" t="e">
        <f t="shared" si="95"/>
        <v>#REF!</v>
      </c>
      <c r="AR27" s="1641" t="e">
        <f t="shared" si="95"/>
        <v>#REF!</v>
      </c>
      <c r="AS27" s="1641" t="e">
        <f t="shared" si="95"/>
        <v>#REF!</v>
      </c>
      <c r="AT27" s="1583"/>
      <c r="AU27" s="1641" t="e">
        <f t="shared" ref="AU27:AZ27" si="96">SUM(AU28:AU30)</f>
        <v>#REF!</v>
      </c>
      <c r="AV27" s="1641" t="e">
        <f t="shared" si="96"/>
        <v>#REF!</v>
      </c>
      <c r="AW27" s="1641" t="e">
        <f t="shared" si="96"/>
        <v>#REF!</v>
      </c>
      <c r="AX27" s="1641" t="e">
        <f t="shared" si="96"/>
        <v>#REF!</v>
      </c>
      <c r="AY27" s="1641" t="e">
        <f t="shared" si="96"/>
        <v>#REF!</v>
      </c>
      <c r="AZ27" s="1641" t="e">
        <f t="shared" si="96"/>
        <v>#REF!</v>
      </c>
      <c r="BA27" s="1583"/>
      <c r="BB27" s="1641" t="e">
        <f t="shared" ref="BB27:BG27" si="97">SUM(BB28:BB30)</f>
        <v>#REF!</v>
      </c>
      <c r="BC27" s="1641" t="e">
        <f t="shared" si="97"/>
        <v>#REF!</v>
      </c>
      <c r="BD27" s="1641" t="e">
        <f t="shared" si="97"/>
        <v>#REF!</v>
      </c>
      <c r="BE27" s="1641" t="e">
        <f t="shared" si="97"/>
        <v>#REF!</v>
      </c>
      <c r="BF27" s="1641" t="e">
        <f t="shared" si="97"/>
        <v>#REF!</v>
      </c>
      <c r="BG27" s="1641" t="e">
        <f t="shared" si="97"/>
        <v>#REF!</v>
      </c>
      <c r="BH27" s="1583"/>
      <c r="BI27" s="1641" t="e">
        <f t="shared" ref="BI27:BN27" si="98">SUM(BI28:BI30)</f>
        <v>#REF!</v>
      </c>
      <c r="BJ27" s="1641" t="e">
        <f t="shared" si="98"/>
        <v>#REF!</v>
      </c>
      <c r="BK27" s="1641" t="e">
        <f t="shared" si="98"/>
        <v>#REF!</v>
      </c>
      <c r="BL27" s="1641" t="e">
        <f t="shared" si="98"/>
        <v>#REF!</v>
      </c>
      <c r="BM27" s="1641" t="e">
        <f t="shared" si="98"/>
        <v>#REF!</v>
      </c>
      <c r="BN27" s="1641" t="e">
        <f t="shared" si="98"/>
        <v>#REF!</v>
      </c>
      <c r="BO27" s="1583"/>
      <c r="BP27" s="1641" t="e">
        <f t="shared" ref="BP27:BU27" si="99">SUM(BP28:BP30)</f>
        <v>#REF!</v>
      </c>
      <c r="BQ27" s="1641" t="e">
        <f t="shared" si="99"/>
        <v>#REF!</v>
      </c>
      <c r="BR27" s="1641" t="e">
        <f t="shared" si="99"/>
        <v>#REF!</v>
      </c>
      <c r="BS27" s="1641" t="e">
        <f t="shared" si="99"/>
        <v>#REF!</v>
      </c>
      <c r="BT27" s="1641" t="e">
        <f t="shared" si="99"/>
        <v>#REF!</v>
      </c>
      <c r="BU27" s="1641" t="e">
        <f t="shared" si="99"/>
        <v>#REF!</v>
      </c>
    </row>
    <row r="28" spans="1:73" s="970" customFormat="1" outlineLevel="1">
      <c r="A28" s="1642" t="s">
        <v>523</v>
      </c>
      <c r="B28" s="1322"/>
      <c r="C28" s="1643"/>
      <c r="D28" s="1644"/>
      <c r="E28" s="1645" t="e">
        <f>#REF!</f>
        <v>#REF!</v>
      </c>
      <c r="F28" s="1646" t="e">
        <f>#REF!</f>
        <v>#REF!</v>
      </c>
      <c r="G28" s="1646" t="e">
        <f>#REF!</f>
        <v>#REF!</v>
      </c>
      <c r="H28" s="1646" t="e">
        <f>#REF!</f>
        <v>#REF!</v>
      </c>
      <c r="I28" s="1646" t="e">
        <f>#REF!</f>
        <v>#REF!</v>
      </c>
      <c r="J28" s="1646" t="e">
        <f>#REF!</f>
        <v>#REF!</v>
      </c>
      <c r="K28" s="1644"/>
      <c r="L28" s="1645" t="e">
        <f>#REF!</f>
        <v>#REF!</v>
      </c>
      <c r="M28" s="1646" t="e">
        <f>#REF!</f>
        <v>#REF!</v>
      </c>
      <c r="N28" s="1646" t="e">
        <f>#REF!</f>
        <v>#REF!</v>
      </c>
      <c r="O28" s="1646" t="e">
        <f>#REF!</f>
        <v>#REF!</v>
      </c>
      <c r="P28" s="1646" t="e">
        <f>#REF!</f>
        <v>#REF!</v>
      </c>
      <c r="Q28" s="1646" t="e">
        <f>#REF!</f>
        <v>#REF!</v>
      </c>
      <c r="R28" s="1644"/>
      <c r="S28" s="1645" t="e">
        <f>#REF!</f>
        <v>#REF!</v>
      </c>
      <c r="T28" s="1646" t="e">
        <f>#REF!</f>
        <v>#REF!</v>
      </c>
      <c r="U28" s="1646" t="e">
        <f>#REF!</f>
        <v>#REF!</v>
      </c>
      <c r="V28" s="1646" t="e">
        <f>#REF!</f>
        <v>#REF!</v>
      </c>
      <c r="W28" s="1646" t="e">
        <f>#REF!</f>
        <v>#REF!</v>
      </c>
      <c r="X28" s="1646" t="e">
        <f>#REF!</f>
        <v>#REF!</v>
      </c>
      <c r="Y28" s="1644"/>
      <c r="Z28" s="1645" t="e">
        <f>#REF!</f>
        <v>#REF!</v>
      </c>
      <c r="AA28" s="1646" t="e">
        <f>#REF!</f>
        <v>#REF!</v>
      </c>
      <c r="AB28" s="1646" t="e">
        <f>#REF!</f>
        <v>#REF!</v>
      </c>
      <c r="AC28" s="1646" t="e">
        <f>#REF!</f>
        <v>#REF!</v>
      </c>
      <c r="AD28" s="1646" t="e">
        <f>#REF!</f>
        <v>#REF!</v>
      </c>
      <c r="AE28" s="1646" t="e">
        <f>#REF!</f>
        <v>#REF!</v>
      </c>
      <c r="AF28" s="1644"/>
      <c r="AG28" s="1645" t="e">
        <f>#REF!</f>
        <v>#REF!</v>
      </c>
      <c r="AH28" s="1646" t="e">
        <f>#REF!</f>
        <v>#REF!</v>
      </c>
      <c r="AI28" s="1646" t="e">
        <f>#REF!</f>
        <v>#REF!</v>
      </c>
      <c r="AJ28" s="1646" t="e">
        <f>#REF!</f>
        <v>#REF!</v>
      </c>
      <c r="AK28" s="1646" t="e">
        <f>#REF!</f>
        <v>#REF!</v>
      </c>
      <c r="AL28" s="1646" t="e">
        <f>#REF!</f>
        <v>#REF!</v>
      </c>
      <c r="AM28" s="1644"/>
      <c r="AN28" s="1645" t="e">
        <f>#REF!</f>
        <v>#REF!</v>
      </c>
      <c r="AO28" s="1646" t="e">
        <f>#REF!</f>
        <v>#REF!</v>
      </c>
      <c r="AP28" s="1646" t="e">
        <f>#REF!</f>
        <v>#REF!</v>
      </c>
      <c r="AQ28" s="1646" t="e">
        <f>#REF!</f>
        <v>#REF!</v>
      </c>
      <c r="AR28" s="1646" t="e">
        <f>#REF!</f>
        <v>#REF!</v>
      </c>
      <c r="AS28" s="1646" t="e">
        <f>#REF!</f>
        <v>#REF!</v>
      </c>
      <c r="AT28" s="1644"/>
      <c r="AU28" s="1645" t="e">
        <f>#REF!</f>
        <v>#REF!</v>
      </c>
      <c r="AV28" s="1646" t="e">
        <f>#REF!</f>
        <v>#REF!</v>
      </c>
      <c r="AW28" s="1646" t="e">
        <f>#REF!</f>
        <v>#REF!</v>
      </c>
      <c r="AX28" s="1646" t="e">
        <f>#REF!</f>
        <v>#REF!</v>
      </c>
      <c r="AY28" s="1646" t="e">
        <f>#REF!</f>
        <v>#REF!</v>
      </c>
      <c r="AZ28" s="1646" t="e">
        <f>#REF!</f>
        <v>#REF!</v>
      </c>
      <c r="BA28" s="1644"/>
      <c r="BB28" s="1645" t="e">
        <f>#REF!</f>
        <v>#REF!</v>
      </c>
      <c r="BC28" s="1646" t="e">
        <f>#REF!</f>
        <v>#REF!</v>
      </c>
      <c r="BD28" s="1646" t="e">
        <f>#REF!</f>
        <v>#REF!</v>
      </c>
      <c r="BE28" s="1646" t="e">
        <f>#REF!</f>
        <v>#REF!</v>
      </c>
      <c r="BF28" s="1646" t="e">
        <f>#REF!</f>
        <v>#REF!</v>
      </c>
      <c r="BG28" s="1646" t="e">
        <f>#REF!</f>
        <v>#REF!</v>
      </c>
      <c r="BH28" s="1644"/>
      <c r="BI28" s="1645" t="e">
        <f>#REF!</f>
        <v>#REF!</v>
      </c>
      <c r="BJ28" s="1646" t="e">
        <f>#REF!</f>
        <v>#REF!</v>
      </c>
      <c r="BK28" s="1646" t="e">
        <f>#REF!</f>
        <v>#REF!</v>
      </c>
      <c r="BL28" s="1646" t="e">
        <f>#REF!</f>
        <v>#REF!</v>
      </c>
      <c r="BM28" s="1646" t="e">
        <f>#REF!</f>
        <v>#REF!</v>
      </c>
      <c r="BN28" s="1646" t="e">
        <f>#REF!</f>
        <v>#REF!</v>
      </c>
      <c r="BO28" s="1644"/>
      <c r="BP28" s="1645" t="e">
        <f>#REF!</f>
        <v>#REF!</v>
      </c>
      <c r="BQ28" s="1646" t="e">
        <f>#REF!</f>
        <v>#REF!</v>
      </c>
      <c r="BR28" s="1646" t="e">
        <f>#REF!</f>
        <v>#REF!</v>
      </c>
      <c r="BS28" s="1646" t="e">
        <f>#REF!</f>
        <v>#REF!</v>
      </c>
      <c r="BT28" s="1646" t="e">
        <f>#REF!</f>
        <v>#REF!</v>
      </c>
      <c r="BU28" s="1646" t="e">
        <f>#REF!</f>
        <v>#REF!</v>
      </c>
    </row>
    <row r="29" spans="1:73" s="970" customFormat="1" outlineLevel="1">
      <c r="A29" s="1642" t="s">
        <v>1113</v>
      </c>
      <c r="B29" s="1322"/>
      <c r="C29" s="1643"/>
      <c r="D29" s="1644"/>
      <c r="E29" s="1645" t="e">
        <f>#REF!</f>
        <v>#REF!</v>
      </c>
      <c r="F29" s="1646" t="e">
        <f>#REF!</f>
        <v>#REF!</v>
      </c>
      <c r="G29" s="1646" t="e">
        <f>#REF!</f>
        <v>#REF!</v>
      </c>
      <c r="H29" s="1646" t="e">
        <f>#REF!</f>
        <v>#REF!</v>
      </c>
      <c r="I29" s="1646" t="e">
        <f>#REF!</f>
        <v>#REF!</v>
      </c>
      <c r="J29" s="1646" t="e">
        <f>#REF!</f>
        <v>#REF!</v>
      </c>
      <c r="K29" s="1644"/>
      <c r="L29" s="1645" t="e">
        <f>#REF!</f>
        <v>#REF!</v>
      </c>
      <c r="M29" s="1646" t="e">
        <f>#REF!</f>
        <v>#REF!</v>
      </c>
      <c r="N29" s="1646" t="e">
        <f>#REF!</f>
        <v>#REF!</v>
      </c>
      <c r="O29" s="1646" t="e">
        <f>#REF!</f>
        <v>#REF!</v>
      </c>
      <c r="P29" s="1646" t="e">
        <f>#REF!</f>
        <v>#REF!</v>
      </c>
      <c r="Q29" s="1646" t="e">
        <f>#REF!</f>
        <v>#REF!</v>
      </c>
      <c r="R29" s="1644"/>
      <c r="S29" s="1645" t="e">
        <f>#REF!</f>
        <v>#REF!</v>
      </c>
      <c r="T29" s="1646" t="e">
        <f>#REF!</f>
        <v>#REF!</v>
      </c>
      <c r="U29" s="1646" t="e">
        <f>#REF!</f>
        <v>#REF!</v>
      </c>
      <c r="V29" s="1646" t="e">
        <f>#REF!</f>
        <v>#REF!</v>
      </c>
      <c r="W29" s="1646" t="e">
        <f>#REF!</f>
        <v>#REF!</v>
      </c>
      <c r="X29" s="1646" t="e">
        <f>#REF!</f>
        <v>#REF!</v>
      </c>
      <c r="Y29" s="1644"/>
      <c r="Z29" s="1645" t="e">
        <f>#REF!</f>
        <v>#REF!</v>
      </c>
      <c r="AA29" s="1646" t="e">
        <f>#REF!</f>
        <v>#REF!</v>
      </c>
      <c r="AB29" s="1646" t="e">
        <f>#REF!</f>
        <v>#REF!</v>
      </c>
      <c r="AC29" s="1646" t="e">
        <f>#REF!</f>
        <v>#REF!</v>
      </c>
      <c r="AD29" s="1646" t="e">
        <f>#REF!</f>
        <v>#REF!</v>
      </c>
      <c r="AE29" s="1646" t="e">
        <f>#REF!</f>
        <v>#REF!</v>
      </c>
      <c r="AF29" s="1644"/>
      <c r="AG29" s="1645" t="e">
        <f>#REF!</f>
        <v>#REF!</v>
      </c>
      <c r="AH29" s="1646" t="e">
        <f>#REF!</f>
        <v>#REF!</v>
      </c>
      <c r="AI29" s="1646" t="e">
        <f>#REF!</f>
        <v>#REF!</v>
      </c>
      <c r="AJ29" s="1646" t="e">
        <f>#REF!</f>
        <v>#REF!</v>
      </c>
      <c r="AK29" s="1646" t="e">
        <f>#REF!</f>
        <v>#REF!</v>
      </c>
      <c r="AL29" s="1646" t="e">
        <f>#REF!</f>
        <v>#REF!</v>
      </c>
      <c r="AM29" s="1644"/>
      <c r="AN29" s="1645" t="e">
        <f>#REF!</f>
        <v>#REF!</v>
      </c>
      <c r="AO29" s="1646" t="e">
        <f>#REF!</f>
        <v>#REF!</v>
      </c>
      <c r="AP29" s="1646" t="e">
        <f>#REF!</f>
        <v>#REF!</v>
      </c>
      <c r="AQ29" s="1646" t="e">
        <f>#REF!</f>
        <v>#REF!</v>
      </c>
      <c r="AR29" s="1646" t="e">
        <f>#REF!</f>
        <v>#REF!</v>
      </c>
      <c r="AS29" s="1646" t="e">
        <f>#REF!</f>
        <v>#REF!</v>
      </c>
      <c r="AT29" s="1644"/>
      <c r="AU29" s="1645" t="e">
        <f>#REF!</f>
        <v>#REF!</v>
      </c>
      <c r="AV29" s="1646" t="e">
        <f>#REF!</f>
        <v>#REF!</v>
      </c>
      <c r="AW29" s="1646" t="e">
        <f>#REF!</f>
        <v>#REF!</v>
      </c>
      <c r="AX29" s="1646" t="e">
        <f>#REF!</f>
        <v>#REF!</v>
      </c>
      <c r="AY29" s="1646" t="e">
        <f>#REF!</f>
        <v>#REF!</v>
      </c>
      <c r="AZ29" s="1646" t="e">
        <f>#REF!</f>
        <v>#REF!</v>
      </c>
      <c r="BA29" s="1644"/>
      <c r="BB29" s="1645" t="e">
        <f>#REF!</f>
        <v>#REF!</v>
      </c>
      <c r="BC29" s="1646" t="e">
        <f>#REF!</f>
        <v>#REF!</v>
      </c>
      <c r="BD29" s="1646" t="e">
        <f>#REF!</f>
        <v>#REF!</v>
      </c>
      <c r="BE29" s="1646" t="e">
        <f>#REF!</f>
        <v>#REF!</v>
      </c>
      <c r="BF29" s="1646" t="e">
        <f>#REF!</f>
        <v>#REF!</v>
      </c>
      <c r="BG29" s="1646" t="e">
        <f>#REF!</f>
        <v>#REF!</v>
      </c>
      <c r="BH29" s="1644"/>
      <c r="BI29" s="1645" t="e">
        <f>#REF!</f>
        <v>#REF!</v>
      </c>
      <c r="BJ29" s="1646" t="e">
        <f>#REF!</f>
        <v>#REF!</v>
      </c>
      <c r="BK29" s="1646" t="e">
        <f>#REF!</f>
        <v>#REF!</v>
      </c>
      <c r="BL29" s="1646" t="e">
        <f>#REF!</f>
        <v>#REF!</v>
      </c>
      <c r="BM29" s="1646" t="e">
        <f>#REF!</f>
        <v>#REF!</v>
      </c>
      <c r="BN29" s="1646" t="e">
        <f>#REF!</f>
        <v>#REF!</v>
      </c>
      <c r="BO29" s="1644"/>
      <c r="BP29" s="1645" t="e">
        <f>#REF!</f>
        <v>#REF!</v>
      </c>
      <c r="BQ29" s="1646" t="e">
        <f>#REF!</f>
        <v>#REF!</v>
      </c>
      <c r="BR29" s="1646" t="e">
        <f>#REF!</f>
        <v>#REF!</v>
      </c>
      <c r="BS29" s="1646" t="e">
        <f>#REF!</f>
        <v>#REF!</v>
      </c>
      <c r="BT29" s="1646" t="e">
        <f>#REF!</f>
        <v>#REF!</v>
      </c>
      <c r="BU29" s="1646" t="e">
        <f>#REF!</f>
        <v>#REF!</v>
      </c>
    </row>
    <row r="30" spans="1:73" s="970" customFormat="1" outlineLevel="1">
      <c r="A30" s="1647" t="s">
        <v>1114</v>
      </c>
      <c r="B30" s="1648"/>
      <c r="C30" s="1649"/>
      <c r="D30" s="1644"/>
      <c r="E30" s="1650" t="e">
        <f>#REF!</f>
        <v>#REF!</v>
      </c>
      <c r="F30" s="1651" t="e">
        <f>#REF!</f>
        <v>#REF!</v>
      </c>
      <c r="G30" s="1651" t="e">
        <f>#REF!</f>
        <v>#REF!</v>
      </c>
      <c r="H30" s="1651" t="e">
        <f>#REF!</f>
        <v>#REF!</v>
      </c>
      <c r="I30" s="1651" t="e">
        <f>#REF!</f>
        <v>#REF!</v>
      </c>
      <c r="J30" s="1651" t="e">
        <f>#REF!</f>
        <v>#REF!</v>
      </c>
      <c r="K30" s="1644"/>
      <c r="L30" s="1650" t="e">
        <f>#REF!</f>
        <v>#REF!</v>
      </c>
      <c r="M30" s="1651" t="e">
        <f>#REF!</f>
        <v>#REF!</v>
      </c>
      <c r="N30" s="1651" t="e">
        <f>#REF!</f>
        <v>#REF!</v>
      </c>
      <c r="O30" s="1651" t="e">
        <f>#REF!</f>
        <v>#REF!</v>
      </c>
      <c r="P30" s="1651" t="e">
        <f>#REF!</f>
        <v>#REF!</v>
      </c>
      <c r="Q30" s="1651" t="e">
        <f>#REF!</f>
        <v>#REF!</v>
      </c>
      <c r="R30" s="1644"/>
      <c r="S30" s="1650" t="e">
        <f>#REF!</f>
        <v>#REF!</v>
      </c>
      <c r="T30" s="1651" t="e">
        <f>#REF!</f>
        <v>#REF!</v>
      </c>
      <c r="U30" s="1651" t="e">
        <f>#REF!</f>
        <v>#REF!</v>
      </c>
      <c r="V30" s="1651" t="e">
        <f>#REF!</f>
        <v>#REF!</v>
      </c>
      <c r="W30" s="1651" t="e">
        <f>#REF!</f>
        <v>#REF!</v>
      </c>
      <c r="X30" s="1651" t="e">
        <f>#REF!</f>
        <v>#REF!</v>
      </c>
      <c r="Y30" s="1644"/>
      <c r="Z30" s="1650" t="e">
        <f>#REF!</f>
        <v>#REF!</v>
      </c>
      <c r="AA30" s="1651" t="e">
        <f>#REF!</f>
        <v>#REF!</v>
      </c>
      <c r="AB30" s="1651" t="e">
        <f>#REF!</f>
        <v>#REF!</v>
      </c>
      <c r="AC30" s="1651" t="e">
        <f>#REF!</f>
        <v>#REF!</v>
      </c>
      <c r="AD30" s="1651" t="e">
        <f>#REF!</f>
        <v>#REF!</v>
      </c>
      <c r="AE30" s="1651" t="e">
        <f>#REF!</f>
        <v>#REF!</v>
      </c>
      <c r="AF30" s="1644"/>
      <c r="AG30" s="1650" t="e">
        <f>#REF!</f>
        <v>#REF!</v>
      </c>
      <c r="AH30" s="1651" t="e">
        <f>#REF!</f>
        <v>#REF!</v>
      </c>
      <c r="AI30" s="1651" t="e">
        <f>#REF!</f>
        <v>#REF!</v>
      </c>
      <c r="AJ30" s="1651" t="e">
        <f>#REF!</f>
        <v>#REF!</v>
      </c>
      <c r="AK30" s="1651" t="e">
        <f>#REF!</f>
        <v>#REF!</v>
      </c>
      <c r="AL30" s="1651" t="e">
        <f>#REF!</f>
        <v>#REF!</v>
      </c>
      <c r="AM30" s="1644"/>
      <c r="AN30" s="1650" t="e">
        <f>#REF!</f>
        <v>#REF!</v>
      </c>
      <c r="AO30" s="1651" t="e">
        <f>#REF!</f>
        <v>#REF!</v>
      </c>
      <c r="AP30" s="1651" t="e">
        <f>#REF!</f>
        <v>#REF!</v>
      </c>
      <c r="AQ30" s="1651" t="e">
        <f>#REF!</f>
        <v>#REF!</v>
      </c>
      <c r="AR30" s="1651" t="e">
        <f>#REF!</f>
        <v>#REF!</v>
      </c>
      <c r="AS30" s="1651" t="e">
        <f>#REF!</f>
        <v>#REF!</v>
      </c>
      <c r="AT30" s="1644"/>
      <c r="AU30" s="1650" t="e">
        <f>#REF!</f>
        <v>#REF!</v>
      </c>
      <c r="AV30" s="1651" t="e">
        <f>#REF!</f>
        <v>#REF!</v>
      </c>
      <c r="AW30" s="1651" t="e">
        <f>#REF!</f>
        <v>#REF!</v>
      </c>
      <c r="AX30" s="1651" t="e">
        <f>#REF!</f>
        <v>#REF!</v>
      </c>
      <c r="AY30" s="1651" t="e">
        <f>#REF!</f>
        <v>#REF!</v>
      </c>
      <c r="AZ30" s="1651" t="e">
        <f>#REF!</f>
        <v>#REF!</v>
      </c>
      <c r="BA30" s="1644"/>
      <c r="BB30" s="1650" t="e">
        <f>#REF!</f>
        <v>#REF!</v>
      </c>
      <c r="BC30" s="1651" t="e">
        <f>#REF!</f>
        <v>#REF!</v>
      </c>
      <c r="BD30" s="1651" t="e">
        <f>#REF!</f>
        <v>#REF!</v>
      </c>
      <c r="BE30" s="1651" t="e">
        <f>#REF!</f>
        <v>#REF!</v>
      </c>
      <c r="BF30" s="1651" t="e">
        <f>#REF!</f>
        <v>#REF!</v>
      </c>
      <c r="BG30" s="1651" t="e">
        <f>#REF!</f>
        <v>#REF!</v>
      </c>
      <c r="BH30" s="1644"/>
      <c r="BI30" s="1650" t="e">
        <f>#REF!</f>
        <v>#REF!</v>
      </c>
      <c r="BJ30" s="1651" t="e">
        <f>#REF!</f>
        <v>#REF!</v>
      </c>
      <c r="BK30" s="1651" t="e">
        <f>#REF!</f>
        <v>#REF!</v>
      </c>
      <c r="BL30" s="1651" t="e">
        <f>#REF!</f>
        <v>#REF!</v>
      </c>
      <c r="BM30" s="1651" t="e">
        <f>#REF!</f>
        <v>#REF!</v>
      </c>
      <c r="BN30" s="1651" t="e">
        <f>#REF!</f>
        <v>#REF!</v>
      </c>
      <c r="BO30" s="1644"/>
      <c r="BP30" s="1650" t="e">
        <f>#REF!</f>
        <v>#REF!</v>
      </c>
      <c r="BQ30" s="1651" t="e">
        <f>#REF!</f>
        <v>#REF!</v>
      </c>
      <c r="BR30" s="1651" t="e">
        <f>#REF!</f>
        <v>#REF!</v>
      </c>
      <c r="BS30" s="1651" t="e">
        <f>#REF!</f>
        <v>#REF!</v>
      </c>
      <c r="BT30" s="1651" t="e">
        <f>#REF!</f>
        <v>#REF!</v>
      </c>
      <c r="BU30" s="1651" t="e">
        <f>#REF!</f>
        <v>#REF!</v>
      </c>
    </row>
    <row r="31" spans="1:73" s="1599" customFormat="1" ht="15" outlineLevel="1">
      <c r="A31" s="1631" t="s">
        <v>515</v>
      </c>
      <c r="B31" s="1594"/>
      <c r="C31" s="1595"/>
      <c r="D31" s="1652"/>
      <c r="E31" s="1605" t="e">
        <f t="shared" ref="E31:J31" si="100">E26-E27</f>
        <v>#REF!</v>
      </c>
      <c r="F31" s="1605" t="e">
        <f t="shared" si="100"/>
        <v>#REF!</v>
      </c>
      <c r="G31" s="1605" t="e">
        <f t="shared" si="100"/>
        <v>#REF!</v>
      </c>
      <c r="H31" s="1605" t="e">
        <f t="shared" si="100"/>
        <v>#REF!</v>
      </c>
      <c r="I31" s="1605" t="e">
        <f t="shared" si="100"/>
        <v>#REF!</v>
      </c>
      <c r="J31" s="1605" t="e">
        <f t="shared" si="100"/>
        <v>#REF!</v>
      </c>
      <c r="K31" s="1652"/>
      <c r="L31" s="1605" t="e">
        <f t="shared" ref="L31:Q31" si="101">L26-L27</f>
        <v>#REF!</v>
      </c>
      <c r="M31" s="1605" t="e">
        <f t="shared" si="101"/>
        <v>#REF!</v>
      </c>
      <c r="N31" s="1605" t="e">
        <f t="shared" si="101"/>
        <v>#REF!</v>
      </c>
      <c r="O31" s="1605" t="e">
        <f t="shared" si="101"/>
        <v>#REF!</v>
      </c>
      <c r="P31" s="1605" t="e">
        <f t="shared" si="101"/>
        <v>#REF!</v>
      </c>
      <c r="Q31" s="1605" t="e">
        <f t="shared" si="101"/>
        <v>#REF!</v>
      </c>
      <c r="R31" s="1652"/>
      <c r="S31" s="1605" t="e">
        <f t="shared" ref="S31:X31" si="102">S26-S27</f>
        <v>#REF!</v>
      </c>
      <c r="T31" s="1605" t="e">
        <f t="shared" si="102"/>
        <v>#REF!</v>
      </c>
      <c r="U31" s="1605" t="e">
        <f t="shared" si="102"/>
        <v>#REF!</v>
      </c>
      <c r="V31" s="1605" t="e">
        <f t="shared" si="102"/>
        <v>#REF!</v>
      </c>
      <c r="W31" s="1605" t="e">
        <f t="shared" si="102"/>
        <v>#REF!</v>
      </c>
      <c r="X31" s="1605" t="e">
        <f t="shared" si="102"/>
        <v>#REF!</v>
      </c>
      <c r="Y31" s="1652"/>
      <c r="Z31" s="1605" t="e">
        <f t="shared" ref="Z31:AE31" si="103">Z26-Z27</f>
        <v>#REF!</v>
      </c>
      <c r="AA31" s="1605" t="e">
        <f t="shared" si="103"/>
        <v>#REF!</v>
      </c>
      <c r="AB31" s="1605" t="e">
        <f t="shared" si="103"/>
        <v>#REF!</v>
      </c>
      <c r="AC31" s="1605" t="e">
        <f t="shared" si="103"/>
        <v>#REF!</v>
      </c>
      <c r="AD31" s="1605" t="e">
        <f t="shared" si="103"/>
        <v>#REF!</v>
      </c>
      <c r="AE31" s="1605" t="e">
        <f t="shared" si="103"/>
        <v>#REF!</v>
      </c>
      <c r="AF31" s="1652"/>
      <c r="AG31" s="1605" t="e">
        <f t="shared" ref="AG31:AL31" si="104">AG26-AG27</f>
        <v>#REF!</v>
      </c>
      <c r="AH31" s="1605" t="e">
        <f t="shared" si="104"/>
        <v>#REF!</v>
      </c>
      <c r="AI31" s="1605" t="e">
        <f t="shared" si="104"/>
        <v>#REF!</v>
      </c>
      <c r="AJ31" s="1605" t="e">
        <f t="shared" si="104"/>
        <v>#REF!</v>
      </c>
      <c r="AK31" s="1605" t="e">
        <f t="shared" si="104"/>
        <v>#REF!</v>
      </c>
      <c r="AL31" s="1605" t="e">
        <f t="shared" si="104"/>
        <v>#REF!</v>
      </c>
      <c r="AM31" s="1652"/>
      <c r="AN31" s="1605" t="e">
        <f t="shared" ref="AN31:AS31" si="105">AN26-AN27</f>
        <v>#REF!</v>
      </c>
      <c r="AO31" s="1605" t="e">
        <f t="shared" si="105"/>
        <v>#REF!</v>
      </c>
      <c r="AP31" s="1605" t="e">
        <f t="shared" si="105"/>
        <v>#REF!</v>
      </c>
      <c r="AQ31" s="1605" t="e">
        <f t="shared" si="105"/>
        <v>#REF!</v>
      </c>
      <c r="AR31" s="1605" t="e">
        <f t="shared" si="105"/>
        <v>#REF!</v>
      </c>
      <c r="AS31" s="1605" t="e">
        <f t="shared" si="105"/>
        <v>#REF!</v>
      </c>
      <c r="AT31" s="1652"/>
      <c r="AU31" s="1605" t="e">
        <f t="shared" ref="AU31:AZ31" si="106">AU26-AU27</f>
        <v>#REF!</v>
      </c>
      <c r="AV31" s="1605" t="e">
        <f t="shared" si="106"/>
        <v>#REF!</v>
      </c>
      <c r="AW31" s="1605" t="e">
        <f t="shared" si="106"/>
        <v>#REF!</v>
      </c>
      <c r="AX31" s="1605" t="e">
        <f t="shared" si="106"/>
        <v>#REF!</v>
      </c>
      <c r="AY31" s="1605" t="e">
        <f t="shared" si="106"/>
        <v>#REF!</v>
      </c>
      <c r="AZ31" s="1605" t="e">
        <f t="shared" si="106"/>
        <v>#REF!</v>
      </c>
      <c r="BA31" s="1652"/>
      <c r="BB31" s="1605" t="e">
        <f t="shared" ref="BB31:BG31" si="107">BB26-BB27</f>
        <v>#REF!</v>
      </c>
      <c r="BC31" s="1605" t="e">
        <f t="shared" si="107"/>
        <v>#REF!</v>
      </c>
      <c r="BD31" s="1605" t="e">
        <f t="shared" si="107"/>
        <v>#REF!</v>
      </c>
      <c r="BE31" s="1605" t="e">
        <f t="shared" si="107"/>
        <v>#REF!</v>
      </c>
      <c r="BF31" s="1605" t="e">
        <f t="shared" si="107"/>
        <v>#REF!</v>
      </c>
      <c r="BG31" s="1605" t="e">
        <f t="shared" si="107"/>
        <v>#REF!</v>
      </c>
      <c r="BH31" s="1652"/>
      <c r="BI31" s="1605" t="e">
        <f t="shared" ref="BI31:BN31" si="108">BI26-BI27</f>
        <v>#REF!</v>
      </c>
      <c r="BJ31" s="1605" t="e">
        <f t="shared" si="108"/>
        <v>#REF!</v>
      </c>
      <c r="BK31" s="1605" t="e">
        <f t="shared" si="108"/>
        <v>#REF!</v>
      </c>
      <c r="BL31" s="1605" t="e">
        <f t="shared" si="108"/>
        <v>#REF!</v>
      </c>
      <c r="BM31" s="1605" t="e">
        <f t="shared" si="108"/>
        <v>#REF!</v>
      </c>
      <c r="BN31" s="1605" t="e">
        <f t="shared" si="108"/>
        <v>#REF!</v>
      </c>
      <c r="BO31" s="1652"/>
      <c r="BP31" s="1605" t="e">
        <f t="shared" ref="BP31:BU31" si="109">BP26-BP27</f>
        <v>#REF!</v>
      </c>
      <c r="BQ31" s="1605" t="e">
        <f t="shared" si="109"/>
        <v>#REF!</v>
      </c>
      <c r="BR31" s="1605" t="e">
        <f t="shared" si="109"/>
        <v>#REF!</v>
      </c>
      <c r="BS31" s="1605" t="e">
        <f t="shared" si="109"/>
        <v>#REF!</v>
      </c>
      <c r="BT31" s="1605" t="e">
        <f t="shared" si="109"/>
        <v>#REF!</v>
      </c>
      <c r="BU31" s="1605" t="e">
        <f t="shared" si="109"/>
        <v>#REF!</v>
      </c>
    </row>
  </sheetData>
  <sheetProtection selectLockedCells="1" selectUnlockedCells="1"/>
  <pageMargins left="0.7" right="0.7" top="0.75" bottom="0.75" header="0.51180555555555551" footer="0.51180555555555551"/>
  <pageSetup firstPageNumber="0" orientation="portrait" horizontalDpi="300" verticalDpi="300"/>
  <headerFooter alignWithMargins="0"/>
  <legacyDrawing r:id="rId1"/>
</worksheet>
</file>

<file path=xl/worksheets/sheet2.xml><?xml version="1.0" encoding="utf-8"?>
<worksheet xmlns="http://schemas.openxmlformats.org/spreadsheetml/2006/main" xmlns:r="http://schemas.openxmlformats.org/officeDocument/2006/relationships">
  <dimension ref="A2:O62"/>
  <sheetViews>
    <sheetView topLeftCell="M38" zoomScale="90" zoomScaleNormal="90" workbookViewId="0">
      <selection activeCell="O41" sqref="O41"/>
    </sheetView>
  </sheetViews>
  <sheetFormatPr defaultColWidth="8.7109375" defaultRowHeight="12.75" outlineLevelCol="1"/>
  <cols>
    <col min="1" max="5" width="0" style="1" hidden="1" customWidth="1" outlineLevel="1"/>
    <col min="6" max="6" width="0" style="93" hidden="1" customWidth="1" outlineLevel="1"/>
    <col min="7" max="12" width="0" style="1" hidden="1" customWidth="1" outlineLevel="1"/>
    <col min="13" max="13" width="55.7109375" style="93" customWidth="1"/>
    <col min="14" max="14" width="60.42578125" style="94" customWidth="1"/>
    <col min="15" max="15" width="65.42578125" style="94" customWidth="1"/>
    <col min="16" max="16384" width="8.7109375" style="1"/>
  </cols>
  <sheetData>
    <row r="2" spans="1:15" ht="15" customHeight="1">
      <c r="A2" s="8"/>
      <c r="B2" s="8"/>
    </row>
    <row r="3" spans="1:15">
      <c r="A3" s="18"/>
      <c r="B3" s="18"/>
      <c r="F3" s="95" t="s">
        <v>64</v>
      </c>
      <c r="G3" s="96" t="s">
        <v>65</v>
      </c>
      <c r="H3" s="97">
        <v>9</v>
      </c>
      <c r="I3" s="98"/>
      <c r="J3" s="99"/>
      <c r="K3" s="100"/>
      <c r="L3" s="100"/>
      <c r="M3" s="101"/>
      <c r="N3" s="102"/>
      <c r="O3" s="102"/>
    </row>
    <row r="4" spans="1:15" ht="45">
      <c r="A4" s="36" t="s">
        <v>23</v>
      </c>
      <c r="B4" s="37">
        <v>82114657.219999999</v>
      </c>
      <c r="C4" s="38">
        <v>0.8200698495180555</v>
      </c>
      <c r="D4" s="38"/>
      <c r="E4" s="38"/>
      <c r="F4" s="103"/>
      <c r="G4" s="104" t="s">
        <v>66</v>
      </c>
      <c r="H4" s="105" t="s">
        <v>67</v>
      </c>
      <c r="I4" s="106" t="s">
        <v>68</v>
      </c>
      <c r="J4" s="107" t="s">
        <v>69</v>
      </c>
      <c r="K4" s="108" t="s">
        <v>70</v>
      </c>
      <c r="L4" s="108" t="s">
        <v>71</v>
      </c>
      <c r="M4" s="109" t="s">
        <v>27</v>
      </c>
      <c r="N4" s="110" t="s">
        <v>72</v>
      </c>
      <c r="O4" s="110" t="s">
        <v>73</v>
      </c>
    </row>
    <row r="5" spans="1:15" ht="45">
      <c r="A5" s="42" t="s">
        <v>24</v>
      </c>
      <c r="B5" s="43">
        <v>80037751.329999998</v>
      </c>
      <c r="C5" s="46">
        <v>0.79932802390083024</v>
      </c>
      <c r="D5" s="46"/>
      <c r="E5" s="46"/>
      <c r="F5" s="111" t="s">
        <v>74</v>
      </c>
      <c r="G5" s="112">
        <v>2809261.23</v>
      </c>
      <c r="H5" s="113">
        <v>312140.13666666666</v>
      </c>
      <c r="I5" s="114">
        <v>1603.6161234915053</v>
      </c>
      <c r="J5" s="115">
        <v>1425.5680758873652</v>
      </c>
      <c r="K5" s="116">
        <v>0.17366552019135734</v>
      </c>
      <c r="L5" s="116">
        <v>2.3642705952770859E-2</v>
      </c>
      <c r="M5" s="117" t="s">
        <v>75</v>
      </c>
      <c r="N5" s="118" t="s">
        <v>76</v>
      </c>
      <c r="O5" s="118"/>
    </row>
    <row r="6" spans="1:15" ht="78.75">
      <c r="A6" s="42" t="s">
        <v>25</v>
      </c>
      <c r="B6" s="43">
        <v>1539207.86</v>
      </c>
      <c r="C6" s="46">
        <v>1.5371895844920736E-2</v>
      </c>
      <c r="D6" s="46"/>
      <c r="E6" s="46"/>
      <c r="F6" s="111" t="s">
        <v>77</v>
      </c>
      <c r="G6" s="119">
        <v>382086.23</v>
      </c>
      <c r="H6" s="120">
        <v>42454.025555555556</v>
      </c>
      <c r="I6" s="121">
        <v>218.10703556111926</v>
      </c>
      <c r="J6" s="121">
        <v>193.89080869640495</v>
      </c>
      <c r="K6" s="122">
        <v>2.3620161479573257E-2</v>
      </c>
      <c r="L6" s="122">
        <v>3.2156327393208554E-3</v>
      </c>
      <c r="M6" s="123" t="s">
        <v>78</v>
      </c>
      <c r="N6" s="124" t="s">
        <v>79</v>
      </c>
      <c r="O6" s="124"/>
    </row>
    <row r="7" spans="1:15" ht="67.5">
      <c r="A7" s="42" t="s">
        <v>26</v>
      </c>
      <c r="B7" s="43">
        <v>537698.03</v>
      </c>
      <c r="C7" s="46">
        <v>5.3699297723044789E-3</v>
      </c>
      <c r="D7" s="46"/>
      <c r="E7" s="46"/>
      <c r="F7" s="111" t="s">
        <v>80</v>
      </c>
      <c r="G7" s="125">
        <v>1500</v>
      </c>
      <c r="H7" s="126">
        <v>166.66666666666666</v>
      </c>
      <c r="I7" s="127">
        <v>0.85624795570800583</v>
      </c>
      <c r="J7" s="127">
        <v>0.76117951972414055</v>
      </c>
      <c r="K7" s="128">
        <v>9.2728393324616513E-5</v>
      </c>
      <c r="L7" s="128">
        <v>1.2623980479435973E-5</v>
      </c>
      <c r="M7" s="129" t="s">
        <v>29</v>
      </c>
      <c r="N7" s="130" t="s">
        <v>81</v>
      </c>
      <c r="O7" s="130"/>
    </row>
    <row r="8" spans="1:15" ht="25.5">
      <c r="A8" s="36" t="s">
        <v>27</v>
      </c>
      <c r="B8" s="37">
        <v>12444501.089999998</v>
      </c>
      <c r="C8" s="38">
        <v>0.12428183325251635</v>
      </c>
      <c r="D8" s="38"/>
      <c r="E8" s="38"/>
      <c r="F8" s="103"/>
      <c r="M8" s="131" t="s">
        <v>29</v>
      </c>
      <c r="N8" s="132" t="s">
        <v>82</v>
      </c>
      <c r="O8" s="132" t="s">
        <v>83</v>
      </c>
    </row>
    <row r="9" spans="1:15" ht="22.5">
      <c r="A9" s="133"/>
      <c r="B9" s="37"/>
      <c r="C9" s="38"/>
      <c r="D9" s="38"/>
      <c r="E9" s="38"/>
      <c r="F9" s="103"/>
      <c r="M9" s="131" t="s">
        <v>84</v>
      </c>
      <c r="N9" s="132" t="s">
        <v>85</v>
      </c>
      <c r="O9" s="132" t="s">
        <v>83</v>
      </c>
    </row>
    <row r="10" spans="1:15">
      <c r="A10" s="133"/>
      <c r="B10" s="37"/>
      <c r="C10" s="38"/>
      <c r="D10" s="38"/>
      <c r="E10" s="38"/>
      <c r="F10" s="103"/>
      <c r="M10" s="131" t="s">
        <v>86</v>
      </c>
      <c r="N10" s="132" t="s">
        <v>87</v>
      </c>
      <c r="O10" s="132"/>
    </row>
    <row r="11" spans="1:15" ht="56.25">
      <c r="A11" s="50" t="s">
        <v>28</v>
      </c>
      <c r="B11" s="51">
        <v>255038.04</v>
      </c>
      <c r="C11" s="52">
        <v>2.5470362315930012E-3</v>
      </c>
      <c r="D11" s="52"/>
      <c r="E11" s="52"/>
      <c r="F11" s="134"/>
      <c r="G11" s="135">
        <v>376586.23</v>
      </c>
      <c r="H11" s="136">
        <v>41842.914444444439</v>
      </c>
      <c r="I11" s="137">
        <v>214.96745972352323</v>
      </c>
      <c r="J11" s="137">
        <v>191.0998171240831</v>
      </c>
      <c r="K11" s="138">
        <v>2.3280157370716328E-2</v>
      </c>
      <c r="L11" s="138">
        <v>3.1693448108962565E-3</v>
      </c>
      <c r="M11" s="129" t="s">
        <v>88</v>
      </c>
      <c r="N11" s="130" t="s">
        <v>89</v>
      </c>
      <c r="O11" s="130"/>
    </row>
    <row r="12" spans="1:15" ht="22.5">
      <c r="A12" s="139"/>
      <c r="B12" s="51"/>
      <c r="C12" s="52"/>
      <c r="D12" s="52"/>
      <c r="E12" s="52"/>
      <c r="F12" s="134"/>
      <c r="G12" s="140"/>
      <c r="H12" s="141"/>
      <c r="I12" s="142"/>
      <c r="J12" s="142"/>
      <c r="K12" s="143"/>
      <c r="L12" s="143"/>
      <c r="M12" s="144" t="s">
        <v>90</v>
      </c>
      <c r="N12" s="145" t="s">
        <v>91</v>
      </c>
      <c r="O12" s="145"/>
    </row>
    <row r="13" spans="1:15" ht="168.75">
      <c r="A13" s="56" t="s">
        <v>29</v>
      </c>
      <c r="B13" s="57">
        <v>1500</v>
      </c>
      <c r="C13" s="46">
        <v>1.498033135523431E-5</v>
      </c>
      <c r="D13" s="46"/>
      <c r="E13" s="46"/>
      <c r="F13" s="111" t="s">
        <v>92</v>
      </c>
      <c r="G13" s="146">
        <v>508086.23</v>
      </c>
      <c r="H13" s="147">
        <v>56454.025555555556</v>
      </c>
      <c r="I13" s="148">
        <v>290.03186384059177</v>
      </c>
      <c r="J13" s="148">
        <v>257.82988835323272</v>
      </c>
      <c r="K13" s="149">
        <v>3.1409346518841044E-2</v>
      </c>
      <c r="L13" s="149">
        <v>4.2760470995934774E-3</v>
      </c>
      <c r="M13" s="150" t="s">
        <v>90</v>
      </c>
      <c r="N13" s="151" t="s">
        <v>93</v>
      </c>
      <c r="O13" s="152" t="s">
        <v>94</v>
      </c>
    </row>
    <row r="14" spans="1:15" ht="22.5">
      <c r="A14" s="56"/>
      <c r="B14" s="57"/>
      <c r="C14" s="46"/>
      <c r="D14" s="46"/>
      <c r="E14" s="46"/>
      <c r="F14" s="111"/>
      <c r="G14" s="146">
        <v>131500</v>
      </c>
      <c r="H14" s="147">
        <v>14611.111111111111</v>
      </c>
      <c r="I14" s="148">
        <v>75.064404117068506</v>
      </c>
      <c r="J14" s="148">
        <v>66.730071229149644</v>
      </c>
      <c r="K14" s="149">
        <v>8.1291891481247141E-3</v>
      </c>
      <c r="L14" s="149">
        <v>1.1067022886972202E-3</v>
      </c>
      <c r="M14" s="150" t="s">
        <v>95</v>
      </c>
      <c r="N14" s="151" t="s">
        <v>96</v>
      </c>
      <c r="O14" s="151" t="s">
        <v>97</v>
      </c>
    </row>
    <row r="15" spans="1:15" ht="22.5">
      <c r="A15" s="56"/>
      <c r="B15" s="57"/>
      <c r="C15" s="46"/>
      <c r="D15" s="46"/>
      <c r="E15" s="46"/>
      <c r="F15" s="111"/>
      <c r="G15" s="146"/>
      <c r="H15" s="147"/>
      <c r="I15" s="148"/>
      <c r="J15" s="148"/>
      <c r="K15" s="149"/>
      <c r="L15" s="149"/>
      <c r="M15" s="153" t="s">
        <v>98</v>
      </c>
      <c r="N15" s="151" t="s">
        <v>99</v>
      </c>
      <c r="O15" s="151" t="s">
        <v>100</v>
      </c>
    </row>
    <row r="16" spans="1:15" ht="90">
      <c r="A16" s="59" t="s">
        <v>31</v>
      </c>
      <c r="B16" s="57">
        <v>0</v>
      </c>
      <c r="C16" s="46">
        <v>0</v>
      </c>
      <c r="D16" s="46"/>
      <c r="E16" s="46"/>
      <c r="F16" s="111" t="s">
        <v>101</v>
      </c>
      <c r="G16" s="154">
        <v>0</v>
      </c>
      <c r="H16" s="155">
        <v>0</v>
      </c>
      <c r="I16" s="156">
        <v>0</v>
      </c>
      <c r="J16" s="156">
        <v>0</v>
      </c>
      <c r="K16" s="157">
        <v>0</v>
      </c>
      <c r="L16" s="157">
        <v>0</v>
      </c>
      <c r="M16" s="129" t="s">
        <v>31</v>
      </c>
      <c r="N16" s="130" t="s">
        <v>102</v>
      </c>
      <c r="O16" s="130"/>
    </row>
    <row r="17" spans="1:15" ht="45">
      <c r="A17" s="60" t="s">
        <v>34</v>
      </c>
      <c r="B17" s="51">
        <v>6459389.8700000001</v>
      </c>
      <c r="C17" s="52">
        <v>6.4509200403495906E-2</v>
      </c>
      <c r="D17" s="158">
        <v>1.0785207660930316</v>
      </c>
      <c r="E17" s="158"/>
      <c r="F17" s="134"/>
      <c r="M17" s="131" t="s">
        <v>31</v>
      </c>
      <c r="N17" s="159"/>
      <c r="O17" s="132" t="s">
        <v>103</v>
      </c>
    </row>
    <row r="18" spans="1:15" ht="78.75">
      <c r="A18" s="42" t="s">
        <v>35</v>
      </c>
      <c r="B18" s="57">
        <v>3369198.95</v>
      </c>
      <c r="C18" s="46">
        <v>3.3647811115138343E-2</v>
      </c>
      <c r="D18" s="160">
        <v>0.56255329153461331</v>
      </c>
      <c r="E18" s="160"/>
      <c r="F18" s="111" t="s">
        <v>104</v>
      </c>
      <c r="G18" s="135">
        <v>4000</v>
      </c>
      <c r="H18" s="136">
        <v>444.44444444444446</v>
      </c>
      <c r="I18" s="137">
        <v>2.2833278818880154</v>
      </c>
      <c r="J18" s="137">
        <v>2.0298120525977077</v>
      </c>
      <c r="K18" s="138">
        <v>2.4727571553231068E-4</v>
      </c>
      <c r="L18" s="138">
        <v>3.3663947945162592E-5</v>
      </c>
      <c r="M18" s="129" t="s">
        <v>105</v>
      </c>
      <c r="N18" s="130" t="s">
        <v>106</v>
      </c>
      <c r="O18" s="161"/>
    </row>
    <row r="19" spans="1:15" ht="45">
      <c r="A19" s="42" t="s">
        <v>36</v>
      </c>
      <c r="B19" s="57">
        <v>1440000</v>
      </c>
      <c r="C19" s="46">
        <v>1.4381118101024937E-2</v>
      </c>
      <c r="D19" s="160">
        <v>0.24043600625301251</v>
      </c>
      <c r="E19" s="160"/>
      <c r="F19" s="111" t="s">
        <v>107</v>
      </c>
      <c r="G19" s="162">
        <v>4000</v>
      </c>
      <c r="H19" s="163">
        <v>444.44444444444446</v>
      </c>
      <c r="I19" s="164">
        <v>2.2833278818880154</v>
      </c>
      <c r="J19" s="164">
        <v>2.0298120525977077</v>
      </c>
      <c r="K19" s="165">
        <v>2.4727571553231068E-4</v>
      </c>
      <c r="L19" s="165">
        <v>3.3663947945162592E-5</v>
      </c>
      <c r="M19" s="72" t="s">
        <v>58</v>
      </c>
      <c r="N19" s="151" t="s">
        <v>58</v>
      </c>
      <c r="O19" s="166" t="s">
        <v>108</v>
      </c>
    </row>
    <row r="20" spans="1:15" ht="45">
      <c r="A20" s="42" t="s">
        <v>37</v>
      </c>
      <c r="B20" s="57">
        <v>467414.17</v>
      </c>
      <c r="C20" s="46">
        <v>4.6680127644878793E-3</v>
      </c>
      <c r="D20" s="160">
        <v>7.8043886320046274E-2</v>
      </c>
      <c r="E20" s="160"/>
      <c r="F20" s="111" t="s">
        <v>109</v>
      </c>
      <c r="G20" s="167">
        <v>0</v>
      </c>
      <c r="H20" s="168">
        <v>0</v>
      </c>
      <c r="I20" s="169">
        <v>0</v>
      </c>
      <c r="J20" s="169">
        <v>0</v>
      </c>
      <c r="K20" s="170">
        <v>0</v>
      </c>
      <c r="L20" s="170">
        <v>0</v>
      </c>
      <c r="M20" s="171" t="s">
        <v>110</v>
      </c>
      <c r="N20" s="172" t="s">
        <v>110</v>
      </c>
      <c r="O20" s="173" t="s">
        <v>108</v>
      </c>
    </row>
    <row r="21" spans="1:15" ht="78.75">
      <c r="A21" s="65" t="s">
        <v>38</v>
      </c>
      <c r="B21" s="66">
        <v>1182776.75</v>
      </c>
      <c r="C21" s="67">
        <v>1.1812258422844753E-2</v>
      </c>
      <c r="D21" s="174">
        <v>0.19748758198535962</v>
      </c>
      <c r="E21" s="174"/>
      <c r="F21" s="175"/>
      <c r="G21" s="176">
        <v>2427175</v>
      </c>
      <c r="H21" s="177">
        <v>269686.11111111112</v>
      </c>
      <c r="I21" s="178">
        <v>1385.5090879303859</v>
      </c>
      <c r="J21" s="178">
        <v>1231.6772671909603</v>
      </c>
      <c r="K21" s="179">
        <v>0.15004535871178404</v>
      </c>
      <c r="L21" s="179">
        <v>2.0427073213450005E-2</v>
      </c>
      <c r="M21" s="123" t="s">
        <v>111</v>
      </c>
      <c r="N21" s="124" t="s">
        <v>112</v>
      </c>
      <c r="O21" s="124"/>
    </row>
    <row r="22" spans="1:15" ht="67.5">
      <c r="A22" s="72" t="s">
        <v>39</v>
      </c>
      <c r="B22" s="57">
        <v>114190.48000000001</v>
      </c>
      <c r="C22" s="46">
        <v>1.1404074853421709E-3</v>
      </c>
      <c r="D22" s="160">
        <v>1.9066321502301739E-2</v>
      </c>
      <c r="E22" s="160"/>
      <c r="F22" s="111" t="s">
        <v>113</v>
      </c>
      <c r="G22" s="180">
        <v>2427175</v>
      </c>
      <c r="H22" s="181">
        <v>269686.11111111112</v>
      </c>
      <c r="I22" s="182">
        <v>1385.5090879303859</v>
      </c>
      <c r="J22" s="182">
        <v>1231.6772671909603</v>
      </c>
      <c r="K22" s="183">
        <v>0.15004535871178404</v>
      </c>
      <c r="L22" s="183">
        <v>2.0427073213450005E-2</v>
      </c>
      <c r="M22" s="42" t="s">
        <v>25</v>
      </c>
      <c r="N22" s="151" t="s">
        <v>114</v>
      </c>
      <c r="O22" s="151" t="s">
        <v>115</v>
      </c>
    </row>
    <row r="23" spans="1:15" ht="101.25">
      <c r="A23" s="72" t="s">
        <v>40</v>
      </c>
      <c r="B23" s="57">
        <v>237737.52</v>
      </c>
      <c r="C23" s="46">
        <v>2.3742578834477623E-3</v>
      </c>
      <c r="D23" s="160">
        <v>3.9694902670344222E-2</v>
      </c>
      <c r="E23" s="160"/>
      <c r="F23" s="111" t="s">
        <v>113</v>
      </c>
      <c r="G23" s="184">
        <v>1802596.53</v>
      </c>
      <c r="H23" s="185">
        <v>200288.50333333333</v>
      </c>
      <c r="I23" s="186">
        <v>1028.9797291858965</v>
      </c>
      <c r="J23" s="186">
        <v>914.73304064120146</v>
      </c>
      <c r="K23" s="187">
        <v>0.11143458669295261</v>
      </c>
      <c r="L23" s="187">
        <v>1.517062893801268E-2</v>
      </c>
      <c r="M23" s="188" t="s">
        <v>26</v>
      </c>
      <c r="N23" s="189" t="s">
        <v>116</v>
      </c>
      <c r="O23" s="189" t="s">
        <v>117</v>
      </c>
    </row>
    <row r="24" spans="1:15" ht="90">
      <c r="A24" s="72" t="s">
        <v>41</v>
      </c>
      <c r="B24" s="57">
        <v>225008.49</v>
      </c>
      <c r="C24" s="46">
        <v>2.2471344919606168E-3</v>
      </c>
      <c r="D24" s="160">
        <v>3.7569543547653399E-2</v>
      </c>
      <c r="E24" s="160"/>
      <c r="F24" s="111" t="s">
        <v>113</v>
      </c>
      <c r="G24" s="184">
        <v>624578.47</v>
      </c>
      <c r="H24" s="185">
        <v>69397.607777777768</v>
      </c>
      <c r="I24" s="186">
        <v>356.52935874448934</v>
      </c>
      <c r="J24" s="186">
        <v>316.94422654975898</v>
      </c>
      <c r="K24" s="187">
        <v>3.8610772018831459E-2</v>
      </c>
      <c r="L24" s="187">
        <v>5.2564442754373239E-3</v>
      </c>
      <c r="M24" s="190" t="s">
        <v>118</v>
      </c>
      <c r="N24" s="191" t="s">
        <v>119</v>
      </c>
      <c r="O24" s="191"/>
    </row>
    <row r="25" spans="1:15" ht="101.25">
      <c r="A25" s="72" t="s">
        <v>42</v>
      </c>
      <c r="B25" s="57">
        <v>64693.560000000005</v>
      </c>
      <c r="C25" s="46">
        <v>6.4608731023315475E-4</v>
      </c>
      <c r="D25" s="160">
        <v>1.0801848053256694E-2</v>
      </c>
      <c r="E25" s="160"/>
      <c r="F25" s="111" t="s">
        <v>120</v>
      </c>
      <c r="G25" s="192">
        <v>0</v>
      </c>
      <c r="H25" s="193">
        <v>0</v>
      </c>
      <c r="I25" s="194">
        <v>0</v>
      </c>
      <c r="J25" s="194">
        <v>0</v>
      </c>
      <c r="K25" s="195">
        <v>0</v>
      </c>
      <c r="L25" s="195">
        <v>0</v>
      </c>
      <c r="M25" s="72"/>
      <c r="N25" s="151"/>
      <c r="O25" s="166" t="s">
        <v>121</v>
      </c>
    </row>
    <row r="26" spans="1:15" ht="123.75">
      <c r="A26" s="72" t="s">
        <v>43</v>
      </c>
      <c r="B26" s="57">
        <v>88327</v>
      </c>
      <c r="C26" s="46">
        <v>8.821118184091873E-4</v>
      </c>
      <c r="D26" s="160">
        <v>1.474791050299294E-2</v>
      </c>
      <c r="E26" s="160"/>
      <c r="F26" s="111" t="s">
        <v>113</v>
      </c>
      <c r="G26" s="162">
        <v>0</v>
      </c>
      <c r="H26" s="163">
        <v>0</v>
      </c>
      <c r="I26" s="164">
        <v>0</v>
      </c>
      <c r="J26" s="164">
        <v>0</v>
      </c>
      <c r="K26" s="165">
        <v>0</v>
      </c>
      <c r="L26" s="165">
        <v>0</v>
      </c>
      <c r="M26" s="42"/>
      <c r="N26" s="152"/>
      <c r="O26" s="152"/>
    </row>
    <row r="27" spans="1:15" ht="56.25">
      <c r="A27" s="72" t="s">
        <v>44</v>
      </c>
      <c r="B27" s="57">
        <v>16602.919999999998</v>
      </c>
      <c r="C27" s="46">
        <v>1.6581149537629785E-4</v>
      </c>
      <c r="D27" s="160">
        <v>2.7721804006515735E-3</v>
      </c>
      <c r="E27" s="160"/>
      <c r="F27" s="111" t="s">
        <v>113</v>
      </c>
      <c r="G27" s="184">
        <v>0</v>
      </c>
      <c r="H27" s="185">
        <v>0</v>
      </c>
      <c r="I27" s="186">
        <v>0</v>
      </c>
      <c r="J27" s="186">
        <v>0</v>
      </c>
      <c r="K27" s="187">
        <v>0</v>
      </c>
      <c r="L27" s="187">
        <v>0</v>
      </c>
      <c r="M27" s="42"/>
      <c r="N27" s="152"/>
      <c r="O27" s="152"/>
    </row>
    <row r="28" spans="1:15" ht="45">
      <c r="A28" s="72" t="s">
        <v>45</v>
      </c>
      <c r="B28" s="57">
        <v>54594</v>
      </c>
      <c r="C28" s="46">
        <v>5.4522414000510785E-4</v>
      </c>
      <c r="D28" s="160">
        <v>9.1155300870673361E-3</v>
      </c>
      <c r="E28" s="160"/>
      <c r="F28" s="111" t="s">
        <v>113</v>
      </c>
      <c r="G28" s="184">
        <v>0</v>
      </c>
      <c r="H28" s="185">
        <v>0</v>
      </c>
      <c r="I28" s="186">
        <v>0</v>
      </c>
      <c r="J28" s="186">
        <v>0</v>
      </c>
      <c r="K28" s="187">
        <v>0</v>
      </c>
      <c r="L28" s="187">
        <v>0</v>
      </c>
      <c r="M28" s="196"/>
      <c r="N28" s="197"/>
      <c r="O28" s="197"/>
    </row>
    <row r="29" spans="1:15" ht="45">
      <c r="A29" s="72" t="s">
        <v>46</v>
      </c>
      <c r="B29" s="57">
        <v>0</v>
      </c>
      <c r="C29" s="46">
        <v>0</v>
      </c>
      <c r="D29" s="160">
        <v>0</v>
      </c>
      <c r="E29" s="160"/>
      <c r="F29" s="111" t="s">
        <v>113</v>
      </c>
      <c r="G29" s="184">
        <v>0</v>
      </c>
      <c r="H29" s="185">
        <v>0</v>
      </c>
      <c r="I29" s="186">
        <v>0</v>
      </c>
      <c r="J29" s="186">
        <v>0</v>
      </c>
      <c r="K29" s="187">
        <v>0</v>
      </c>
      <c r="L29" s="187">
        <v>0</v>
      </c>
      <c r="M29" s="198" t="s">
        <v>122</v>
      </c>
      <c r="N29" s="199" t="s">
        <v>123</v>
      </c>
      <c r="O29" s="199"/>
    </row>
    <row r="30" spans="1:15" ht="123.75">
      <c r="A30" s="72" t="s">
        <v>38</v>
      </c>
      <c r="B30" s="57">
        <v>0</v>
      </c>
      <c r="C30" s="46">
        <v>0</v>
      </c>
      <c r="D30" s="160">
        <v>0</v>
      </c>
      <c r="E30" s="160"/>
      <c r="F30" s="111" t="s">
        <v>113</v>
      </c>
      <c r="G30" s="200">
        <v>13367013.870000001</v>
      </c>
      <c r="H30" s="201">
        <v>1485223.7633333334</v>
      </c>
      <c r="I30" s="202">
        <v>7630.3188667387067</v>
      </c>
      <c r="J30" s="202">
        <v>6783.1314651416824</v>
      </c>
      <c r="K30" s="203">
        <v>0.82633447980864294</v>
      </c>
      <c r="L30" s="203">
        <v>0.1124966147754866</v>
      </c>
      <c r="M30" s="123" t="s">
        <v>124</v>
      </c>
      <c r="N30" s="124" t="s">
        <v>125</v>
      </c>
      <c r="O30" s="124"/>
    </row>
    <row r="31" spans="1:15" ht="135">
      <c r="A31" s="72" t="s">
        <v>47</v>
      </c>
      <c r="B31" s="57">
        <v>363863.08</v>
      </c>
      <c r="C31" s="46">
        <v>3.6338596708907532E-3</v>
      </c>
      <c r="D31" s="160">
        <v>6.0754017901472487E-2</v>
      </c>
      <c r="E31" s="160"/>
      <c r="F31" s="111" t="s">
        <v>126</v>
      </c>
      <c r="G31" s="119">
        <v>7414768.9500000002</v>
      </c>
      <c r="H31" s="120">
        <v>823863.21666666667</v>
      </c>
      <c r="I31" s="121">
        <v>4232.5871703231314</v>
      </c>
      <c r="J31" s="121">
        <v>3762.6468454843125</v>
      </c>
      <c r="K31" s="122">
        <v>0.45837307440450253</v>
      </c>
      <c r="L31" s="122">
        <v>6.2402598989551986E-2</v>
      </c>
      <c r="M31" s="204" t="s">
        <v>35</v>
      </c>
      <c r="N31" s="205" t="s">
        <v>127</v>
      </c>
      <c r="O31" s="205" t="s">
        <v>128</v>
      </c>
    </row>
    <row r="32" spans="1:15" ht="101.25">
      <c r="A32" s="72" t="s">
        <v>48</v>
      </c>
      <c r="B32" s="57">
        <v>17759.7</v>
      </c>
      <c r="C32" s="46">
        <v>1.7736412717970316E-4</v>
      </c>
      <c r="D32" s="160">
        <v>2.9653273196191847E-3</v>
      </c>
      <c r="E32" s="160"/>
      <c r="F32" s="111" t="s">
        <v>113</v>
      </c>
      <c r="G32" s="184">
        <v>3886780.45</v>
      </c>
      <c r="H32" s="185">
        <v>431864.49444444448</v>
      </c>
      <c r="I32" s="186">
        <v>2218.6985430655618</v>
      </c>
      <c r="J32" s="186">
        <v>1972.3584508027857</v>
      </c>
      <c r="K32" s="187">
        <v>0.24027660422268665</v>
      </c>
      <c r="L32" s="187">
        <v>3.2711093685768911E-2</v>
      </c>
      <c r="M32" s="65" t="s">
        <v>36</v>
      </c>
      <c r="N32" s="206" t="s">
        <v>129</v>
      </c>
      <c r="O32" s="206"/>
    </row>
    <row r="33" spans="1:15" ht="56.25">
      <c r="A33" s="60" t="s">
        <v>49</v>
      </c>
      <c r="B33" s="51">
        <v>5485331.379999999</v>
      </c>
      <c r="C33" s="52">
        <v>5.4781387777109773E-2</v>
      </c>
      <c r="D33" s="158">
        <v>0.91588275693161481</v>
      </c>
      <c r="E33" s="158"/>
      <c r="F33" s="134"/>
      <c r="G33" s="184">
        <v>1620000</v>
      </c>
      <c r="H33" s="185">
        <v>180000</v>
      </c>
      <c r="I33" s="186">
        <v>924.74779216464617</v>
      </c>
      <c r="J33" s="186">
        <v>822.07388130207164</v>
      </c>
      <c r="K33" s="187">
        <v>0.10014666479058584</v>
      </c>
      <c r="L33" s="187">
        <v>1.363389891779085E-2</v>
      </c>
      <c r="M33" s="72" t="s">
        <v>130</v>
      </c>
      <c r="N33" s="151" t="s">
        <v>131</v>
      </c>
      <c r="O33" s="151" t="s">
        <v>132</v>
      </c>
    </row>
    <row r="34" spans="1:15" ht="101.25">
      <c r="A34" s="65" t="s">
        <v>50</v>
      </c>
      <c r="B34" s="66">
        <v>2012968.4700000002</v>
      </c>
      <c r="C34" s="67">
        <v>2.0103289792159355E-2</v>
      </c>
      <c r="D34" s="174">
        <v>0.3361042358611368</v>
      </c>
      <c r="E34" s="174"/>
      <c r="F34" s="175"/>
      <c r="M34" s="72" t="s">
        <v>47</v>
      </c>
      <c r="N34" s="151" t="s">
        <v>133</v>
      </c>
      <c r="O34" s="207" t="s">
        <v>134</v>
      </c>
    </row>
    <row r="35" spans="1:15" ht="56.25">
      <c r="A35" s="72" t="s">
        <v>51</v>
      </c>
      <c r="B35" s="57">
        <v>54940.570000000007</v>
      </c>
      <c r="C35" s="46">
        <v>5.4868529563029697E-4</v>
      </c>
      <c r="D35" s="160">
        <v>9.1733966889333829E-3</v>
      </c>
      <c r="E35" s="160"/>
      <c r="F35" s="111" t="s">
        <v>113</v>
      </c>
      <c r="G35" s="162">
        <v>412206.12</v>
      </c>
      <c r="H35" s="163">
        <v>45800.68</v>
      </c>
      <c r="I35" s="164">
        <v>235.30043172021928</v>
      </c>
      <c r="J35" s="164">
        <v>209.17523763263426</v>
      </c>
      <c r="K35" s="165">
        <v>2.5482140817449376E-2</v>
      </c>
      <c r="L35" s="165">
        <v>3.4691213415893613E-3</v>
      </c>
      <c r="M35" s="204" t="s">
        <v>37</v>
      </c>
      <c r="N35" s="152" t="s">
        <v>135</v>
      </c>
      <c r="O35" s="208" t="s">
        <v>136</v>
      </c>
    </row>
    <row r="36" spans="1:15" ht="101.25">
      <c r="A36" s="72" t="s">
        <v>52</v>
      </c>
      <c r="B36" s="57">
        <v>217866.7</v>
      </c>
      <c r="C36" s="46">
        <v>2.1758102381809509E-3</v>
      </c>
      <c r="D36" s="160">
        <v>3.6377082808002219E-2</v>
      </c>
      <c r="E36" s="160"/>
      <c r="F36" s="111" t="s">
        <v>113</v>
      </c>
      <c r="G36" s="209">
        <v>527663.16999999993</v>
      </c>
      <c r="H36" s="210">
        <v>58629.2411111111</v>
      </c>
      <c r="I36" s="211">
        <v>301.20700707660393</v>
      </c>
      <c r="J36" s="211">
        <v>267.76426554447823</v>
      </c>
      <c r="K36" s="212">
        <v>3.2619571980449319E-2</v>
      </c>
      <c r="L36" s="212">
        <v>4.440806371864869E-3</v>
      </c>
      <c r="M36" s="204" t="s">
        <v>54</v>
      </c>
      <c r="N36" s="151" t="s">
        <v>137</v>
      </c>
      <c r="O36" s="213" t="s">
        <v>138</v>
      </c>
    </row>
    <row r="37" spans="1:15" ht="56.25">
      <c r="A37" s="72" t="s">
        <v>53</v>
      </c>
      <c r="B37" s="57">
        <v>0</v>
      </c>
      <c r="C37" s="46">
        <v>0</v>
      </c>
      <c r="D37" s="160">
        <v>0</v>
      </c>
      <c r="E37" s="160"/>
      <c r="F37" s="111" t="s">
        <v>113</v>
      </c>
      <c r="G37" s="162">
        <v>1828078.19</v>
      </c>
      <c r="H37" s="163">
        <v>203119.79888888888</v>
      </c>
      <c r="I37" s="164">
        <v>1043.5254753745942</v>
      </c>
      <c r="J37" s="164">
        <v>927.66378578825061</v>
      </c>
      <c r="K37" s="165">
        <v>0.11300983562031534</v>
      </c>
      <c r="L37" s="165">
        <v>1.5385082256961762E-2</v>
      </c>
      <c r="M37" s="65" t="s">
        <v>56</v>
      </c>
      <c r="N37" s="145" t="s">
        <v>139</v>
      </c>
      <c r="O37" s="214"/>
    </row>
    <row r="38" spans="1:15" ht="146.25">
      <c r="A38" s="72" t="s">
        <v>54</v>
      </c>
      <c r="B38" s="57">
        <v>1740161.2</v>
      </c>
      <c r="C38" s="46">
        <v>1.7378794258348106E-2</v>
      </c>
      <c r="D38" s="160">
        <v>0.29055375636420122</v>
      </c>
      <c r="E38" s="160"/>
      <c r="F38" s="111" t="s">
        <v>113</v>
      </c>
      <c r="G38" s="215">
        <v>3708357.56</v>
      </c>
      <c r="H38" s="216">
        <v>412039.7288888889</v>
      </c>
      <c r="I38" s="217">
        <v>2116.8490531895523</v>
      </c>
      <c r="J38" s="217">
        <v>1881.8172176574567</v>
      </c>
      <c r="K38" s="218">
        <v>0.22924669227466346</v>
      </c>
      <c r="L38" s="218">
        <v>3.1209488965472546E-2</v>
      </c>
      <c r="M38" s="72" t="s">
        <v>140</v>
      </c>
      <c r="N38" s="151" t="s">
        <v>141</v>
      </c>
      <c r="O38" s="219" t="s">
        <v>142</v>
      </c>
    </row>
    <row r="39" spans="1:15" ht="101.25">
      <c r="A39" s="65" t="s">
        <v>55</v>
      </c>
      <c r="B39" s="66">
        <v>3472362.91</v>
      </c>
      <c r="C39" s="67">
        <v>3.4678097984950432E-2</v>
      </c>
      <c r="D39" s="174">
        <v>0.57977852107047834</v>
      </c>
      <c r="E39" s="174"/>
      <c r="F39" s="175"/>
      <c r="G39" s="220">
        <v>4026296.56</v>
      </c>
      <c r="H39" s="221">
        <v>447366.28444444446</v>
      </c>
      <c r="I39" s="222">
        <v>2298.3387990494507</v>
      </c>
      <c r="J39" s="222">
        <v>2043.1563212051724</v>
      </c>
      <c r="K39" s="223">
        <v>0.24890134070482028</v>
      </c>
      <c r="L39" s="223">
        <v>3.3885259451906805E-2</v>
      </c>
      <c r="M39" s="72" t="s">
        <v>143</v>
      </c>
      <c r="N39" s="189" t="s">
        <v>144</v>
      </c>
      <c r="O39" s="224" t="s">
        <v>145</v>
      </c>
    </row>
    <row r="40" spans="1:15" ht="33.75">
      <c r="A40" s="56"/>
      <c r="B40" s="57">
        <v>0</v>
      </c>
      <c r="C40" s="46">
        <v>0</v>
      </c>
      <c r="D40" s="160">
        <v>0</v>
      </c>
      <c r="E40" s="160"/>
      <c r="F40" s="111"/>
      <c r="G40" s="220">
        <v>317939</v>
      </c>
      <c r="H40" s="221">
        <v>35326.555555555555</v>
      </c>
      <c r="I40" s="222">
        <v>181.48974585989845</v>
      </c>
      <c r="J40" s="222">
        <v>161.33910354771567</v>
      </c>
      <c r="K40" s="223">
        <v>1.9654648430156831E-2</v>
      </c>
      <c r="L40" s="223">
        <v>2.6757704864342623E-3</v>
      </c>
      <c r="M40" s="204" t="s">
        <v>45</v>
      </c>
      <c r="N40" s="151" t="s">
        <v>146</v>
      </c>
      <c r="O40" s="213" t="s">
        <v>147</v>
      </c>
    </row>
    <row r="41" spans="1:15" ht="146.25">
      <c r="A41" s="73" t="s">
        <v>56</v>
      </c>
      <c r="B41" s="57">
        <v>3472362.91</v>
      </c>
      <c r="C41" s="46">
        <v>3.4678097984950432E-2</v>
      </c>
      <c r="D41" s="160">
        <v>0.57977852107047834</v>
      </c>
      <c r="E41" s="160"/>
      <c r="F41" s="111" t="s">
        <v>148</v>
      </c>
      <c r="G41" s="162">
        <v>74495</v>
      </c>
      <c r="H41" s="163">
        <v>8277.2222222222226</v>
      </c>
      <c r="I41" s="164">
        <v>42.524127640311924</v>
      </c>
      <c r="J41" s="164">
        <v>37.802712214566561</v>
      </c>
      <c r="K41" s="165">
        <v>4.6052011071448708E-3</v>
      </c>
      <c r="L41" s="165">
        <v>6.2694895054372186E-4</v>
      </c>
      <c r="M41" s="204" t="s">
        <v>39</v>
      </c>
      <c r="N41" s="151" t="s">
        <v>149</v>
      </c>
      <c r="O41" s="213" t="s">
        <v>150</v>
      </c>
    </row>
    <row r="42" spans="1:15" ht="22.5">
      <c r="A42" s="74" t="s">
        <v>57</v>
      </c>
      <c r="B42" s="75">
        <v>122370.9</v>
      </c>
      <c r="C42" s="76">
        <v>1.222104420158828E-3</v>
      </c>
      <c r="D42" s="225">
        <v>2.0432201720546363E-2</v>
      </c>
      <c r="E42" s="225"/>
      <c r="F42" s="226"/>
      <c r="G42" s="162">
        <v>134608.48000000001</v>
      </c>
      <c r="H42" s="163">
        <v>14956.497777777779</v>
      </c>
      <c r="I42" s="164">
        <v>76.838823880641328</v>
      </c>
      <c r="J42" s="164">
        <v>68.307478771464389</v>
      </c>
      <c r="K42" s="165">
        <v>8.3213520521791835E-3</v>
      </c>
      <c r="L42" s="165">
        <v>1.132863215924365E-3</v>
      </c>
      <c r="M42" s="227" t="s">
        <v>151</v>
      </c>
      <c r="N42" s="151" t="s">
        <v>152</v>
      </c>
      <c r="O42" s="166"/>
    </row>
    <row r="43" spans="1:15" ht="78.75">
      <c r="A43" s="56" t="s">
        <v>58</v>
      </c>
      <c r="B43" s="57">
        <v>4000</v>
      </c>
      <c r="C43" s="46">
        <v>3.9947550280624821E-5</v>
      </c>
      <c r="D43" s="160">
        <v>6.6787779514725695E-4</v>
      </c>
      <c r="E43" s="160"/>
      <c r="F43" s="111"/>
      <c r="G43" s="162">
        <v>0</v>
      </c>
      <c r="H43" s="163">
        <v>0</v>
      </c>
      <c r="I43" s="164">
        <v>0</v>
      </c>
      <c r="J43" s="164">
        <v>0</v>
      </c>
      <c r="K43" s="165">
        <v>0</v>
      </c>
      <c r="L43" s="165">
        <v>0</v>
      </c>
      <c r="M43" s="65" t="s">
        <v>43</v>
      </c>
      <c r="N43" s="145" t="s">
        <v>153</v>
      </c>
      <c r="O43" s="145"/>
    </row>
    <row r="44" spans="1:15" ht="90">
      <c r="A44" s="56" t="s">
        <v>59</v>
      </c>
      <c r="B44" s="57">
        <v>2117.5</v>
      </c>
      <c r="C44" s="46">
        <v>2.1147234429805764E-5</v>
      </c>
      <c r="D44" s="160">
        <v>3.5355780780607914E-4</v>
      </c>
      <c r="E44" s="160"/>
      <c r="F44" s="111"/>
      <c r="G44" s="228">
        <v>1380325.33</v>
      </c>
      <c r="H44" s="229">
        <v>153369.48111111112</v>
      </c>
      <c r="I44" s="230">
        <v>787.9338280163189</v>
      </c>
      <c r="J44" s="230">
        <v>700.45024783497706</v>
      </c>
      <c r="K44" s="231">
        <v>8.533023341078072E-2</v>
      </c>
      <c r="L44" s="231">
        <v>1.1616800014127345E-2</v>
      </c>
      <c r="M44" s="72" t="s">
        <v>154</v>
      </c>
      <c r="N44" s="132" t="s">
        <v>155</v>
      </c>
      <c r="O44" s="159"/>
    </row>
    <row r="45" spans="1:15" ht="67.5">
      <c r="A45" s="56" t="s">
        <v>60</v>
      </c>
      <c r="B45" s="57">
        <v>110970</v>
      </c>
      <c r="C45" s="46">
        <v>1.108244913660234E-3</v>
      </c>
      <c r="D45" s="160">
        <v>1.8528599731872774E-2</v>
      </c>
      <c r="E45" s="160"/>
      <c r="F45" s="111" t="s">
        <v>156</v>
      </c>
      <c r="M45" s="72" t="s">
        <v>157</v>
      </c>
      <c r="N45" s="232" t="s">
        <v>158</v>
      </c>
      <c r="O45" s="159"/>
    </row>
    <row r="46" spans="1:15" ht="45">
      <c r="A46" s="233" t="s">
        <v>61</v>
      </c>
      <c r="B46" s="234">
        <v>5283.4</v>
      </c>
      <c r="C46" s="235">
        <v>5.2764721788163301E-5</v>
      </c>
      <c r="D46" s="236">
        <v>8.8216638572025433E-4</v>
      </c>
      <c r="E46" s="236"/>
      <c r="F46" s="237" t="s">
        <v>159</v>
      </c>
      <c r="M46" s="204" t="s">
        <v>48</v>
      </c>
      <c r="N46" s="151" t="s">
        <v>160</v>
      </c>
      <c r="O46" s="213" t="s">
        <v>161</v>
      </c>
    </row>
    <row r="47" spans="1:15" ht="33.75">
      <c r="A47" s="238" t="s">
        <v>62</v>
      </c>
      <c r="B47" s="239">
        <v>14521406.98</v>
      </c>
      <c r="C47" s="240"/>
      <c r="D47" s="241"/>
      <c r="E47" s="241"/>
      <c r="F47" s="242"/>
      <c r="G47" s="162">
        <v>20006.510000000002</v>
      </c>
      <c r="H47" s="163">
        <v>2222.945555555556</v>
      </c>
      <c r="I47" s="164">
        <v>11.420355525567849</v>
      </c>
      <c r="J47" s="164">
        <v>10.152363782104143</v>
      </c>
      <c r="K47" s="165">
        <v>1.2367810188885825E-3</v>
      </c>
      <c r="L47" s="165">
        <v>1.6837452780109376E-4</v>
      </c>
      <c r="M47" s="204" t="s">
        <v>60</v>
      </c>
      <c r="N47" s="151" t="s">
        <v>162</v>
      </c>
      <c r="O47" s="213" t="s">
        <v>163</v>
      </c>
    </row>
    <row r="48" spans="1:15" ht="45">
      <c r="B48" s="243"/>
      <c r="G48" s="162">
        <v>130420</v>
      </c>
      <c r="H48" s="163">
        <v>14491.111111111111</v>
      </c>
      <c r="I48" s="164">
        <v>74.447905588958733</v>
      </c>
      <c r="J48" s="164">
        <v>66.182021974948256</v>
      </c>
      <c r="K48" s="165">
        <v>8.0624247049309906E-3</v>
      </c>
      <c r="L48" s="165">
        <v>1.0976130227520263E-3</v>
      </c>
      <c r="M48" s="204" t="s">
        <v>42</v>
      </c>
      <c r="N48" s="151" t="s">
        <v>164</v>
      </c>
      <c r="O48" s="213" t="s">
        <v>165</v>
      </c>
    </row>
    <row r="49" spans="1:15" ht="25.5">
      <c r="A49" s="28" t="s">
        <v>63</v>
      </c>
      <c r="B49" s="243"/>
      <c r="G49" s="162">
        <v>70535.350000000006</v>
      </c>
      <c r="H49" s="163">
        <v>7837.2611111111119</v>
      </c>
      <c r="I49" s="164">
        <v>40.263832828432463</v>
      </c>
      <c r="J49" s="164">
        <v>35.793375891049429</v>
      </c>
      <c r="K49" s="165">
        <v>4.3604197853929928E-3</v>
      </c>
      <c r="L49" s="165">
        <v>5.9362458767345608E-4</v>
      </c>
      <c r="M49" s="244" t="s">
        <v>166</v>
      </c>
      <c r="N49" s="132" t="s">
        <v>167</v>
      </c>
      <c r="O49" s="159"/>
    </row>
    <row r="50" spans="1:15">
      <c r="B50" s="245"/>
      <c r="M50" s="244" t="s">
        <v>168</v>
      </c>
      <c r="N50" s="132" t="s">
        <v>169</v>
      </c>
      <c r="O50" s="159"/>
    </row>
    <row r="51" spans="1:15" ht="22.5">
      <c r="M51" s="123" t="s">
        <v>170</v>
      </c>
      <c r="N51" s="191" t="s">
        <v>171</v>
      </c>
      <c r="O51" s="191"/>
    </row>
    <row r="52" spans="1:15" ht="45">
      <c r="G52" s="119">
        <v>5814424.0199999986</v>
      </c>
      <c r="H52" s="120">
        <v>646047.11333333317</v>
      </c>
      <c r="I52" s="121">
        <v>3319.0591204963489</v>
      </c>
      <c r="J52" s="121">
        <v>2950.5469886774031</v>
      </c>
      <c r="K52" s="122">
        <v>0.35944146498843849</v>
      </c>
      <c r="L52" s="122">
        <v>4.8934116885095746E-2</v>
      </c>
      <c r="M52" s="227" t="s">
        <v>40</v>
      </c>
      <c r="N52" s="151" t="s">
        <v>172</v>
      </c>
      <c r="O52" s="213" t="s">
        <v>173</v>
      </c>
    </row>
    <row r="53" spans="1:15" ht="22.5">
      <c r="G53" s="246">
        <v>266503.52</v>
      </c>
      <c r="H53" s="247">
        <v>29611.502222222225</v>
      </c>
      <c r="I53" s="248">
        <v>152.12872945932509</v>
      </c>
      <c r="J53" s="248">
        <v>135.23801423892857</v>
      </c>
      <c r="K53" s="249">
        <v>1.6474962149969869E-2</v>
      </c>
      <c r="L53" s="249">
        <v>2.2428901561206498E-3</v>
      </c>
      <c r="M53" s="204" t="s">
        <v>41</v>
      </c>
      <c r="N53" s="151" t="s">
        <v>174</v>
      </c>
      <c r="O53" s="213" t="s">
        <v>175</v>
      </c>
    </row>
    <row r="54" spans="1:15" ht="45">
      <c r="G54" s="162">
        <v>281670.17</v>
      </c>
      <c r="H54" s="163">
        <v>31296.685555555552</v>
      </c>
      <c r="I54" s="164">
        <v>160.78633816428427</v>
      </c>
      <c r="J54" s="164">
        <v>142.9343764808113</v>
      </c>
      <c r="K54" s="165">
        <v>1.7412548207714398E-2</v>
      </c>
      <c r="L54" s="165">
        <v>2.3705324851462746E-3</v>
      </c>
      <c r="M54" s="204" t="s">
        <v>176</v>
      </c>
      <c r="N54" s="151" t="s">
        <v>177</v>
      </c>
      <c r="O54" s="250" t="s">
        <v>178</v>
      </c>
    </row>
    <row r="55" spans="1:15" ht="22.5">
      <c r="G55" s="162">
        <v>101627</v>
      </c>
      <c r="H55" s="163">
        <v>11291.888888888889</v>
      </c>
      <c r="I55" s="164">
        <v>58.011940663158335</v>
      </c>
      <c r="J55" s="164">
        <v>51.570927367336807</v>
      </c>
      <c r="K55" s="165">
        <v>6.2824722856005344E-3</v>
      </c>
      <c r="L55" s="165">
        <v>8.552915094557598E-4</v>
      </c>
      <c r="M55" s="204" t="s">
        <v>51</v>
      </c>
      <c r="N55" s="151" t="s">
        <v>179</v>
      </c>
      <c r="O55" s="213" t="s">
        <v>180</v>
      </c>
    </row>
    <row r="56" spans="1:15" ht="22.5">
      <c r="G56" s="162">
        <v>54940.570000000007</v>
      </c>
      <c r="H56" s="163">
        <v>6104.5077777777788</v>
      </c>
      <c r="I56" s="164">
        <v>31.361833831955067</v>
      </c>
      <c r="J56" s="164">
        <v>27.879757790647016</v>
      </c>
      <c r="K56" s="165">
        <v>3.3963671896257508E-3</v>
      </c>
      <c r="L56" s="165">
        <v>4.6237912213939052E-4</v>
      </c>
      <c r="M56" s="204" t="s">
        <v>44</v>
      </c>
      <c r="N56" s="151" t="s">
        <v>181</v>
      </c>
      <c r="O56" s="213" t="s">
        <v>182</v>
      </c>
    </row>
    <row r="57" spans="1:15" ht="22.5">
      <c r="G57" s="162">
        <v>18673.18</v>
      </c>
      <c r="H57" s="163">
        <v>2074.7977777777778</v>
      </c>
      <c r="I57" s="164">
        <v>10.659248134378412</v>
      </c>
      <c r="J57" s="164">
        <v>9.4757614560816155</v>
      </c>
      <c r="K57" s="165">
        <v>1.1543559864409083E-3</v>
      </c>
      <c r="L57" s="165">
        <v>1.5715323987266282E-4</v>
      </c>
      <c r="M57" s="227" t="s">
        <v>52</v>
      </c>
      <c r="N57" s="151" t="s">
        <v>183</v>
      </c>
      <c r="O57" s="213" t="s">
        <v>184</v>
      </c>
    </row>
    <row r="58" spans="1:15" ht="22.5">
      <c r="G58" s="162">
        <v>220247.7</v>
      </c>
      <c r="H58" s="163">
        <v>24471.966666666667</v>
      </c>
      <c r="I58" s="164">
        <v>125.72442858292676</v>
      </c>
      <c r="J58" s="164">
        <v>111.76535900423104</v>
      </c>
      <c r="K58" s="165">
        <v>1.3615476902961427E-2</v>
      </c>
      <c r="L58" s="165">
        <v>1.853601776960447E-3</v>
      </c>
      <c r="M58" s="204" t="s">
        <v>53</v>
      </c>
      <c r="N58" s="251" t="s">
        <v>185</v>
      </c>
      <c r="O58" s="252" t="s">
        <v>186</v>
      </c>
    </row>
    <row r="59" spans="1:15" ht="22.5">
      <c r="G59" s="162">
        <v>2800</v>
      </c>
      <c r="H59" s="163">
        <v>311.11111111111109</v>
      </c>
      <c r="I59" s="164">
        <v>1.5983295173216108</v>
      </c>
      <c r="J59" s="164">
        <v>1.4208684368183955</v>
      </c>
      <c r="K59" s="165">
        <v>1.7309300087261749E-4</v>
      </c>
      <c r="L59" s="165">
        <v>2.3564763561613816E-5</v>
      </c>
      <c r="M59" s="204" t="s">
        <v>59</v>
      </c>
      <c r="N59" s="151" t="s">
        <v>187</v>
      </c>
      <c r="O59" s="213" t="s">
        <v>188</v>
      </c>
    </row>
    <row r="60" spans="1:15" ht="22.5">
      <c r="G60" s="162">
        <v>2117.5</v>
      </c>
      <c r="H60" s="163">
        <v>235.27777777777777</v>
      </c>
      <c r="I60" s="164">
        <v>1.2087366974744682</v>
      </c>
      <c r="J60" s="164">
        <v>1.0745317553439113</v>
      </c>
      <c r="K60" s="165">
        <v>1.3090158190991698E-4</v>
      </c>
      <c r="L60" s="165">
        <v>1.7820852443470448E-5</v>
      </c>
      <c r="M60" s="204" t="s">
        <v>61</v>
      </c>
      <c r="N60" s="189" t="s">
        <v>189</v>
      </c>
      <c r="O60" s="253" t="s">
        <v>190</v>
      </c>
    </row>
    <row r="61" spans="1:15">
      <c r="G61" s="254">
        <v>5283.4</v>
      </c>
      <c r="H61" s="255">
        <v>587.04444444444437</v>
      </c>
      <c r="I61" s="256">
        <v>3.0159336327917847</v>
      </c>
      <c r="J61" s="256">
        <v>2.6810772496736819</v>
      </c>
      <c r="K61" s="257">
        <v>3.2661412886085252E-4</v>
      </c>
      <c r="L61" s="257">
        <v>4.4465025643368006E-5</v>
      </c>
      <c r="M61" s="198" t="s">
        <v>62</v>
      </c>
      <c r="N61" s="199"/>
      <c r="O61" s="199"/>
    </row>
    <row r="62" spans="1:15">
      <c r="G62" s="162">
        <v>0</v>
      </c>
      <c r="H62" s="163">
        <v>0</v>
      </c>
      <c r="I62" s="164">
        <v>0</v>
      </c>
      <c r="J62" s="164">
        <v>0</v>
      </c>
      <c r="K62" s="165">
        <v>0</v>
      </c>
      <c r="L62" s="165">
        <v>0</v>
      </c>
      <c r="M62" s="258"/>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dimension ref="A1:Q217"/>
  <sheetViews>
    <sheetView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outlineLevelRow="3" outlineLevelCol="1"/>
  <cols>
    <col min="1" max="1" width="34.85546875" style="258" customWidth="1"/>
    <col min="2" max="2" width="9.140625" style="259" outlineLevel="1"/>
    <col min="3" max="3" width="3.42578125" style="259" customWidth="1"/>
    <col min="4" max="8" width="13.5703125" style="258" customWidth="1" outlineLevel="1"/>
    <col min="9" max="12" width="13.5703125" style="260" customWidth="1" outlineLevel="1"/>
    <col min="13" max="13" width="10.85546875" style="260" customWidth="1" outlineLevel="1"/>
    <col min="14" max="14" width="6.7109375" style="260" customWidth="1" outlineLevel="1"/>
    <col min="15" max="15" width="7.7109375" style="260" customWidth="1" outlineLevel="1"/>
    <col min="16" max="17" width="14.5703125" style="261" customWidth="1"/>
    <col min="18" max="16384" width="9.140625" style="258"/>
  </cols>
  <sheetData>
    <row r="1" spans="1:17">
      <c r="A1" s="262"/>
      <c r="B1" s="263"/>
      <c r="C1" s="263"/>
      <c r="D1" s="264"/>
      <c r="E1" s="264"/>
      <c r="F1" s="264"/>
      <c r="G1" s="264"/>
      <c r="H1" s="264"/>
      <c r="I1" s="264"/>
      <c r="J1" s="264"/>
      <c r="K1" s="264"/>
      <c r="L1" s="264"/>
      <c r="M1" s="264"/>
      <c r="N1" s="264"/>
      <c r="O1" s="264"/>
      <c r="P1" s="265"/>
      <c r="Q1" s="266">
        <v>9</v>
      </c>
    </row>
    <row r="2" spans="1:17" s="275" customFormat="1" ht="15.75">
      <c r="A2" s="109" t="s">
        <v>27</v>
      </c>
      <c r="B2" s="267"/>
      <c r="C2" s="268"/>
      <c r="D2" s="269" t="s">
        <v>0</v>
      </c>
      <c r="E2" s="270" t="s">
        <v>1</v>
      </c>
      <c r="F2" s="271" t="s">
        <v>2</v>
      </c>
      <c r="G2" s="272" t="s">
        <v>3</v>
      </c>
      <c r="H2" s="271" t="s">
        <v>4</v>
      </c>
      <c r="I2" s="272" t="s">
        <v>5</v>
      </c>
      <c r="J2" s="271" t="s">
        <v>6</v>
      </c>
      <c r="K2" s="272" t="s">
        <v>7</v>
      </c>
      <c r="L2" s="271" t="s">
        <v>8</v>
      </c>
      <c r="M2" s="272" t="s">
        <v>9</v>
      </c>
      <c r="N2" s="271" t="s">
        <v>10</v>
      </c>
      <c r="O2" s="272" t="s">
        <v>11</v>
      </c>
      <c r="P2" s="273" t="s">
        <v>191</v>
      </c>
      <c r="Q2" s="274" t="s">
        <v>192</v>
      </c>
    </row>
    <row r="3" spans="1:17" s="282" customFormat="1" ht="99">
      <c r="A3" s="199" t="s">
        <v>75</v>
      </c>
      <c r="B3" s="276" t="s">
        <v>193</v>
      </c>
      <c r="C3" s="277"/>
      <c r="D3" s="278">
        <f t="shared" ref="D3:O3" si="0">SUM(D4,D17,D25)</f>
        <v>279525.19000000006</v>
      </c>
      <c r="E3" s="279">
        <f t="shared" si="0"/>
        <v>199753.65</v>
      </c>
      <c r="F3" s="279">
        <f t="shared" si="0"/>
        <v>413480.23</v>
      </c>
      <c r="G3" s="279">
        <f t="shared" si="0"/>
        <v>362475.14</v>
      </c>
      <c r="H3" s="279">
        <f t="shared" si="0"/>
        <v>212216.81</v>
      </c>
      <c r="I3" s="279">
        <f t="shared" si="0"/>
        <v>228927.80000000002</v>
      </c>
      <c r="J3" s="279">
        <f t="shared" si="0"/>
        <v>308017.38</v>
      </c>
      <c r="K3" s="279">
        <f t="shared" si="0"/>
        <v>330047.73</v>
      </c>
      <c r="L3" s="279">
        <f t="shared" si="0"/>
        <v>473317.3</v>
      </c>
      <c r="M3" s="279">
        <f t="shared" si="0"/>
        <v>0</v>
      </c>
      <c r="N3" s="279">
        <f t="shared" si="0"/>
        <v>0</v>
      </c>
      <c r="O3" s="280">
        <f t="shared" si="0"/>
        <v>0</v>
      </c>
      <c r="P3" s="113">
        <f t="shared" ref="P3:P34" si="1">SUM(D3:O3)</f>
        <v>2807761.23</v>
      </c>
      <c r="Q3" s="281">
        <f>P3/$Q$1</f>
        <v>311973.46999999997</v>
      </c>
    </row>
    <row r="4" spans="1:17" ht="191.25" outlineLevel="1">
      <c r="A4" s="283" t="s">
        <v>194</v>
      </c>
      <c r="B4" s="284" t="s">
        <v>195</v>
      </c>
      <c r="C4" s="285"/>
      <c r="D4" s="286">
        <f t="shared" ref="D4:O4" si="2">SUM(D5,D9,D12,D14)</f>
        <v>45397.84</v>
      </c>
      <c r="E4" s="287">
        <f t="shared" si="2"/>
        <v>0</v>
      </c>
      <c r="F4" s="287">
        <f t="shared" si="2"/>
        <v>104070.1</v>
      </c>
      <c r="G4" s="287">
        <f t="shared" si="2"/>
        <v>104070.1</v>
      </c>
      <c r="H4" s="287">
        <f t="shared" si="2"/>
        <v>0</v>
      </c>
      <c r="I4" s="287">
        <f t="shared" si="2"/>
        <v>0</v>
      </c>
      <c r="J4" s="287">
        <f t="shared" si="2"/>
        <v>4000</v>
      </c>
      <c r="K4" s="287">
        <f t="shared" si="2"/>
        <v>0</v>
      </c>
      <c r="L4" s="287">
        <f t="shared" si="2"/>
        <v>123048.19</v>
      </c>
      <c r="M4" s="287">
        <f t="shared" si="2"/>
        <v>0</v>
      </c>
      <c r="N4" s="287">
        <f t="shared" si="2"/>
        <v>0</v>
      </c>
      <c r="O4" s="288">
        <f t="shared" si="2"/>
        <v>0</v>
      </c>
      <c r="P4" s="120">
        <f t="shared" si="1"/>
        <v>380586.23</v>
      </c>
      <c r="Q4" s="289"/>
    </row>
    <row r="5" spans="1:17" s="297" customFormat="1" ht="126" outlineLevel="2">
      <c r="A5" s="290" t="s">
        <v>29</v>
      </c>
      <c r="B5" s="291" t="s">
        <v>196</v>
      </c>
      <c r="C5" s="292"/>
      <c r="D5" s="293">
        <f t="shared" ref="D5:O5" si="3">SUM(D6:D8)</f>
        <v>0</v>
      </c>
      <c r="E5" s="294">
        <f t="shared" si="3"/>
        <v>0</v>
      </c>
      <c r="F5" s="294">
        <f t="shared" si="3"/>
        <v>0</v>
      </c>
      <c r="G5" s="294">
        <f t="shared" si="3"/>
        <v>0</v>
      </c>
      <c r="H5" s="294">
        <f t="shared" si="3"/>
        <v>0</v>
      </c>
      <c r="I5" s="294">
        <f t="shared" si="3"/>
        <v>0</v>
      </c>
      <c r="J5" s="294">
        <f t="shared" si="3"/>
        <v>0</v>
      </c>
      <c r="K5" s="294">
        <f t="shared" si="3"/>
        <v>0</v>
      </c>
      <c r="L5" s="294">
        <f t="shared" si="3"/>
        <v>0</v>
      </c>
      <c r="M5" s="294">
        <f t="shared" si="3"/>
        <v>0</v>
      </c>
      <c r="N5" s="294">
        <f t="shared" si="3"/>
        <v>0</v>
      </c>
      <c r="O5" s="295">
        <f t="shared" si="3"/>
        <v>0</v>
      </c>
      <c r="P5" s="181">
        <f t="shared" si="1"/>
        <v>0</v>
      </c>
      <c r="Q5" s="296"/>
    </row>
    <row r="6" spans="1:17" ht="11.25" outlineLevel="3">
      <c r="A6" s="298" t="s">
        <v>197</v>
      </c>
      <c r="B6" s="299"/>
      <c r="C6" s="300"/>
      <c r="D6" s="301"/>
      <c r="E6" s="302"/>
      <c r="F6" s="302"/>
      <c r="G6" s="302"/>
      <c r="H6" s="302"/>
      <c r="I6" s="302"/>
      <c r="J6" s="302"/>
      <c r="K6" s="302"/>
      <c r="L6" s="302"/>
      <c r="M6" s="302"/>
      <c r="N6" s="302"/>
      <c r="O6" s="303"/>
      <c r="P6" s="304">
        <f t="shared" si="1"/>
        <v>0</v>
      </c>
      <c r="Q6" s="305"/>
    </row>
    <row r="7" spans="1:17" ht="11.25" outlineLevel="3">
      <c r="A7" s="298" t="s">
        <v>84</v>
      </c>
      <c r="B7" s="299"/>
      <c r="C7" s="300"/>
      <c r="D7" s="301"/>
      <c r="E7" s="302"/>
      <c r="F7" s="302"/>
      <c r="G7" s="302"/>
      <c r="H7" s="302"/>
      <c r="I7" s="302"/>
      <c r="J7" s="302"/>
      <c r="K7" s="302"/>
      <c r="L7" s="302"/>
      <c r="M7" s="302"/>
      <c r="N7" s="302"/>
      <c r="O7" s="303"/>
      <c r="P7" s="304">
        <f t="shared" si="1"/>
        <v>0</v>
      </c>
      <c r="Q7" s="305"/>
    </row>
    <row r="8" spans="1:17" ht="11.25" outlineLevel="3">
      <c r="A8" s="298" t="s">
        <v>198</v>
      </c>
      <c r="B8" s="299"/>
      <c r="C8" s="300"/>
      <c r="D8" s="301"/>
      <c r="E8" s="302"/>
      <c r="F8" s="302"/>
      <c r="G8" s="302"/>
      <c r="H8" s="302"/>
      <c r="I8" s="302"/>
      <c r="J8" s="302"/>
      <c r="K8" s="302"/>
      <c r="L8" s="302"/>
      <c r="M8" s="302"/>
      <c r="N8" s="302"/>
      <c r="O8" s="303"/>
      <c r="P8" s="304">
        <f t="shared" si="1"/>
        <v>0</v>
      </c>
      <c r="Q8" s="305"/>
    </row>
    <row r="9" spans="1:17" s="297" customFormat="1" ht="126" outlineLevel="2">
      <c r="A9" s="290" t="s">
        <v>88</v>
      </c>
      <c r="B9" s="291" t="s">
        <v>199</v>
      </c>
      <c r="C9" s="292"/>
      <c r="D9" s="293">
        <f t="shared" ref="D9:O9" si="4">D10-D11</f>
        <v>45397.84</v>
      </c>
      <c r="E9" s="294">
        <f t="shared" si="4"/>
        <v>0</v>
      </c>
      <c r="F9" s="294">
        <f t="shared" si="4"/>
        <v>104070.1</v>
      </c>
      <c r="G9" s="294">
        <f t="shared" si="4"/>
        <v>104070.1</v>
      </c>
      <c r="H9" s="294">
        <f t="shared" si="4"/>
        <v>0</v>
      </c>
      <c r="I9" s="294">
        <f t="shared" si="4"/>
        <v>0</v>
      </c>
      <c r="J9" s="294">
        <f t="shared" si="4"/>
        <v>0</v>
      </c>
      <c r="K9" s="294">
        <f t="shared" si="4"/>
        <v>0</v>
      </c>
      <c r="L9" s="294">
        <f t="shared" si="4"/>
        <v>123048.19</v>
      </c>
      <c r="M9" s="294">
        <f t="shared" si="4"/>
        <v>0</v>
      </c>
      <c r="N9" s="294">
        <f t="shared" si="4"/>
        <v>0</v>
      </c>
      <c r="O9" s="295">
        <f t="shared" si="4"/>
        <v>0</v>
      </c>
      <c r="P9" s="181">
        <f t="shared" si="1"/>
        <v>376586.23</v>
      </c>
      <c r="Q9" s="296"/>
    </row>
    <row r="10" spans="1:17" ht="165.75" outlineLevel="3">
      <c r="A10" s="298" t="s">
        <v>200</v>
      </c>
      <c r="B10" s="299" t="s">
        <v>201</v>
      </c>
      <c r="C10" s="300"/>
      <c r="D10" s="301">
        <f>90795.68-45397.84</f>
        <v>45397.84</v>
      </c>
      <c r="E10" s="302"/>
      <c r="F10" s="302">
        <v>104070.1</v>
      </c>
      <c r="G10" s="302">
        <v>104070.1</v>
      </c>
      <c r="H10" s="302"/>
      <c r="I10" s="302"/>
      <c r="J10" s="302"/>
      <c r="K10" s="302"/>
      <c r="L10" s="302">
        <v>254548.19</v>
      </c>
      <c r="M10" s="302"/>
      <c r="N10" s="302"/>
      <c r="O10" s="303"/>
      <c r="P10" s="304">
        <f t="shared" si="1"/>
        <v>508086.23</v>
      </c>
      <c r="Q10" s="305"/>
    </row>
    <row r="11" spans="1:17" ht="48.75" outlineLevel="3">
      <c r="A11" s="298" t="s">
        <v>202</v>
      </c>
      <c r="B11" s="299" t="s">
        <v>96</v>
      </c>
      <c r="C11" s="300"/>
      <c r="D11" s="301"/>
      <c r="E11" s="302"/>
      <c r="F11" s="302"/>
      <c r="G11" s="302"/>
      <c r="H11" s="302"/>
      <c r="I11" s="302"/>
      <c r="J11" s="302"/>
      <c r="K11" s="302"/>
      <c r="L11" s="302">
        <v>131500</v>
      </c>
      <c r="M11" s="302"/>
      <c r="N11" s="302"/>
      <c r="O11" s="303"/>
      <c r="P11" s="304">
        <f t="shared" si="1"/>
        <v>131500</v>
      </c>
      <c r="Q11" s="305"/>
    </row>
    <row r="12" spans="1:17" s="297" customFormat="1" ht="54" outlineLevel="2">
      <c r="A12" s="290" t="s">
        <v>31</v>
      </c>
      <c r="B12" s="291" t="s">
        <v>102</v>
      </c>
      <c r="C12" s="292"/>
      <c r="D12" s="293">
        <f t="shared" ref="D12:O12" si="5">SUM(D13)</f>
        <v>0</v>
      </c>
      <c r="E12" s="294">
        <f t="shared" si="5"/>
        <v>0</v>
      </c>
      <c r="F12" s="294">
        <f t="shared" si="5"/>
        <v>0</v>
      </c>
      <c r="G12" s="294">
        <f t="shared" si="5"/>
        <v>0</v>
      </c>
      <c r="H12" s="294">
        <f t="shared" si="5"/>
        <v>0</v>
      </c>
      <c r="I12" s="294">
        <f t="shared" si="5"/>
        <v>0</v>
      </c>
      <c r="J12" s="294">
        <f t="shared" si="5"/>
        <v>0</v>
      </c>
      <c r="K12" s="294">
        <f t="shared" si="5"/>
        <v>0</v>
      </c>
      <c r="L12" s="294">
        <f t="shared" si="5"/>
        <v>0</v>
      </c>
      <c r="M12" s="294">
        <f t="shared" si="5"/>
        <v>0</v>
      </c>
      <c r="N12" s="294">
        <f t="shared" si="5"/>
        <v>0</v>
      </c>
      <c r="O12" s="295">
        <f t="shared" si="5"/>
        <v>0</v>
      </c>
      <c r="P12" s="181">
        <f t="shared" si="1"/>
        <v>0</v>
      </c>
      <c r="Q12" s="296"/>
    </row>
    <row r="13" spans="1:17" ht="11.25" outlineLevel="3">
      <c r="A13" s="298" t="s">
        <v>31</v>
      </c>
      <c r="B13" s="299"/>
      <c r="C13" s="300"/>
      <c r="D13" s="301"/>
      <c r="E13" s="302"/>
      <c r="F13" s="302"/>
      <c r="G13" s="302"/>
      <c r="H13" s="302"/>
      <c r="I13" s="302"/>
      <c r="J13" s="302"/>
      <c r="K13" s="302"/>
      <c r="L13" s="302"/>
      <c r="M13" s="302"/>
      <c r="N13" s="302"/>
      <c r="O13" s="303"/>
      <c r="P13" s="304">
        <f t="shared" si="1"/>
        <v>0</v>
      </c>
      <c r="Q13" s="305"/>
    </row>
    <row r="14" spans="1:17" s="297" customFormat="1" ht="126" outlineLevel="2">
      <c r="A14" s="290" t="s">
        <v>105</v>
      </c>
      <c r="B14" s="291" t="s">
        <v>203</v>
      </c>
      <c r="C14" s="292"/>
      <c r="D14" s="293">
        <f t="shared" ref="D14:O14" si="6">SUM(D15:D16)</f>
        <v>0</v>
      </c>
      <c r="E14" s="294">
        <f t="shared" si="6"/>
        <v>0</v>
      </c>
      <c r="F14" s="294">
        <f t="shared" si="6"/>
        <v>0</v>
      </c>
      <c r="G14" s="294">
        <f t="shared" si="6"/>
        <v>0</v>
      </c>
      <c r="H14" s="294">
        <f t="shared" si="6"/>
        <v>0</v>
      </c>
      <c r="I14" s="294">
        <f t="shared" si="6"/>
        <v>0</v>
      </c>
      <c r="J14" s="294">
        <f t="shared" si="6"/>
        <v>4000</v>
      </c>
      <c r="K14" s="294">
        <f t="shared" si="6"/>
        <v>0</v>
      </c>
      <c r="L14" s="294">
        <f t="shared" si="6"/>
        <v>0</v>
      </c>
      <c r="M14" s="294">
        <f t="shared" si="6"/>
        <v>0</v>
      </c>
      <c r="N14" s="294">
        <f t="shared" si="6"/>
        <v>0</v>
      </c>
      <c r="O14" s="295">
        <f t="shared" si="6"/>
        <v>0</v>
      </c>
      <c r="P14" s="181">
        <f t="shared" si="1"/>
        <v>4000</v>
      </c>
      <c r="Q14" s="296"/>
    </row>
    <row r="15" spans="1:17" s="297" customFormat="1" ht="29.25" outlineLevel="3">
      <c r="A15" s="298" t="s">
        <v>58</v>
      </c>
      <c r="B15" s="299" t="s">
        <v>58</v>
      </c>
      <c r="C15" s="300"/>
      <c r="D15" s="306"/>
      <c r="E15" s="307"/>
      <c r="F15" s="307"/>
      <c r="G15" s="307"/>
      <c r="H15" s="307"/>
      <c r="I15" s="307"/>
      <c r="J15" s="307">
        <v>4000</v>
      </c>
      <c r="K15" s="307"/>
      <c r="L15" s="307"/>
      <c r="M15" s="307"/>
      <c r="N15" s="307"/>
      <c r="O15" s="308"/>
      <c r="P15" s="304">
        <f t="shared" si="1"/>
        <v>4000</v>
      </c>
      <c r="Q15" s="305"/>
    </row>
    <row r="16" spans="1:17" s="317" customFormat="1" ht="29.25" outlineLevel="3">
      <c r="A16" s="309" t="s">
        <v>110</v>
      </c>
      <c r="B16" s="310" t="s">
        <v>110</v>
      </c>
      <c r="C16" s="311"/>
      <c r="D16" s="312"/>
      <c r="E16" s="313"/>
      <c r="F16" s="313"/>
      <c r="G16" s="313"/>
      <c r="H16" s="313"/>
      <c r="I16" s="313"/>
      <c r="J16" s="313"/>
      <c r="K16" s="313"/>
      <c r="L16" s="313"/>
      <c r="M16" s="313"/>
      <c r="N16" s="313"/>
      <c r="O16" s="314"/>
      <c r="P16" s="315">
        <f t="shared" si="1"/>
        <v>0</v>
      </c>
      <c r="Q16" s="316"/>
    </row>
    <row r="17" spans="1:17" ht="236.25" outlineLevel="1">
      <c r="A17" s="283" t="s">
        <v>204</v>
      </c>
      <c r="B17" s="284" t="s">
        <v>205</v>
      </c>
      <c r="C17" s="285"/>
      <c r="D17" s="286">
        <f t="shared" ref="D17:O17" si="7">SUM(D18,D21)</f>
        <v>234127.35000000003</v>
      </c>
      <c r="E17" s="287">
        <f t="shared" si="7"/>
        <v>199753.65</v>
      </c>
      <c r="F17" s="287">
        <f t="shared" si="7"/>
        <v>309410.13</v>
      </c>
      <c r="G17" s="287">
        <f t="shared" si="7"/>
        <v>258405.03999999998</v>
      </c>
      <c r="H17" s="287">
        <f t="shared" si="7"/>
        <v>212216.81</v>
      </c>
      <c r="I17" s="287">
        <f t="shared" si="7"/>
        <v>228927.80000000002</v>
      </c>
      <c r="J17" s="287">
        <f t="shared" si="7"/>
        <v>304017.38</v>
      </c>
      <c r="K17" s="287">
        <f t="shared" si="7"/>
        <v>330047.73</v>
      </c>
      <c r="L17" s="287">
        <f t="shared" si="7"/>
        <v>350269.11</v>
      </c>
      <c r="M17" s="287">
        <f t="shared" si="7"/>
        <v>0</v>
      </c>
      <c r="N17" s="287">
        <f t="shared" si="7"/>
        <v>0</v>
      </c>
      <c r="O17" s="288">
        <f t="shared" si="7"/>
        <v>0</v>
      </c>
      <c r="P17" s="120">
        <f t="shared" si="1"/>
        <v>2427175</v>
      </c>
      <c r="Q17" s="289"/>
    </row>
    <row r="18" spans="1:17" ht="216" outlineLevel="2">
      <c r="A18" s="290" t="s">
        <v>25</v>
      </c>
      <c r="B18" s="318" t="s">
        <v>114</v>
      </c>
      <c r="C18" s="319"/>
      <c r="D18" s="320">
        <f t="shared" ref="D18:O18" si="8">SUM(D19:D20)</f>
        <v>176153.00000000003</v>
      </c>
      <c r="E18" s="321">
        <f t="shared" si="8"/>
        <v>143574</v>
      </c>
      <c r="F18" s="321">
        <f t="shared" si="8"/>
        <v>237832</v>
      </c>
      <c r="G18" s="321">
        <f t="shared" si="8"/>
        <v>189950</v>
      </c>
      <c r="H18" s="321">
        <f t="shared" si="8"/>
        <v>158148</v>
      </c>
      <c r="I18" s="321">
        <f t="shared" si="8"/>
        <v>161517.86000000002</v>
      </c>
      <c r="J18" s="321">
        <f t="shared" si="8"/>
        <v>228702</v>
      </c>
      <c r="K18" s="321">
        <f t="shared" si="8"/>
        <v>243331</v>
      </c>
      <c r="L18" s="321">
        <f t="shared" si="8"/>
        <v>263388.67</v>
      </c>
      <c r="M18" s="321">
        <f t="shared" si="8"/>
        <v>0</v>
      </c>
      <c r="N18" s="321">
        <f t="shared" si="8"/>
        <v>0</v>
      </c>
      <c r="O18" s="322">
        <f t="shared" si="8"/>
        <v>0</v>
      </c>
      <c r="P18" s="323">
        <f t="shared" si="1"/>
        <v>1802596.53</v>
      </c>
      <c r="Q18" s="324"/>
    </row>
    <row r="19" spans="1:17" s="328" customFormat="1" ht="11.25" outlineLevel="3">
      <c r="A19" s="325" t="s">
        <v>206</v>
      </c>
      <c r="B19" s="326"/>
      <c r="C19" s="327"/>
      <c r="D19" s="301">
        <v>176153.00000000003</v>
      </c>
      <c r="E19" s="302">
        <v>143574</v>
      </c>
      <c r="F19" s="302">
        <v>237832</v>
      </c>
      <c r="G19" s="302">
        <v>189950</v>
      </c>
      <c r="H19" s="302">
        <v>158148</v>
      </c>
      <c r="I19" s="302">
        <v>161517.86000000002</v>
      </c>
      <c r="J19" s="302">
        <v>228702</v>
      </c>
      <c r="K19" s="302">
        <v>243331</v>
      </c>
      <c r="L19" s="302">
        <v>263388.67</v>
      </c>
      <c r="M19" s="302"/>
      <c r="N19" s="302"/>
      <c r="O19" s="303"/>
      <c r="P19" s="304">
        <f t="shared" si="1"/>
        <v>1802596.53</v>
      </c>
      <c r="Q19" s="305"/>
    </row>
    <row r="20" spans="1:17" s="328" customFormat="1" ht="11.25" outlineLevel="3">
      <c r="A20" s="325" t="s">
        <v>207</v>
      </c>
      <c r="B20" s="326"/>
      <c r="C20" s="327"/>
      <c r="D20" s="301"/>
      <c r="E20" s="302"/>
      <c r="F20" s="302"/>
      <c r="G20" s="302"/>
      <c r="H20" s="302"/>
      <c r="I20" s="302"/>
      <c r="J20" s="302"/>
      <c r="K20" s="302"/>
      <c r="L20" s="302"/>
      <c r="M20" s="302"/>
      <c r="N20" s="302"/>
      <c r="O20" s="303"/>
      <c r="P20" s="304">
        <f t="shared" si="1"/>
        <v>0</v>
      </c>
      <c r="Q20" s="305"/>
    </row>
    <row r="21" spans="1:17" ht="297" outlineLevel="2">
      <c r="A21" s="290" t="s">
        <v>26</v>
      </c>
      <c r="B21" s="318" t="s">
        <v>116</v>
      </c>
      <c r="C21" s="319"/>
      <c r="D21" s="320">
        <f t="shared" ref="D21:O21" si="9">SUM(D22:D24)</f>
        <v>57974.35</v>
      </c>
      <c r="E21" s="321">
        <f t="shared" si="9"/>
        <v>56179.649999999994</v>
      </c>
      <c r="F21" s="321">
        <f t="shared" si="9"/>
        <v>71578.13</v>
      </c>
      <c r="G21" s="321">
        <f t="shared" si="9"/>
        <v>68455.039999999994</v>
      </c>
      <c r="H21" s="321">
        <f t="shared" si="9"/>
        <v>54068.810000000005</v>
      </c>
      <c r="I21" s="321">
        <f t="shared" si="9"/>
        <v>67409.94</v>
      </c>
      <c r="J21" s="321">
        <f t="shared" si="9"/>
        <v>75315.37999999999</v>
      </c>
      <c r="K21" s="321">
        <f t="shared" si="9"/>
        <v>86716.73</v>
      </c>
      <c r="L21" s="321">
        <f t="shared" si="9"/>
        <v>86880.44</v>
      </c>
      <c r="M21" s="321">
        <f t="shared" si="9"/>
        <v>0</v>
      </c>
      <c r="N21" s="321">
        <f t="shared" si="9"/>
        <v>0</v>
      </c>
      <c r="O21" s="322">
        <f t="shared" si="9"/>
        <v>0</v>
      </c>
      <c r="P21" s="323">
        <f t="shared" si="1"/>
        <v>624578.47</v>
      </c>
      <c r="Q21" s="324"/>
    </row>
    <row r="22" spans="1:17" s="328" customFormat="1" ht="11.25" outlineLevel="3">
      <c r="A22" s="325" t="s">
        <v>208</v>
      </c>
      <c r="B22" s="326"/>
      <c r="C22" s="327"/>
      <c r="D22" s="301">
        <v>57974.35</v>
      </c>
      <c r="E22" s="302">
        <v>56179.649999999994</v>
      </c>
      <c r="F22" s="302">
        <v>71578.13</v>
      </c>
      <c r="G22" s="302">
        <v>68455.039999999994</v>
      </c>
      <c r="H22" s="302">
        <v>54068.810000000005</v>
      </c>
      <c r="I22" s="302">
        <v>67409.94</v>
      </c>
      <c r="J22" s="302">
        <v>75315.37999999999</v>
      </c>
      <c r="K22" s="302">
        <v>86716.73</v>
      </c>
      <c r="L22" s="302">
        <v>86880.44</v>
      </c>
      <c r="M22" s="302"/>
      <c r="N22" s="302"/>
      <c r="O22" s="303"/>
      <c r="P22" s="304">
        <f t="shared" si="1"/>
        <v>624578.47</v>
      </c>
      <c r="Q22" s="305"/>
    </row>
    <row r="23" spans="1:17" s="328" customFormat="1" ht="11.25" outlineLevel="3">
      <c r="A23" s="325" t="s">
        <v>209</v>
      </c>
      <c r="B23" s="326"/>
      <c r="C23" s="327"/>
      <c r="D23" s="301"/>
      <c r="E23" s="302"/>
      <c r="F23" s="302"/>
      <c r="G23" s="302"/>
      <c r="H23" s="302"/>
      <c r="I23" s="302"/>
      <c r="J23" s="302"/>
      <c r="K23" s="302"/>
      <c r="L23" s="302"/>
      <c r="M23" s="302"/>
      <c r="N23" s="302"/>
      <c r="O23" s="303"/>
      <c r="P23" s="304">
        <f t="shared" si="1"/>
        <v>0</v>
      </c>
      <c r="Q23" s="305"/>
    </row>
    <row r="24" spans="1:17" s="328" customFormat="1" ht="11.25" outlineLevel="3">
      <c r="A24" s="329" t="s">
        <v>210</v>
      </c>
      <c r="B24" s="330"/>
      <c r="C24" s="331"/>
      <c r="D24" s="332"/>
      <c r="E24" s="333"/>
      <c r="F24" s="333"/>
      <c r="G24" s="333"/>
      <c r="H24" s="333"/>
      <c r="I24" s="333"/>
      <c r="J24" s="333"/>
      <c r="K24" s="333"/>
      <c r="L24" s="333"/>
      <c r="M24" s="333"/>
      <c r="N24" s="333"/>
      <c r="O24" s="334"/>
      <c r="P24" s="335">
        <f t="shared" si="1"/>
        <v>0</v>
      </c>
      <c r="Q24" s="336"/>
    </row>
    <row r="25" spans="1:17" ht="225" outlineLevel="1">
      <c r="A25" s="283" t="s">
        <v>211</v>
      </c>
      <c r="B25" s="284" t="s">
        <v>119</v>
      </c>
      <c r="C25" s="285"/>
      <c r="D25" s="337">
        <f t="shared" ref="D25:O25" si="10">SUM(D26:D29)</f>
        <v>0</v>
      </c>
      <c r="E25" s="338">
        <f t="shared" si="10"/>
        <v>0</v>
      </c>
      <c r="F25" s="338">
        <f t="shared" si="10"/>
        <v>0</v>
      </c>
      <c r="G25" s="338">
        <f t="shared" si="10"/>
        <v>0</v>
      </c>
      <c r="H25" s="338">
        <f t="shared" si="10"/>
        <v>0</v>
      </c>
      <c r="I25" s="338">
        <f t="shared" si="10"/>
        <v>0</v>
      </c>
      <c r="J25" s="338">
        <f t="shared" si="10"/>
        <v>0</v>
      </c>
      <c r="K25" s="338">
        <f t="shared" si="10"/>
        <v>0</v>
      </c>
      <c r="L25" s="338">
        <f t="shared" si="10"/>
        <v>0</v>
      </c>
      <c r="M25" s="338">
        <f t="shared" si="10"/>
        <v>0</v>
      </c>
      <c r="N25" s="338">
        <f t="shared" si="10"/>
        <v>0</v>
      </c>
      <c r="O25" s="339">
        <f t="shared" si="10"/>
        <v>0</v>
      </c>
      <c r="P25" s="340">
        <f t="shared" si="1"/>
        <v>0</v>
      </c>
      <c r="Q25" s="341"/>
    </row>
    <row r="26" spans="1:17" ht="11.25" outlineLevel="2">
      <c r="A26" s="342"/>
      <c r="B26" s="299"/>
      <c r="C26" s="300"/>
      <c r="D26" s="306"/>
      <c r="E26" s="307"/>
      <c r="F26" s="307"/>
      <c r="G26" s="307"/>
      <c r="H26" s="307"/>
      <c r="I26" s="307"/>
      <c r="J26" s="307"/>
      <c r="K26" s="307"/>
      <c r="L26" s="307"/>
      <c r="M26" s="307"/>
      <c r="N26" s="307"/>
      <c r="O26" s="308"/>
      <c r="P26" s="304">
        <f t="shared" si="1"/>
        <v>0</v>
      </c>
      <c r="Q26" s="305"/>
    </row>
    <row r="27" spans="1:17" ht="11.25" outlineLevel="2">
      <c r="A27" s="343"/>
      <c r="B27" s="344"/>
      <c r="C27" s="345"/>
      <c r="D27" s="346"/>
      <c r="E27" s="347"/>
      <c r="F27" s="347"/>
      <c r="G27" s="347"/>
      <c r="H27" s="347"/>
      <c r="I27" s="347"/>
      <c r="J27" s="347"/>
      <c r="K27" s="347"/>
      <c r="L27" s="347"/>
      <c r="M27" s="347"/>
      <c r="N27" s="347"/>
      <c r="O27" s="348"/>
      <c r="P27" s="349">
        <f t="shared" si="1"/>
        <v>0</v>
      </c>
      <c r="Q27" s="350"/>
    </row>
    <row r="28" spans="1:17" ht="11.25" outlineLevel="2">
      <c r="A28" s="343"/>
      <c r="B28" s="344"/>
      <c r="C28" s="345"/>
      <c r="D28" s="346"/>
      <c r="E28" s="347"/>
      <c r="F28" s="347"/>
      <c r="G28" s="347"/>
      <c r="H28" s="347"/>
      <c r="I28" s="347"/>
      <c r="J28" s="347"/>
      <c r="K28" s="347"/>
      <c r="L28" s="347"/>
      <c r="M28" s="347"/>
      <c r="N28" s="347"/>
      <c r="O28" s="348"/>
      <c r="P28" s="349">
        <f t="shared" si="1"/>
        <v>0</v>
      </c>
      <c r="Q28" s="350"/>
    </row>
    <row r="29" spans="1:17" ht="11.25" outlineLevel="2">
      <c r="A29" s="351"/>
      <c r="B29" s="352"/>
      <c r="C29" s="353"/>
      <c r="D29" s="354"/>
      <c r="E29" s="355"/>
      <c r="F29" s="355"/>
      <c r="G29" s="355"/>
      <c r="H29" s="355"/>
      <c r="I29" s="355"/>
      <c r="J29" s="355"/>
      <c r="K29" s="355"/>
      <c r="L29" s="355"/>
      <c r="M29" s="355"/>
      <c r="N29" s="355"/>
      <c r="O29" s="356"/>
      <c r="P29" s="357">
        <f t="shared" si="1"/>
        <v>0</v>
      </c>
      <c r="Q29" s="358"/>
    </row>
    <row r="30" spans="1:17" s="261" customFormat="1" ht="108">
      <c r="A30" s="199" t="s">
        <v>122</v>
      </c>
      <c r="B30" s="276" t="s">
        <v>212</v>
      </c>
      <c r="C30" s="277"/>
      <c r="D30" s="359">
        <f t="shared" ref="D30:O30" si="11">SUM(D31,D72)</f>
        <v>1046615.7199999999</v>
      </c>
      <c r="E30" s="200">
        <f t="shared" si="11"/>
        <v>1178858.28</v>
      </c>
      <c r="F30" s="200">
        <f t="shared" si="11"/>
        <v>1146718.31</v>
      </c>
      <c r="G30" s="200">
        <f t="shared" si="11"/>
        <v>1324708.9300000004</v>
      </c>
      <c r="H30" s="200">
        <f t="shared" si="11"/>
        <v>1935592.9300000002</v>
      </c>
      <c r="I30" s="200">
        <f t="shared" si="11"/>
        <v>1573279.7400000005</v>
      </c>
      <c r="J30" s="200">
        <f t="shared" si="11"/>
        <v>1943685.34</v>
      </c>
      <c r="K30" s="200">
        <f t="shared" si="11"/>
        <v>1858376.4</v>
      </c>
      <c r="L30" s="200">
        <f t="shared" si="11"/>
        <v>1331930.2200000002</v>
      </c>
      <c r="M30" s="200">
        <f t="shared" si="11"/>
        <v>10176.199999999999</v>
      </c>
      <c r="N30" s="200">
        <f t="shared" si="11"/>
        <v>0</v>
      </c>
      <c r="O30" s="360">
        <f t="shared" si="11"/>
        <v>0</v>
      </c>
      <c r="P30" s="201">
        <f t="shared" si="1"/>
        <v>13349942.07</v>
      </c>
      <c r="Q30" s="361">
        <f t="shared" ref="Q30:Q61" si="12">P30/$Q$1</f>
        <v>1483326.8966666667</v>
      </c>
    </row>
    <row r="31" spans="1:17" ht="90" outlineLevel="1">
      <c r="A31" s="283" t="s">
        <v>124</v>
      </c>
      <c r="B31" s="284" t="s">
        <v>213</v>
      </c>
      <c r="C31" s="285"/>
      <c r="D31" s="286">
        <f t="shared" ref="D31:O31" si="13">SUM(D32,D34,D38,D40,D45,D47,D50,D53,D60,D65)</f>
        <v>1004137.7599999999</v>
      </c>
      <c r="E31" s="287">
        <f t="shared" si="13"/>
        <v>1127943.56</v>
      </c>
      <c r="F31" s="287">
        <f t="shared" si="13"/>
        <v>1081761.3400000001</v>
      </c>
      <c r="G31" s="287">
        <f t="shared" si="13"/>
        <v>1282454.3400000003</v>
      </c>
      <c r="H31" s="287">
        <f t="shared" si="13"/>
        <v>1829312.37</v>
      </c>
      <c r="I31" s="287">
        <f t="shared" si="13"/>
        <v>1532793.8700000003</v>
      </c>
      <c r="J31" s="287">
        <f t="shared" si="13"/>
        <v>1898160.1500000001</v>
      </c>
      <c r="K31" s="287">
        <f t="shared" si="13"/>
        <v>1730161.2799999998</v>
      </c>
      <c r="L31" s="287">
        <f t="shared" si="13"/>
        <v>1250238.6800000002</v>
      </c>
      <c r="M31" s="287">
        <f t="shared" si="13"/>
        <v>1703.6</v>
      </c>
      <c r="N31" s="287">
        <f t="shared" si="13"/>
        <v>0</v>
      </c>
      <c r="O31" s="288">
        <f t="shared" si="13"/>
        <v>0</v>
      </c>
      <c r="P31" s="120">
        <f t="shared" si="1"/>
        <v>12738666.949999999</v>
      </c>
      <c r="Q31" s="289">
        <f t="shared" si="12"/>
        <v>1415407.4388888888</v>
      </c>
    </row>
    <row r="32" spans="1:17" s="297" customFormat="1" ht="153" outlineLevel="2">
      <c r="A32" s="290" t="s">
        <v>35</v>
      </c>
      <c r="B32" s="291" t="s">
        <v>127</v>
      </c>
      <c r="C32" s="292"/>
      <c r="D32" s="293">
        <f t="shared" ref="D32:O32" si="14">SUM(D33)</f>
        <v>377194.25</v>
      </c>
      <c r="E32" s="294">
        <f t="shared" si="14"/>
        <v>372386.25</v>
      </c>
      <c r="F32" s="294">
        <f t="shared" si="14"/>
        <v>401865.2</v>
      </c>
      <c r="G32" s="294">
        <f t="shared" si="14"/>
        <v>412414.75</v>
      </c>
      <c r="H32" s="294">
        <f t="shared" si="14"/>
        <v>437495</v>
      </c>
      <c r="I32" s="294">
        <f t="shared" si="14"/>
        <v>428539.5</v>
      </c>
      <c r="J32" s="294">
        <f t="shared" si="14"/>
        <v>448394</v>
      </c>
      <c r="K32" s="294">
        <f t="shared" si="14"/>
        <v>483931.5</v>
      </c>
      <c r="L32" s="294">
        <f t="shared" si="14"/>
        <v>524560</v>
      </c>
      <c r="M32" s="294">
        <f t="shared" si="14"/>
        <v>0</v>
      </c>
      <c r="N32" s="294">
        <f t="shared" si="14"/>
        <v>0</v>
      </c>
      <c r="O32" s="295">
        <f t="shared" si="14"/>
        <v>0</v>
      </c>
      <c r="P32" s="181">
        <f t="shared" si="1"/>
        <v>3886780.45</v>
      </c>
      <c r="Q32" s="296">
        <f t="shared" si="12"/>
        <v>431864.49444444448</v>
      </c>
    </row>
    <row r="33" spans="1:17" s="297" customFormat="1" ht="11.25" outlineLevel="3">
      <c r="A33" s="325" t="s">
        <v>35</v>
      </c>
      <c r="B33" s="362"/>
      <c r="C33" s="363"/>
      <c r="D33" s="364">
        <v>377194.25</v>
      </c>
      <c r="E33" s="365">
        <v>372386.25</v>
      </c>
      <c r="F33" s="365">
        <v>401865.2</v>
      </c>
      <c r="G33" s="365">
        <v>412414.75</v>
      </c>
      <c r="H33" s="365">
        <v>437495</v>
      </c>
      <c r="I33" s="365">
        <v>428539.5</v>
      </c>
      <c r="J33" s="365">
        <v>448394</v>
      </c>
      <c r="K33" s="365">
        <v>483931.5</v>
      </c>
      <c r="L33" s="365">
        <v>524560</v>
      </c>
      <c r="M33" s="365"/>
      <c r="N33" s="365"/>
      <c r="O33" s="366"/>
      <c r="P33" s="367">
        <f t="shared" si="1"/>
        <v>3886780.45</v>
      </c>
      <c r="Q33" s="368">
        <f t="shared" si="12"/>
        <v>431864.49444444448</v>
      </c>
    </row>
    <row r="34" spans="1:17" s="297" customFormat="1" ht="36" outlineLevel="2">
      <c r="A34" s="290" t="s">
        <v>36</v>
      </c>
      <c r="B34" s="291" t="s">
        <v>131</v>
      </c>
      <c r="C34" s="292"/>
      <c r="D34" s="293">
        <f t="shared" ref="D34:O34" si="15">SUM(D35:D37)</f>
        <v>213140.48000000001</v>
      </c>
      <c r="E34" s="294">
        <f t="shared" si="15"/>
        <v>211040.64000000001</v>
      </c>
      <c r="F34" s="294">
        <f t="shared" si="15"/>
        <v>239941.12</v>
      </c>
      <c r="G34" s="294">
        <f t="shared" si="15"/>
        <v>228446.4</v>
      </c>
      <c r="H34" s="294">
        <f t="shared" si="15"/>
        <v>224073</v>
      </c>
      <c r="I34" s="294">
        <f t="shared" si="15"/>
        <v>224594.88</v>
      </c>
      <c r="J34" s="294">
        <f t="shared" si="15"/>
        <v>230742.08000000002</v>
      </c>
      <c r="K34" s="294">
        <f t="shared" si="15"/>
        <v>231884.48</v>
      </c>
      <c r="L34" s="294">
        <f t="shared" si="15"/>
        <v>228343.04000000001</v>
      </c>
      <c r="M34" s="294">
        <f t="shared" si="15"/>
        <v>0</v>
      </c>
      <c r="N34" s="294">
        <f t="shared" si="15"/>
        <v>0</v>
      </c>
      <c r="O34" s="295">
        <f t="shared" si="15"/>
        <v>0</v>
      </c>
      <c r="P34" s="181">
        <f t="shared" si="1"/>
        <v>2032206.12</v>
      </c>
      <c r="Q34" s="296">
        <f t="shared" si="12"/>
        <v>225800.68000000002</v>
      </c>
    </row>
    <row r="35" spans="1:17" ht="11.25" outlineLevel="3">
      <c r="A35" s="325" t="s">
        <v>130</v>
      </c>
      <c r="B35" s="362"/>
      <c r="C35" s="363"/>
      <c r="D35" s="364">
        <v>180000</v>
      </c>
      <c r="E35" s="365">
        <v>180000</v>
      </c>
      <c r="F35" s="365">
        <v>180000</v>
      </c>
      <c r="G35" s="365">
        <v>180000</v>
      </c>
      <c r="H35" s="365">
        <v>180000</v>
      </c>
      <c r="I35" s="365">
        <v>180000</v>
      </c>
      <c r="J35" s="365">
        <v>180000</v>
      </c>
      <c r="K35" s="365">
        <v>180000</v>
      </c>
      <c r="L35" s="365">
        <v>180000</v>
      </c>
      <c r="M35" s="365"/>
      <c r="N35" s="365"/>
      <c r="O35" s="366"/>
      <c r="P35" s="367">
        <f t="shared" ref="P35:P66" si="16">SUM(D35:O35)</f>
        <v>1620000</v>
      </c>
      <c r="Q35" s="368">
        <f t="shared" si="12"/>
        <v>180000</v>
      </c>
    </row>
    <row r="36" spans="1:17" ht="11.25" outlineLevel="3">
      <c r="A36" s="325" t="s">
        <v>214</v>
      </c>
      <c r="B36" s="326"/>
      <c r="C36" s="327"/>
      <c r="D36" s="301">
        <v>33140.480000000003</v>
      </c>
      <c r="E36" s="302">
        <v>31040.639999999999</v>
      </c>
      <c r="F36" s="302">
        <v>34941.120000000003</v>
      </c>
      <c r="G36" s="302">
        <v>23446.400000000001</v>
      </c>
      <c r="H36" s="302">
        <v>19073</v>
      </c>
      <c r="I36" s="302">
        <v>19594.88</v>
      </c>
      <c r="J36" s="302">
        <v>25742.080000000002</v>
      </c>
      <c r="K36" s="302">
        <v>26884.48</v>
      </c>
      <c r="L36" s="302">
        <v>23343.040000000001</v>
      </c>
      <c r="M36" s="302"/>
      <c r="N36" s="302"/>
      <c r="O36" s="303"/>
      <c r="P36" s="304">
        <f t="shared" si="16"/>
        <v>237206.12000000005</v>
      </c>
      <c r="Q36" s="305">
        <f t="shared" si="12"/>
        <v>26356.235555555562</v>
      </c>
    </row>
    <row r="37" spans="1:17" ht="11.25" outlineLevel="3">
      <c r="A37" s="325" t="s">
        <v>215</v>
      </c>
      <c r="B37" s="326"/>
      <c r="C37" s="327"/>
      <c r="D37" s="301"/>
      <c r="E37" s="302"/>
      <c r="F37" s="369">
        <v>25000</v>
      </c>
      <c r="G37" s="369">
        <v>25000</v>
      </c>
      <c r="H37" s="369">
        <v>25000</v>
      </c>
      <c r="I37" s="369">
        <v>25000</v>
      </c>
      <c r="J37" s="369">
        <v>25000</v>
      </c>
      <c r="K37" s="302">
        <v>25000</v>
      </c>
      <c r="L37" s="302">
        <v>25000</v>
      </c>
      <c r="M37" s="302"/>
      <c r="N37" s="302"/>
      <c r="O37" s="303"/>
      <c r="P37" s="304">
        <f t="shared" si="16"/>
        <v>175000</v>
      </c>
      <c r="Q37" s="305">
        <f t="shared" si="12"/>
        <v>19444.444444444445</v>
      </c>
    </row>
    <row r="38" spans="1:17" s="297" customFormat="1" ht="18" outlineLevel="2">
      <c r="A38" s="290" t="s">
        <v>216</v>
      </c>
      <c r="B38" s="291" t="s">
        <v>135</v>
      </c>
      <c r="C38" s="292"/>
      <c r="D38" s="293">
        <f t="shared" ref="D38:O38" si="17">SUM(D39)</f>
        <v>9398</v>
      </c>
      <c r="E38" s="294">
        <f t="shared" si="17"/>
        <v>62402</v>
      </c>
      <c r="F38" s="294">
        <f t="shared" si="17"/>
        <v>62241</v>
      </c>
      <c r="G38" s="294">
        <f t="shared" si="17"/>
        <v>79260.42</v>
      </c>
      <c r="H38" s="294">
        <f t="shared" si="17"/>
        <v>66486.009999999995</v>
      </c>
      <c r="I38" s="294">
        <f t="shared" si="17"/>
        <v>53795.53</v>
      </c>
      <c r="J38" s="294">
        <f t="shared" si="17"/>
        <v>71512.210000000006</v>
      </c>
      <c r="K38" s="294">
        <f t="shared" si="17"/>
        <v>62319</v>
      </c>
      <c r="L38" s="294">
        <f t="shared" si="17"/>
        <v>60249</v>
      </c>
      <c r="M38" s="294">
        <f t="shared" si="17"/>
        <v>0</v>
      </c>
      <c r="N38" s="294">
        <f t="shared" si="17"/>
        <v>0</v>
      </c>
      <c r="O38" s="295">
        <f t="shared" si="17"/>
        <v>0</v>
      </c>
      <c r="P38" s="181">
        <f t="shared" si="16"/>
        <v>527663.16999999993</v>
      </c>
      <c r="Q38" s="296">
        <f t="shared" si="12"/>
        <v>58629.2411111111</v>
      </c>
    </row>
    <row r="39" spans="1:17" s="328" customFormat="1" ht="11.25" outlineLevel="3">
      <c r="A39" s="325" t="s">
        <v>216</v>
      </c>
      <c r="B39" s="362"/>
      <c r="C39" s="363"/>
      <c r="D39" s="364">
        <v>9398</v>
      </c>
      <c r="E39" s="365">
        <v>62402</v>
      </c>
      <c r="F39" s="365">
        <v>62241</v>
      </c>
      <c r="G39" s="365">
        <v>79260.42</v>
      </c>
      <c r="H39" s="365">
        <v>66486.009999999995</v>
      </c>
      <c r="I39" s="365">
        <v>53795.53</v>
      </c>
      <c r="J39" s="365">
        <v>71512.210000000006</v>
      </c>
      <c r="K39" s="365">
        <v>62319</v>
      </c>
      <c r="L39" s="365">
        <v>60249</v>
      </c>
      <c r="M39" s="365"/>
      <c r="N39" s="365"/>
      <c r="O39" s="366"/>
      <c r="P39" s="367">
        <f t="shared" si="16"/>
        <v>527663.16999999993</v>
      </c>
      <c r="Q39" s="368">
        <f t="shared" si="12"/>
        <v>58629.2411111111</v>
      </c>
    </row>
    <row r="40" spans="1:17" s="328" customFormat="1" ht="45" outlineLevel="2">
      <c r="A40" s="290" t="s">
        <v>42</v>
      </c>
      <c r="B40" s="318" t="s">
        <v>164</v>
      </c>
      <c r="C40" s="319"/>
      <c r="D40" s="320">
        <f t="shared" ref="D40:O40" si="18">SUM(D41:D44)</f>
        <v>6800</v>
      </c>
      <c r="E40" s="321">
        <f t="shared" si="18"/>
        <v>800</v>
      </c>
      <c r="F40" s="321">
        <f t="shared" si="18"/>
        <v>2110.6999999999998</v>
      </c>
      <c r="G40" s="321">
        <f t="shared" si="18"/>
        <v>2539.17</v>
      </c>
      <c r="H40" s="321">
        <f t="shared" si="18"/>
        <v>3524</v>
      </c>
      <c r="I40" s="321">
        <f t="shared" si="18"/>
        <v>7497.0300000000007</v>
      </c>
      <c r="J40" s="321">
        <f t="shared" si="18"/>
        <v>4200.01</v>
      </c>
      <c r="K40" s="321">
        <f t="shared" si="18"/>
        <v>4132.37</v>
      </c>
      <c r="L40" s="321">
        <f t="shared" si="18"/>
        <v>6281.79</v>
      </c>
      <c r="M40" s="321">
        <f t="shared" si="18"/>
        <v>0</v>
      </c>
      <c r="N40" s="321">
        <f t="shared" si="18"/>
        <v>0</v>
      </c>
      <c r="O40" s="322">
        <f t="shared" si="18"/>
        <v>0</v>
      </c>
      <c r="P40" s="323">
        <f t="shared" si="16"/>
        <v>37885.07</v>
      </c>
      <c r="Q40" s="324">
        <f t="shared" si="12"/>
        <v>4209.4522222222222</v>
      </c>
    </row>
    <row r="41" spans="1:17" s="328" customFormat="1" ht="11.25" outlineLevel="3">
      <c r="A41" s="325" t="s">
        <v>217</v>
      </c>
      <c r="B41" s="326"/>
      <c r="C41" s="327"/>
      <c r="D41" s="301">
        <v>800</v>
      </c>
      <c r="E41" s="302">
        <v>800</v>
      </c>
      <c r="F41" s="302">
        <v>800</v>
      </c>
      <c r="G41" s="302">
        <v>480</v>
      </c>
      <c r="H41" s="302">
        <v>800</v>
      </c>
      <c r="I41" s="302">
        <v>800</v>
      </c>
      <c r="J41" s="302">
        <v>800</v>
      </c>
      <c r="K41" s="302">
        <v>800</v>
      </c>
      <c r="L41" s="302">
        <v>800</v>
      </c>
      <c r="M41" s="302"/>
      <c r="N41" s="302"/>
      <c r="O41" s="303"/>
      <c r="P41" s="304">
        <f t="shared" si="16"/>
        <v>6880</v>
      </c>
      <c r="Q41" s="305">
        <f t="shared" si="12"/>
        <v>764.44444444444446</v>
      </c>
    </row>
    <row r="42" spans="1:17" s="328" customFormat="1" ht="11.25" outlineLevel="3">
      <c r="A42" s="325" t="s">
        <v>218</v>
      </c>
      <c r="B42" s="326"/>
      <c r="C42" s="327"/>
      <c r="D42" s="301">
        <v>6000</v>
      </c>
      <c r="E42" s="302"/>
      <c r="F42" s="302">
        <v>1310.7</v>
      </c>
      <c r="G42" s="302">
        <v>2059.17</v>
      </c>
      <c r="H42" s="302">
        <v>2724</v>
      </c>
      <c r="I42" s="302">
        <f>3071+3626.03</f>
        <v>6697.0300000000007</v>
      </c>
      <c r="J42" s="302">
        <v>3400.01</v>
      </c>
      <c r="K42" s="302">
        <v>3332.37</v>
      </c>
      <c r="L42" s="302">
        <v>2681.79</v>
      </c>
      <c r="M42" s="302"/>
      <c r="N42" s="302"/>
      <c r="O42" s="303"/>
      <c r="P42" s="304">
        <f t="shared" si="16"/>
        <v>28205.070000000003</v>
      </c>
      <c r="Q42" s="305">
        <f t="shared" si="12"/>
        <v>3133.896666666667</v>
      </c>
    </row>
    <row r="43" spans="1:17" s="328" customFormat="1" ht="11.25" outlineLevel="3">
      <c r="A43" s="370" t="s">
        <v>219</v>
      </c>
      <c r="B43" s="326"/>
      <c r="C43" s="327"/>
      <c r="D43" s="301"/>
      <c r="E43" s="302"/>
      <c r="F43" s="302"/>
      <c r="G43" s="302"/>
      <c r="H43" s="302"/>
      <c r="I43" s="302"/>
      <c r="J43" s="302"/>
      <c r="K43" s="302"/>
      <c r="L43" s="302">
        <v>2800</v>
      </c>
      <c r="M43" s="302"/>
      <c r="N43" s="302"/>
      <c r="O43" s="303"/>
      <c r="P43" s="304">
        <f t="shared" si="16"/>
        <v>2800</v>
      </c>
      <c r="Q43" s="305">
        <f t="shared" si="12"/>
        <v>311.11111111111109</v>
      </c>
    </row>
    <row r="44" spans="1:17" s="328" customFormat="1" ht="11.25" outlineLevel="3">
      <c r="A44" s="325"/>
      <c r="B44" s="326"/>
      <c r="C44" s="327"/>
      <c r="D44" s="301"/>
      <c r="E44" s="302"/>
      <c r="F44" s="302"/>
      <c r="G44" s="302"/>
      <c r="H44" s="302"/>
      <c r="I44" s="302"/>
      <c r="J44" s="302"/>
      <c r="K44" s="302"/>
      <c r="L44" s="302"/>
      <c r="M44" s="302"/>
      <c r="N44" s="302"/>
      <c r="O44" s="303"/>
      <c r="P44" s="304">
        <f t="shared" si="16"/>
        <v>0</v>
      </c>
      <c r="Q44" s="305">
        <f t="shared" si="12"/>
        <v>0</v>
      </c>
    </row>
    <row r="45" spans="1:17" s="328" customFormat="1" ht="126" outlineLevel="2">
      <c r="A45" s="290" t="s">
        <v>54</v>
      </c>
      <c r="B45" s="318" t="s">
        <v>137</v>
      </c>
      <c r="C45" s="319"/>
      <c r="D45" s="320">
        <f t="shared" ref="D45:L45" si="19">SUM(D46)</f>
        <v>134921.49</v>
      </c>
      <c r="E45" s="321">
        <f t="shared" si="19"/>
        <v>157830.57999999999</v>
      </c>
      <c r="F45" s="321">
        <f t="shared" si="19"/>
        <v>141292.9</v>
      </c>
      <c r="G45" s="321">
        <f t="shared" si="19"/>
        <v>131794.67000000001</v>
      </c>
      <c r="H45" s="321">
        <f t="shared" si="19"/>
        <v>147068.6</v>
      </c>
      <c r="I45" s="321">
        <f t="shared" si="19"/>
        <v>170189.12</v>
      </c>
      <c r="J45" s="321">
        <f t="shared" si="19"/>
        <v>447189</v>
      </c>
      <c r="K45" s="321">
        <f t="shared" si="19"/>
        <v>409874.84</v>
      </c>
      <c r="L45" s="321">
        <f t="shared" si="19"/>
        <v>87916.99</v>
      </c>
      <c r="M45" s="321"/>
      <c r="N45" s="321"/>
      <c r="O45" s="322"/>
      <c r="P45" s="323">
        <f t="shared" si="16"/>
        <v>1828078.19</v>
      </c>
      <c r="Q45" s="324">
        <f t="shared" si="12"/>
        <v>203119.79888888888</v>
      </c>
    </row>
    <row r="46" spans="1:17" s="328" customFormat="1" ht="11.25" outlineLevel="3">
      <c r="A46" s="371" t="s">
        <v>220</v>
      </c>
      <c r="B46" s="372"/>
      <c r="C46" s="373"/>
      <c r="D46" s="374">
        <v>134921.49</v>
      </c>
      <c r="E46" s="375">
        <v>157830.57999999999</v>
      </c>
      <c r="F46" s="375">
        <v>141292.9</v>
      </c>
      <c r="G46" s="375">
        <v>131794.67000000001</v>
      </c>
      <c r="H46" s="375">
        <v>147068.6</v>
      </c>
      <c r="I46" s="375">
        <v>170189.12</v>
      </c>
      <c r="J46" s="375">
        <v>447189</v>
      </c>
      <c r="K46" s="375">
        <v>409874.84</v>
      </c>
      <c r="L46" s="375">
        <v>87916.99</v>
      </c>
      <c r="M46" s="375"/>
      <c r="N46" s="375"/>
      <c r="O46" s="372"/>
      <c r="P46" s="376">
        <f t="shared" si="16"/>
        <v>1828078.19</v>
      </c>
      <c r="Q46" s="377">
        <f t="shared" si="12"/>
        <v>203119.79888888888</v>
      </c>
    </row>
    <row r="47" spans="1:17" s="328" customFormat="1" ht="45" outlineLevel="2">
      <c r="A47" s="290" t="s">
        <v>56</v>
      </c>
      <c r="B47" s="318" t="s">
        <v>139</v>
      </c>
      <c r="C47" s="319"/>
      <c r="D47" s="320">
        <f t="shared" ref="D47:O47" si="20">D48-D49</f>
        <v>225367.19</v>
      </c>
      <c r="E47" s="321">
        <f t="shared" si="20"/>
        <v>292269.08</v>
      </c>
      <c r="F47" s="321">
        <f t="shared" si="20"/>
        <v>106229.96</v>
      </c>
      <c r="G47" s="321">
        <f t="shared" si="20"/>
        <v>380425.14</v>
      </c>
      <c r="H47" s="321">
        <f t="shared" si="20"/>
        <v>857381.65</v>
      </c>
      <c r="I47" s="321">
        <f t="shared" si="20"/>
        <v>582535.64</v>
      </c>
      <c r="J47" s="321">
        <f t="shared" si="20"/>
        <v>610248.06999999995</v>
      </c>
      <c r="K47" s="321">
        <f t="shared" si="20"/>
        <v>417906.18</v>
      </c>
      <c r="L47" s="321">
        <f t="shared" si="20"/>
        <v>235994.65000000002</v>
      </c>
      <c r="M47" s="321">
        <f t="shared" si="20"/>
        <v>0</v>
      </c>
      <c r="N47" s="321">
        <f t="shared" si="20"/>
        <v>0</v>
      </c>
      <c r="O47" s="322">
        <f t="shared" si="20"/>
        <v>0</v>
      </c>
      <c r="P47" s="323">
        <f t="shared" si="16"/>
        <v>3708357.56</v>
      </c>
      <c r="Q47" s="324">
        <f t="shared" si="12"/>
        <v>412039.7288888889</v>
      </c>
    </row>
    <row r="48" spans="1:17" s="328" customFormat="1" ht="39" outlineLevel="3">
      <c r="A48" s="342" t="s">
        <v>140</v>
      </c>
      <c r="B48" s="299" t="s">
        <v>141</v>
      </c>
      <c r="C48" s="300"/>
      <c r="D48" s="378">
        <v>225367.19</v>
      </c>
      <c r="E48" s="379">
        <v>292269.08</v>
      </c>
      <c r="F48" s="379">
        <v>106229.96</v>
      </c>
      <c r="G48" s="379">
        <v>380425.14</v>
      </c>
      <c r="H48" s="379">
        <v>857381.65</v>
      </c>
      <c r="I48" s="379">
        <v>582535.64</v>
      </c>
      <c r="J48" s="379">
        <v>610248.06999999995</v>
      </c>
      <c r="K48" s="379">
        <v>417906.18</v>
      </c>
      <c r="L48" s="379">
        <v>553933.65</v>
      </c>
      <c r="M48" s="379"/>
      <c r="N48" s="379"/>
      <c r="O48" s="380"/>
      <c r="P48" s="367">
        <f t="shared" si="16"/>
        <v>4026296.56</v>
      </c>
      <c r="Q48" s="368">
        <f t="shared" si="12"/>
        <v>447366.28444444446</v>
      </c>
    </row>
    <row r="49" spans="1:17" s="328" customFormat="1" ht="48.75" outlineLevel="3">
      <c r="A49" s="342" t="s">
        <v>221</v>
      </c>
      <c r="B49" s="299" t="s">
        <v>144</v>
      </c>
      <c r="C49" s="300"/>
      <c r="D49" s="378"/>
      <c r="E49" s="379"/>
      <c r="F49" s="379"/>
      <c r="G49" s="379"/>
      <c r="H49" s="379"/>
      <c r="I49" s="379"/>
      <c r="J49" s="379"/>
      <c r="K49" s="379"/>
      <c r="L49" s="379">
        <v>317939</v>
      </c>
      <c r="M49" s="379"/>
      <c r="N49" s="379"/>
      <c r="O49" s="380"/>
      <c r="P49" s="367">
        <f t="shared" si="16"/>
        <v>317939</v>
      </c>
      <c r="Q49" s="368">
        <f t="shared" si="12"/>
        <v>35326.555555555555</v>
      </c>
    </row>
    <row r="50" spans="1:17" s="328" customFormat="1" ht="45" outlineLevel="2">
      <c r="A50" s="290" t="s">
        <v>45</v>
      </c>
      <c r="B50" s="318" t="s">
        <v>146</v>
      </c>
      <c r="C50" s="319"/>
      <c r="D50" s="320">
        <f t="shared" ref="D50:O50" si="21">SUM(D51:D52)</f>
        <v>6580</v>
      </c>
      <c r="E50" s="321">
        <f t="shared" si="21"/>
        <v>3620</v>
      </c>
      <c r="F50" s="321">
        <f t="shared" si="21"/>
        <v>15270</v>
      </c>
      <c r="G50" s="321">
        <f t="shared" si="21"/>
        <v>5421</v>
      </c>
      <c r="H50" s="321">
        <f t="shared" si="21"/>
        <v>4845</v>
      </c>
      <c r="I50" s="321">
        <f t="shared" si="21"/>
        <v>9006</v>
      </c>
      <c r="J50" s="321">
        <f t="shared" si="21"/>
        <v>8372</v>
      </c>
      <c r="K50" s="321">
        <f t="shared" si="21"/>
        <v>1480</v>
      </c>
      <c r="L50" s="321">
        <f t="shared" si="21"/>
        <v>19901</v>
      </c>
      <c r="M50" s="321">
        <f t="shared" si="21"/>
        <v>0</v>
      </c>
      <c r="N50" s="321">
        <f t="shared" si="21"/>
        <v>0</v>
      </c>
      <c r="O50" s="322">
        <f t="shared" si="21"/>
        <v>0</v>
      </c>
      <c r="P50" s="323">
        <f t="shared" si="16"/>
        <v>74495</v>
      </c>
      <c r="Q50" s="324">
        <f t="shared" si="12"/>
        <v>8277.2222222222226</v>
      </c>
    </row>
    <row r="51" spans="1:17" s="328" customFormat="1" ht="11.25" outlineLevel="3">
      <c r="A51" s="325" t="s">
        <v>222</v>
      </c>
      <c r="B51" s="326"/>
      <c r="C51" s="327"/>
      <c r="D51" s="301">
        <v>6580</v>
      </c>
      <c r="E51" s="302">
        <v>3620</v>
      </c>
      <c r="F51" s="302">
        <v>15270</v>
      </c>
      <c r="G51" s="302">
        <v>5102</v>
      </c>
      <c r="H51" s="302">
        <v>4235</v>
      </c>
      <c r="I51" s="302">
        <v>9006</v>
      </c>
      <c r="J51" s="302">
        <v>7822</v>
      </c>
      <c r="K51" s="302">
        <v>1480</v>
      </c>
      <c r="L51" s="302">
        <v>19671</v>
      </c>
      <c r="M51" s="302"/>
      <c r="N51" s="302"/>
      <c r="O51" s="303"/>
      <c r="P51" s="304">
        <f t="shared" si="16"/>
        <v>72786</v>
      </c>
      <c r="Q51" s="305">
        <f t="shared" si="12"/>
        <v>8087.333333333333</v>
      </c>
    </row>
    <row r="52" spans="1:17" s="328" customFormat="1" ht="11.25" outlineLevel="3">
      <c r="A52" s="325" t="s">
        <v>223</v>
      </c>
      <c r="B52" s="326"/>
      <c r="C52" s="327"/>
      <c r="D52" s="301"/>
      <c r="E52" s="302"/>
      <c r="F52" s="302"/>
      <c r="G52" s="302">
        <v>319</v>
      </c>
      <c r="H52" s="302">
        <v>610</v>
      </c>
      <c r="I52" s="302"/>
      <c r="J52" s="302">
        <v>550</v>
      </c>
      <c r="K52" s="302"/>
      <c r="L52" s="302">
        <v>230</v>
      </c>
      <c r="M52" s="302"/>
      <c r="N52" s="302"/>
      <c r="O52" s="303"/>
      <c r="P52" s="304">
        <f t="shared" si="16"/>
        <v>1709</v>
      </c>
      <c r="Q52" s="305">
        <f t="shared" si="12"/>
        <v>189.88888888888889</v>
      </c>
    </row>
    <row r="53" spans="1:17" s="328" customFormat="1" ht="153" outlineLevel="2">
      <c r="A53" s="290" t="s">
        <v>224</v>
      </c>
      <c r="B53" s="318" t="s">
        <v>225</v>
      </c>
      <c r="C53" s="319"/>
      <c r="D53" s="320">
        <f t="shared" ref="D53:O53" si="22">SUM(D54:D59)</f>
        <v>16206.35</v>
      </c>
      <c r="E53" s="321">
        <f t="shared" si="22"/>
        <v>14359.980000000001</v>
      </c>
      <c r="F53" s="321">
        <f t="shared" si="22"/>
        <v>15836.95</v>
      </c>
      <c r="G53" s="321">
        <f t="shared" si="22"/>
        <v>12539.1</v>
      </c>
      <c r="H53" s="321">
        <f t="shared" si="22"/>
        <v>14439.5</v>
      </c>
      <c r="I53" s="321">
        <f t="shared" si="22"/>
        <v>12306.6</v>
      </c>
      <c r="J53" s="321">
        <f t="shared" si="22"/>
        <v>9013</v>
      </c>
      <c r="K53" s="321">
        <f t="shared" si="22"/>
        <v>15289</v>
      </c>
      <c r="L53" s="321">
        <f t="shared" si="22"/>
        <v>19418</v>
      </c>
      <c r="M53" s="321">
        <f t="shared" si="22"/>
        <v>1703.6</v>
      </c>
      <c r="N53" s="321">
        <f t="shared" si="22"/>
        <v>0</v>
      </c>
      <c r="O53" s="322">
        <f t="shared" si="22"/>
        <v>0</v>
      </c>
      <c r="P53" s="323">
        <f t="shared" si="16"/>
        <v>131112.08000000002</v>
      </c>
      <c r="Q53" s="324">
        <f t="shared" si="12"/>
        <v>14568.008888888891</v>
      </c>
    </row>
    <row r="54" spans="1:17" s="328" customFormat="1" ht="11.25" outlineLevel="3">
      <c r="A54" s="342" t="s">
        <v>226</v>
      </c>
      <c r="B54" s="299"/>
      <c r="C54" s="300"/>
      <c r="D54" s="306">
        <v>12131.35</v>
      </c>
      <c r="E54" s="307">
        <v>7680.38</v>
      </c>
      <c r="F54" s="307">
        <f>1273.45+10243.5</f>
        <v>11516.95</v>
      </c>
      <c r="G54" s="307">
        <v>6485.5</v>
      </c>
      <c r="H54" s="307">
        <v>8229.5</v>
      </c>
      <c r="I54" s="307">
        <v>7303</v>
      </c>
      <c r="J54" s="307">
        <v>6213</v>
      </c>
      <c r="K54" s="307">
        <v>11009</v>
      </c>
      <c r="L54" s="307">
        <v>15368</v>
      </c>
      <c r="M54" s="307"/>
      <c r="N54" s="307"/>
      <c r="O54" s="308"/>
      <c r="P54" s="304">
        <f t="shared" si="16"/>
        <v>85936.68</v>
      </c>
      <c r="Q54" s="305">
        <f t="shared" si="12"/>
        <v>9548.5199999999986</v>
      </c>
    </row>
    <row r="55" spans="1:17" s="328" customFormat="1" ht="11.25" outlineLevel="3">
      <c r="A55" s="342" t="s">
        <v>227</v>
      </c>
      <c r="B55" s="299"/>
      <c r="C55" s="300"/>
      <c r="D55" s="306">
        <v>1500</v>
      </c>
      <c r="E55" s="307">
        <v>1500</v>
      </c>
      <c r="F55" s="307">
        <v>1000</v>
      </c>
      <c r="G55" s="307">
        <v>1000</v>
      </c>
      <c r="H55" s="307">
        <v>1500</v>
      </c>
      <c r="I55" s="307">
        <v>1500</v>
      </c>
      <c r="J55" s="307">
        <v>1000</v>
      </c>
      <c r="K55" s="307">
        <v>1500</v>
      </c>
      <c r="L55" s="307">
        <v>2200</v>
      </c>
      <c r="M55" s="307"/>
      <c r="N55" s="307"/>
      <c r="O55" s="308"/>
      <c r="P55" s="304">
        <f t="shared" si="16"/>
        <v>12700</v>
      </c>
      <c r="Q55" s="305">
        <f t="shared" si="12"/>
        <v>1411.1111111111111</v>
      </c>
    </row>
    <row r="56" spans="1:17" s="328" customFormat="1" ht="11.25" outlineLevel="3">
      <c r="A56" s="342" t="s">
        <v>228</v>
      </c>
      <c r="B56" s="299"/>
      <c r="C56" s="300"/>
      <c r="D56" s="306">
        <v>2575</v>
      </c>
      <c r="E56" s="307">
        <v>2500</v>
      </c>
      <c r="F56" s="307">
        <v>2620</v>
      </c>
      <c r="G56" s="307">
        <f>2000+710+140</f>
        <v>2850</v>
      </c>
      <c r="H56" s="307">
        <f>2000+710+1000+1000</f>
        <v>4710</v>
      </c>
      <c r="I56" s="307">
        <f>800+1000</f>
        <v>1800</v>
      </c>
      <c r="J56" s="307">
        <v>1800</v>
      </c>
      <c r="K56" s="307">
        <f>1000+1780</f>
        <v>2780</v>
      </c>
      <c r="L56" s="307">
        <v>1850</v>
      </c>
      <c r="M56" s="307"/>
      <c r="N56" s="307"/>
      <c r="O56" s="308"/>
      <c r="P56" s="304">
        <f t="shared" si="16"/>
        <v>23485</v>
      </c>
      <c r="Q56" s="305">
        <f t="shared" si="12"/>
        <v>2609.4444444444443</v>
      </c>
    </row>
    <row r="57" spans="1:17" s="328" customFormat="1" ht="11.25" outlineLevel="3">
      <c r="A57" s="342" t="s">
        <v>229</v>
      </c>
      <c r="B57" s="299"/>
      <c r="C57" s="300"/>
      <c r="D57" s="306"/>
      <c r="E57" s="307">
        <v>1703.6</v>
      </c>
      <c r="F57" s="307"/>
      <c r="G57" s="307">
        <v>1703.6</v>
      </c>
      <c r="H57" s="307"/>
      <c r="I57" s="307">
        <v>1703.6</v>
      </c>
      <c r="J57" s="307"/>
      <c r="K57" s="307"/>
      <c r="L57" s="307"/>
      <c r="M57" s="307">
        <v>1703.6</v>
      </c>
      <c r="N57" s="307"/>
      <c r="O57" s="308"/>
      <c r="P57" s="304">
        <f t="shared" si="16"/>
        <v>6814.4</v>
      </c>
      <c r="Q57" s="305">
        <f t="shared" si="12"/>
        <v>757.15555555555557</v>
      </c>
    </row>
    <row r="58" spans="1:17" s="328" customFormat="1" ht="11.25" outlineLevel="3">
      <c r="A58" s="342" t="s">
        <v>230</v>
      </c>
      <c r="B58" s="299"/>
      <c r="C58" s="300"/>
      <c r="D58" s="306"/>
      <c r="E58" s="307">
        <v>976</v>
      </c>
      <c r="F58" s="307">
        <v>700</v>
      </c>
      <c r="G58" s="307">
        <v>500</v>
      </c>
      <c r="H58" s="307"/>
      <c r="I58" s="307"/>
      <c r="J58" s="307"/>
      <c r="K58" s="307"/>
      <c r="L58" s="307"/>
      <c r="M58" s="307"/>
      <c r="N58" s="307"/>
      <c r="O58" s="308"/>
      <c r="P58" s="304">
        <f t="shared" si="16"/>
        <v>2176</v>
      </c>
      <c r="Q58" s="305">
        <f t="shared" si="12"/>
        <v>241.77777777777777</v>
      </c>
    </row>
    <row r="59" spans="1:17" s="297" customFormat="1" ht="11.25" outlineLevel="3">
      <c r="A59" s="342"/>
      <c r="B59" s="299"/>
      <c r="C59" s="300"/>
      <c r="D59" s="306"/>
      <c r="E59" s="307"/>
      <c r="F59" s="307"/>
      <c r="G59" s="307"/>
      <c r="H59" s="307"/>
      <c r="I59" s="307"/>
      <c r="J59" s="307"/>
      <c r="K59" s="307"/>
      <c r="L59" s="307"/>
      <c r="M59" s="307"/>
      <c r="N59" s="307"/>
      <c r="O59" s="308"/>
      <c r="P59" s="304">
        <f t="shared" si="16"/>
        <v>0</v>
      </c>
      <c r="Q59" s="305">
        <f t="shared" si="12"/>
        <v>0</v>
      </c>
    </row>
    <row r="60" spans="1:17" ht="409.5" outlineLevel="2">
      <c r="A60" s="290" t="s">
        <v>151</v>
      </c>
      <c r="B60" s="318" t="s">
        <v>231</v>
      </c>
      <c r="C60" s="319"/>
      <c r="D60" s="320">
        <f t="shared" ref="D60:O60" si="23">SUM(D61:D64)</f>
        <v>0</v>
      </c>
      <c r="E60" s="321">
        <f t="shared" si="23"/>
        <v>0</v>
      </c>
      <c r="F60" s="321">
        <f t="shared" si="23"/>
        <v>22376.9</v>
      </c>
      <c r="G60" s="321">
        <f t="shared" si="23"/>
        <v>0</v>
      </c>
      <c r="H60" s="321">
        <f t="shared" si="23"/>
        <v>0</v>
      </c>
      <c r="I60" s="321">
        <f t="shared" si="23"/>
        <v>3500</v>
      </c>
      <c r="J60" s="321">
        <f t="shared" si="23"/>
        <v>36528.5</v>
      </c>
      <c r="K60" s="321">
        <f t="shared" si="23"/>
        <v>1570</v>
      </c>
      <c r="L60" s="321">
        <f t="shared" si="23"/>
        <v>32577.4</v>
      </c>
      <c r="M60" s="321">
        <f t="shared" si="23"/>
        <v>0</v>
      </c>
      <c r="N60" s="321">
        <f t="shared" si="23"/>
        <v>0</v>
      </c>
      <c r="O60" s="322">
        <f t="shared" si="23"/>
        <v>0</v>
      </c>
      <c r="P60" s="323">
        <f t="shared" si="16"/>
        <v>96552.8</v>
      </c>
      <c r="Q60" s="324">
        <f t="shared" si="12"/>
        <v>10728.088888888889</v>
      </c>
    </row>
    <row r="61" spans="1:17" ht="11.25" outlineLevel="3">
      <c r="A61" s="325" t="s">
        <v>232</v>
      </c>
      <c r="B61" s="326"/>
      <c r="C61" s="327"/>
      <c r="D61" s="301"/>
      <c r="E61" s="302"/>
      <c r="F61" s="302">
        <v>21601.9</v>
      </c>
      <c r="G61" s="302"/>
      <c r="H61" s="302"/>
      <c r="I61" s="302"/>
      <c r="J61" s="302">
        <v>23260.6</v>
      </c>
      <c r="K61" s="302"/>
      <c r="L61" s="302">
        <v>31028.400000000001</v>
      </c>
      <c r="M61" s="302"/>
      <c r="N61" s="302"/>
      <c r="O61" s="303"/>
      <c r="P61" s="304">
        <f t="shared" si="16"/>
        <v>75890.899999999994</v>
      </c>
      <c r="Q61" s="305">
        <f t="shared" si="12"/>
        <v>8432.3222222222212</v>
      </c>
    </row>
    <row r="62" spans="1:17" ht="11.25" outlineLevel="3">
      <c r="A62" s="325" t="s">
        <v>233</v>
      </c>
      <c r="B62" s="326"/>
      <c r="C62" s="327"/>
      <c r="D62" s="301"/>
      <c r="E62" s="302"/>
      <c r="F62" s="302">
        <f>365+410</f>
        <v>775</v>
      </c>
      <c r="G62" s="302"/>
      <c r="H62" s="302"/>
      <c r="I62" s="302"/>
      <c r="J62" s="302">
        <v>350</v>
      </c>
      <c r="K62" s="302">
        <v>1570</v>
      </c>
      <c r="L62" s="302">
        <f>260+440+230+220+399</f>
        <v>1549</v>
      </c>
      <c r="M62" s="302"/>
      <c r="N62" s="302"/>
      <c r="O62" s="303"/>
      <c r="P62" s="304">
        <f t="shared" si="16"/>
        <v>4244</v>
      </c>
      <c r="Q62" s="305">
        <f t="shared" ref="Q62:Q93" si="24">P62/$Q$1</f>
        <v>471.55555555555554</v>
      </c>
    </row>
    <row r="63" spans="1:17" ht="11.25" outlineLevel="3">
      <c r="A63" s="325" t="s">
        <v>234</v>
      </c>
      <c r="B63" s="326"/>
      <c r="C63" s="327"/>
      <c r="D63" s="301"/>
      <c r="E63" s="302"/>
      <c r="F63" s="302"/>
      <c r="G63" s="302"/>
      <c r="H63" s="302"/>
      <c r="I63" s="302">
        <v>3500</v>
      </c>
      <c r="J63" s="302">
        <f>11167.9+1750</f>
        <v>12917.9</v>
      </c>
      <c r="K63" s="302"/>
      <c r="L63" s="302"/>
      <c r="M63" s="302"/>
      <c r="N63" s="302"/>
      <c r="O63" s="303"/>
      <c r="P63" s="304">
        <f t="shared" si="16"/>
        <v>16417.900000000001</v>
      </c>
      <c r="Q63" s="305">
        <f t="shared" si="24"/>
        <v>1824.2111111111112</v>
      </c>
    </row>
    <row r="64" spans="1:17" ht="11.25" outlineLevel="3">
      <c r="A64" s="325"/>
      <c r="B64" s="326"/>
      <c r="C64" s="327"/>
      <c r="D64" s="301"/>
      <c r="E64" s="302"/>
      <c r="F64" s="302"/>
      <c r="G64" s="302"/>
      <c r="H64" s="302"/>
      <c r="I64" s="302"/>
      <c r="J64" s="302"/>
      <c r="K64" s="302"/>
      <c r="L64" s="302"/>
      <c r="M64" s="302"/>
      <c r="N64" s="302"/>
      <c r="O64" s="303"/>
      <c r="P64" s="304">
        <f t="shared" si="16"/>
        <v>0</v>
      </c>
      <c r="Q64" s="305">
        <f t="shared" si="24"/>
        <v>0</v>
      </c>
    </row>
    <row r="65" spans="1:17" ht="117" outlineLevel="2">
      <c r="A65" s="290" t="s">
        <v>43</v>
      </c>
      <c r="B65" s="318" t="s">
        <v>235</v>
      </c>
      <c r="C65" s="319"/>
      <c r="D65" s="320">
        <f t="shared" ref="D65:O65" si="25">SUM(D66:D71)</f>
        <v>14530</v>
      </c>
      <c r="E65" s="321">
        <f t="shared" si="25"/>
        <v>13235.03</v>
      </c>
      <c r="F65" s="321">
        <f t="shared" si="25"/>
        <v>74596.61</v>
      </c>
      <c r="G65" s="321">
        <f t="shared" si="25"/>
        <v>29613.690000000002</v>
      </c>
      <c r="H65" s="321">
        <f t="shared" si="25"/>
        <v>73999.61</v>
      </c>
      <c r="I65" s="321">
        <f t="shared" si="25"/>
        <v>40829.57</v>
      </c>
      <c r="J65" s="321">
        <f t="shared" si="25"/>
        <v>31961.279999999999</v>
      </c>
      <c r="K65" s="321">
        <f t="shared" si="25"/>
        <v>101773.91</v>
      </c>
      <c r="L65" s="321">
        <f t="shared" si="25"/>
        <v>34996.81</v>
      </c>
      <c r="M65" s="321">
        <f t="shared" si="25"/>
        <v>0</v>
      </c>
      <c r="N65" s="321">
        <f t="shared" si="25"/>
        <v>0</v>
      </c>
      <c r="O65" s="322">
        <f t="shared" si="25"/>
        <v>0</v>
      </c>
      <c r="P65" s="323">
        <f t="shared" si="16"/>
        <v>415536.51000000007</v>
      </c>
      <c r="Q65" s="324">
        <f t="shared" si="24"/>
        <v>46170.723333333342</v>
      </c>
    </row>
    <row r="66" spans="1:17" ht="11.25" outlineLevel="3">
      <c r="A66" s="325" t="s">
        <v>236</v>
      </c>
      <c r="B66" s="326"/>
      <c r="C66" s="327"/>
      <c r="D66" s="301">
        <v>1520</v>
      </c>
      <c r="E66" s="302">
        <v>2185</v>
      </c>
      <c r="F66" s="302">
        <v>2950</v>
      </c>
      <c r="G66" s="302">
        <v>2700</v>
      </c>
      <c r="H66" s="302">
        <v>2400</v>
      </c>
      <c r="I66" s="302">
        <v>3900</v>
      </c>
      <c r="J66" s="302">
        <v>6780</v>
      </c>
      <c r="K66" s="302">
        <v>4700</v>
      </c>
      <c r="L66" s="302">
        <v>3300</v>
      </c>
      <c r="M66" s="302"/>
      <c r="N66" s="302"/>
      <c r="O66" s="303"/>
      <c r="P66" s="304">
        <f t="shared" si="16"/>
        <v>30435</v>
      </c>
      <c r="Q66" s="305">
        <f t="shared" si="24"/>
        <v>3381.6666666666665</v>
      </c>
    </row>
    <row r="67" spans="1:17" s="381" customFormat="1" ht="11.25" outlineLevel="3">
      <c r="A67" s="325" t="s">
        <v>237</v>
      </c>
      <c r="B67" s="326"/>
      <c r="C67" s="327"/>
      <c r="D67" s="301"/>
      <c r="E67" s="302"/>
      <c r="F67" s="302"/>
      <c r="G67" s="302"/>
      <c r="H67" s="302"/>
      <c r="I67" s="302">
        <v>30000</v>
      </c>
      <c r="J67" s="302">
        <v>10000</v>
      </c>
      <c r="K67" s="302">
        <v>10000</v>
      </c>
      <c r="L67" s="302">
        <v>10000</v>
      </c>
      <c r="M67" s="302"/>
      <c r="N67" s="302"/>
      <c r="O67" s="303"/>
      <c r="P67" s="304">
        <f t="shared" ref="P67:P98" si="26">SUM(D67:O67)</f>
        <v>60000</v>
      </c>
      <c r="Q67" s="305">
        <f t="shared" si="24"/>
        <v>6666.666666666667</v>
      </c>
    </row>
    <row r="68" spans="1:17" s="382" customFormat="1" ht="11.25" outlineLevel="3">
      <c r="A68" s="325" t="s">
        <v>238</v>
      </c>
      <c r="B68" s="326"/>
      <c r="C68" s="327"/>
      <c r="D68" s="301">
        <v>1080</v>
      </c>
      <c r="E68" s="302">
        <v>2090.0300000000002</v>
      </c>
      <c r="F68" s="302">
        <v>2961.61</v>
      </c>
      <c r="G68" s="302">
        <v>2353.69</v>
      </c>
      <c r="H68" s="302">
        <v>2454.61</v>
      </c>
      <c r="I68" s="302">
        <v>2169.5700000000002</v>
      </c>
      <c r="J68" s="302">
        <v>2261.2800000000002</v>
      </c>
      <c r="K68" s="302">
        <v>2388.91</v>
      </c>
      <c r="L68" s="302">
        <v>2246.81</v>
      </c>
      <c r="M68" s="302"/>
      <c r="N68" s="302"/>
      <c r="O68" s="303"/>
      <c r="P68" s="304">
        <f t="shared" si="26"/>
        <v>20006.510000000002</v>
      </c>
      <c r="Q68" s="305">
        <f t="shared" si="24"/>
        <v>2222.945555555556</v>
      </c>
    </row>
    <row r="69" spans="1:17" s="382" customFormat="1" ht="11.25" outlineLevel="3">
      <c r="A69" s="325" t="s">
        <v>166</v>
      </c>
      <c r="B69" s="326"/>
      <c r="C69" s="327"/>
      <c r="D69" s="301"/>
      <c r="E69" s="302"/>
      <c r="F69" s="302">
        <v>58225</v>
      </c>
      <c r="G69" s="302"/>
      <c r="H69" s="302">
        <v>58225</v>
      </c>
      <c r="I69" s="302"/>
      <c r="J69" s="302"/>
      <c r="K69" s="302">
        <v>58225</v>
      </c>
      <c r="L69" s="302"/>
      <c r="M69" s="302"/>
      <c r="N69" s="302"/>
      <c r="O69" s="303"/>
      <c r="P69" s="304">
        <f t="shared" si="26"/>
        <v>174675</v>
      </c>
      <c r="Q69" s="305">
        <f t="shared" si="24"/>
        <v>19408.333333333332</v>
      </c>
    </row>
    <row r="70" spans="1:17" s="382" customFormat="1" ht="11.25" outlineLevel="3">
      <c r="A70" s="325" t="s">
        <v>239</v>
      </c>
      <c r="B70" s="326"/>
      <c r="C70" s="327"/>
      <c r="D70" s="301">
        <v>11930</v>
      </c>
      <c r="E70" s="302">
        <v>8960</v>
      </c>
      <c r="F70" s="302">
        <v>10460</v>
      </c>
      <c r="G70" s="302">
        <v>24560</v>
      </c>
      <c r="H70" s="302">
        <v>10920</v>
      </c>
      <c r="I70" s="302">
        <v>4760</v>
      </c>
      <c r="J70" s="302">
        <v>12920</v>
      </c>
      <c r="K70" s="302">
        <v>26460</v>
      </c>
      <c r="L70" s="302">
        <v>19450</v>
      </c>
      <c r="M70" s="302"/>
      <c r="N70" s="302"/>
      <c r="O70" s="303"/>
      <c r="P70" s="304">
        <f t="shared" si="26"/>
        <v>130420</v>
      </c>
      <c r="Q70" s="305">
        <f t="shared" si="24"/>
        <v>14491.111111111111</v>
      </c>
    </row>
    <row r="71" spans="1:17" s="382" customFormat="1" ht="11.25" outlineLevel="3">
      <c r="A71" s="329"/>
      <c r="B71" s="330"/>
      <c r="C71" s="331"/>
      <c r="D71" s="332"/>
      <c r="E71" s="333"/>
      <c r="F71" s="333"/>
      <c r="G71" s="333"/>
      <c r="H71" s="333"/>
      <c r="I71" s="333"/>
      <c r="J71" s="333"/>
      <c r="K71" s="333"/>
      <c r="L71" s="333"/>
      <c r="M71" s="333"/>
      <c r="N71" s="333"/>
      <c r="O71" s="334"/>
      <c r="P71" s="335">
        <f t="shared" si="26"/>
        <v>0</v>
      </c>
      <c r="Q71" s="336">
        <f t="shared" si="24"/>
        <v>0</v>
      </c>
    </row>
    <row r="72" spans="1:17" s="382" customFormat="1" ht="117" outlineLevel="1">
      <c r="A72" s="283" t="s">
        <v>240</v>
      </c>
      <c r="B72" s="284" t="s">
        <v>241</v>
      </c>
      <c r="C72" s="285"/>
      <c r="D72" s="286">
        <f t="shared" ref="D72:O72" si="27">SUM(D73,D89,D125,D138,D151,D158,D161,D164)</f>
        <v>42477.959999999992</v>
      </c>
      <c r="E72" s="287">
        <f t="shared" si="27"/>
        <v>50914.720000000001</v>
      </c>
      <c r="F72" s="287">
        <f t="shared" si="27"/>
        <v>64956.97</v>
      </c>
      <c r="G72" s="287">
        <f t="shared" si="27"/>
        <v>42254.59</v>
      </c>
      <c r="H72" s="287">
        <f t="shared" si="27"/>
        <v>106280.56</v>
      </c>
      <c r="I72" s="287">
        <f t="shared" si="27"/>
        <v>40485.870000000003</v>
      </c>
      <c r="J72" s="287">
        <f t="shared" si="27"/>
        <v>45525.19</v>
      </c>
      <c r="K72" s="287">
        <f t="shared" si="27"/>
        <v>128215.12</v>
      </c>
      <c r="L72" s="287">
        <f t="shared" si="27"/>
        <v>81691.539999999994</v>
      </c>
      <c r="M72" s="287">
        <f t="shared" si="27"/>
        <v>8472.5999999999985</v>
      </c>
      <c r="N72" s="287">
        <f t="shared" si="27"/>
        <v>0</v>
      </c>
      <c r="O72" s="288">
        <f t="shared" si="27"/>
        <v>0</v>
      </c>
      <c r="P72" s="120">
        <f t="shared" si="26"/>
        <v>611275.12</v>
      </c>
      <c r="Q72" s="289">
        <f t="shared" si="24"/>
        <v>67919.457777777774</v>
      </c>
    </row>
    <row r="73" spans="1:17" s="382" customFormat="1" ht="279" outlineLevel="2">
      <c r="A73" s="290" t="s">
        <v>40</v>
      </c>
      <c r="B73" s="318" t="s">
        <v>172</v>
      </c>
      <c r="C73" s="319"/>
      <c r="D73" s="320">
        <f t="shared" ref="D73:O73" si="28">SUM(D74:D88)</f>
        <v>14293.91</v>
      </c>
      <c r="E73" s="321">
        <f t="shared" si="28"/>
        <v>8044</v>
      </c>
      <c r="F73" s="321">
        <f t="shared" si="28"/>
        <v>43097.2</v>
      </c>
      <c r="G73" s="321">
        <f t="shared" si="28"/>
        <v>30020</v>
      </c>
      <c r="H73" s="321">
        <f t="shared" si="28"/>
        <v>0</v>
      </c>
      <c r="I73" s="321">
        <f t="shared" si="28"/>
        <v>19096</v>
      </c>
      <c r="J73" s="321">
        <f t="shared" si="28"/>
        <v>2250</v>
      </c>
      <c r="K73" s="321">
        <f t="shared" si="28"/>
        <v>88028.91</v>
      </c>
      <c r="L73" s="321">
        <f t="shared" si="28"/>
        <v>50796</v>
      </c>
      <c r="M73" s="321">
        <f t="shared" si="28"/>
        <v>0</v>
      </c>
      <c r="N73" s="321">
        <f t="shared" si="28"/>
        <v>0</v>
      </c>
      <c r="O73" s="322">
        <f t="shared" si="28"/>
        <v>0</v>
      </c>
      <c r="P73" s="323">
        <f t="shared" si="26"/>
        <v>255626.02000000002</v>
      </c>
      <c r="Q73" s="324">
        <f t="shared" si="24"/>
        <v>28402.891111111112</v>
      </c>
    </row>
    <row r="74" spans="1:17" s="328" customFormat="1" ht="11.25" outlineLevel="3">
      <c r="A74" s="325" t="s">
        <v>242</v>
      </c>
      <c r="B74" s="326"/>
      <c r="C74" s="327"/>
      <c r="D74" s="301">
        <v>1536.36</v>
      </c>
      <c r="E74" s="302"/>
      <c r="F74" s="302"/>
      <c r="G74" s="302"/>
      <c r="H74" s="302"/>
      <c r="I74" s="302"/>
      <c r="J74" s="302"/>
      <c r="K74" s="302"/>
      <c r="L74" s="302"/>
      <c r="M74" s="302"/>
      <c r="N74" s="302"/>
      <c r="O74" s="303"/>
      <c r="P74" s="304">
        <f t="shared" si="26"/>
        <v>1536.36</v>
      </c>
      <c r="Q74" s="305">
        <f t="shared" si="24"/>
        <v>170.70666666666665</v>
      </c>
    </row>
    <row r="75" spans="1:17" s="328" customFormat="1" ht="11.25" outlineLevel="3">
      <c r="A75" s="325" t="s">
        <v>243</v>
      </c>
      <c r="B75" s="326"/>
      <c r="C75" s="327"/>
      <c r="D75" s="301">
        <v>12757.55</v>
      </c>
      <c r="E75" s="302"/>
      <c r="F75" s="302"/>
      <c r="G75" s="302"/>
      <c r="H75" s="302"/>
      <c r="I75" s="302"/>
      <c r="J75" s="302"/>
      <c r="K75" s="302"/>
      <c r="L75" s="302"/>
      <c r="M75" s="302"/>
      <c r="N75" s="302"/>
      <c r="O75" s="303"/>
      <c r="P75" s="304">
        <f t="shared" si="26"/>
        <v>12757.55</v>
      </c>
      <c r="Q75" s="305">
        <f t="shared" si="24"/>
        <v>1417.5055555555555</v>
      </c>
    </row>
    <row r="76" spans="1:17" s="328" customFormat="1" ht="11.25" outlineLevel="3">
      <c r="A76" s="325" t="s">
        <v>244</v>
      </c>
      <c r="B76" s="326"/>
      <c r="C76" s="327"/>
      <c r="D76" s="301"/>
      <c r="E76" s="302">
        <v>6544</v>
      </c>
      <c r="F76" s="302"/>
      <c r="G76" s="302"/>
      <c r="H76" s="302"/>
      <c r="I76" s="302"/>
      <c r="J76" s="302"/>
      <c r="K76" s="302"/>
      <c r="L76" s="302"/>
      <c r="M76" s="302"/>
      <c r="N76" s="302"/>
      <c r="O76" s="303"/>
      <c r="P76" s="304">
        <f t="shared" si="26"/>
        <v>6544</v>
      </c>
      <c r="Q76" s="305">
        <f t="shared" si="24"/>
        <v>727.11111111111109</v>
      </c>
    </row>
    <row r="77" spans="1:17" s="328" customFormat="1" ht="11.25" outlineLevel="3">
      <c r="A77" s="325" t="s">
        <v>245</v>
      </c>
      <c r="B77" s="326"/>
      <c r="C77" s="327"/>
      <c r="D77" s="301"/>
      <c r="E77" s="302">
        <v>1500</v>
      </c>
      <c r="F77" s="302"/>
      <c r="G77" s="302">
        <v>2000</v>
      </c>
      <c r="H77" s="302"/>
      <c r="I77" s="302">
        <f>2000+2000</f>
        <v>4000</v>
      </c>
      <c r="J77" s="302"/>
      <c r="K77" s="302"/>
      <c r="L77" s="302"/>
      <c r="M77" s="302"/>
      <c r="N77" s="302"/>
      <c r="O77" s="303"/>
      <c r="P77" s="304">
        <f t="shared" si="26"/>
        <v>7500</v>
      </c>
      <c r="Q77" s="305">
        <f t="shared" si="24"/>
        <v>833.33333333333337</v>
      </c>
    </row>
    <row r="78" spans="1:17" s="328" customFormat="1" ht="11.25" outlineLevel="3">
      <c r="A78" s="325" t="s">
        <v>246</v>
      </c>
      <c r="B78" s="326"/>
      <c r="C78" s="327"/>
      <c r="D78" s="301"/>
      <c r="E78" s="302"/>
      <c r="F78" s="302">
        <v>21312</v>
      </c>
      <c r="G78" s="302"/>
      <c r="H78" s="302"/>
      <c r="I78" s="302"/>
      <c r="J78" s="302"/>
      <c r="K78" s="302"/>
      <c r="L78" s="302"/>
      <c r="M78" s="302"/>
      <c r="N78" s="302"/>
      <c r="O78" s="303"/>
      <c r="P78" s="304">
        <f t="shared" si="26"/>
        <v>21312</v>
      </c>
      <c r="Q78" s="305">
        <f t="shared" si="24"/>
        <v>2368</v>
      </c>
    </row>
    <row r="79" spans="1:17" s="328" customFormat="1" ht="11.25" outlineLevel="3">
      <c r="A79" s="325" t="s">
        <v>247</v>
      </c>
      <c r="B79" s="326"/>
      <c r="C79" s="327"/>
      <c r="D79" s="301"/>
      <c r="E79" s="302"/>
      <c r="F79" s="302">
        <v>8189.2</v>
      </c>
      <c r="G79" s="302"/>
      <c r="H79" s="302"/>
      <c r="I79" s="302"/>
      <c r="J79" s="302"/>
      <c r="K79" s="302">
        <v>23180.91</v>
      </c>
      <c r="L79" s="302"/>
      <c r="M79" s="302"/>
      <c r="N79" s="302"/>
      <c r="O79" s="303"/>
      <c r="P79" s="304">
        <f t="shared" si="26"/>
        <v>31370.11</v>
      </c>
      <c r="Q79" s="305">
        <f t="shared" si="24"/>
        <v>3485.5677777777778</v>
      </c>
    </row>
    <row r="80" spans="1:17" s="328" customFormat="1" ht="22.5" outlineLevel="3">
      <c r="A80" s="325" t="s">
        <v>248</v>
      </c>
      <c r="B80" s="326"/>
      <c r="C80" s="327"/>
      <c r="D80" s="301"/>
      <c r="E80" s="302"/>
      <c r="F80" s="302">
        <v>13596</v>
      </c>
      <c r="G80" s="302"/>
      <c r="H80" s="302"/>
      <c r="I80" s="302">
        <v>13596</v>
      </c>
      <c r="J80" s="302"/>
      <c r="K80" s="302"/>
      <c r="L80" s="302">
        <v>13596</v>
      </c>
      <c r="M80" s="302"/>
      <c r="N80" s="302"/>
      <c r="O80" s="303"/>
      <c r="P80" s="304">
        <f t="shared" si="26"/>
        <v>40788</v>
      </c>
      <c r="Q80" s="305">
        <f t="shared" si="24"/>
        <v>4532</v>
      </c>
    </row>
    <row r="81" spans="1:17" s="328" customFormat="1" ht="11.25" outlineLevel="3">
      <c r="A81" s="325" t="s">
        <v>249</v>
      </c>
      <c r="B81" s="326"/>
      <c r="C81" s="327"/>
      <c r="D81" s="301"/>
      <c r="E81" s="302"/>
      <c r="F81" s="302"/>
      <c r="G81" s="302">
        <v>28020</v>
      </c>
      <c r="H81" s="302"/>
      <c r="I81" s="302"/>
      <c r="J81" s="302"/>
      <c r="K81" s="302"/>
      <c r="L81" s="302"/>
      <c r="M81" s="302"/>
      <c r="N81" s="302"/>
      <c r="O81" s="303"/>
      <c r="P81" s="304">
        <f t="shared" si="26"/>
        <v>28020</v>
      </c>
      <c r="Q81" s="305">
        <f t="shared" si="24"/>
        <v>3113.3333333333335</v>
      </c>
    </row>
    <row r="82" spans="1:17" s="328" customFormat="1" ht="22.5" outlineLevel="3">
      <c r="A82" s="325" t="s">
        <v>250</v>
      </c>
      <c r="B82" s="326"/>
      <c r="C82" s="327"/>
      <c r="D82" s="301"/>
      <c r="E82" s="302"/>
      <c r="F82" s="302"/>
      <c r="G82" s="302"/>
      <c r="H82" s="302"/>
      <c r="I82" s="302">
        <v>1500</v>
      </c>
      <c r="J82" s="302">
        <v>2250</v>
      </c>
      <c r="K82" s="302"/>
      <c r="L82" s="302"/>
      <c r="M82" s="302"/>
      <c r="N82" s="302"/>
      <c r="O82" s="303"/>
      <c r="P82" s="304">
        <f t="shared" si="26"/>
        <v>3750</v>
      </c>
      <c r="Q82" s="305">
        <f t="shared" si="24"/>
        <v>416.66666666666669</v>
      </c>
    </row>
    <row r="83" spans="1:17" s="328" customFormat="1" ht="11.25" outlineLevel="3">
      <c r="A83" s="325" t="s">
        <v>251</v>
      </c>
      <c r="B83" s="326"/>
      <c r="C83" s="327"/>
      <c r="D83" s="301"/>
      <c r="E83" s="302"/>
      <c r="F83" s="302"/>
      <c r="G83" s="302"/>
      <c r="H83" s="302"/>
      <c r="I83" s="302"/>
      <c r="J83" s="302"/>
      <c r="K83" s="302">
        <v>27848</v>
      </c>
      <c r="L83" s="302"/>
      <c r="M83" s="302"/>
      <c r="N83" s="302"/>
      <c r="O83" s="303"/>
      <c r="P83" s="304">
        <f t="shared" si="26"/>
        <v>27848</v>
      </c>
      <c r="Q83" s="305">
        <f t="shared" si="24"/>
        <v>3094.2222222222222</v>
      </c>
    </row>
    <row r="84" spans="1:17" s="328" customFormat="1" ht="11.25" outlineLevel="3">
      <c r="A84" s="325" t="s">
        <v>252</v>
      </c>
      <c r="B84" s="326"/>
      <c r="C84" s="327"/>
      <c r="D84" s="301"/>
      <c r="E84" s="302"/>
      <c r="F84" s="302"/>
      <c r="G84" s="302"/>
      <c r="H84" s="302"/>
      <c r="I84" s="302"/>
      <c r="J84" s="302"/>
      <c r="K84" s="302">
        <v>20000</v>
      </c>
      <c r="L84" s="302"/>
      <c r="M84" s="302"/>
      <c r="N84" s="302"/>
      <c r="O84" s="303"/>
      <c r="P84" s="304">
        <f t="shared" si="26"/>
        <v>20000</v>
      </c>
      <c r="Q84" s="305">
        <f t="shared" si="24"/>
        <v>2222.2222222222222</v>
      </c>
    </row>
    <row r="85" spans="1:17" s="328" customFormat="1" ht="11.25" outlineLevel="3">
      <c r="A85" s="325" t="s">
        <v>253</v>
      </c>
      <c r="B85" s="326"/>
      <c r="C85" s="327"/>
      <c r="D85" s="301"/>
      <c r="E85" s="302"/>
      <c r="F85" s="302"/>
      <c r="G85" s="302"/>
      <c r="H85" s="302"/>
      <c r="I85" s="302"/>
      <c r="J85" s="302"/>
      <c r="K85" s="302"/>
      <c r="L85" s="302">
        <v>15000</v>
      </c>
      <c r="M85" s="302"/>
      <c r="N85" s="302"/>
      <c r="O85" s="303"/>
      <c r="P85" s="304">
        <f t="shared" si="26"/>
        <v>15000</v>
      </c>
      <c r="Q85" s="305">
        <f t="shared" si="24"/>
        <v>1666.6666666666667</v>
      </c>
    </row>
    <row r="86" spans="1:17" s="328" customFormat="1" ht="11.25" outlineLevel="3">
      <c r="A86" s="325" t="s">
        <v>254</v>
      </c>
      <c r="B86" s="326"/>
      <c r="C86" s="327"/>
      <c r="D86" s="301"/>
      <c r="E86" s="302"/>
      <c r="F86" s="302"/>
      <c r="G86" s="302"/>
      <c r="H86" s="302"/>
      <c r="I86" s="302"/>
      <c r="J86" s="302"/>
      <c r="K86" s="302"/>
      <c r="L86" s="302">
        <v>22200</v>
      </c>
      <c r="M86" s="302"/>
      <c r="N86" s="302"/>
      <c r="O86" s="303"/>
      <c r="P86" s="304">
        <f t="shared" si="26"/>
        <v>22200</v>
      </c>
      <c r="Q86" s="305">
        <f t="shared" si="24"/>
        <v>2466.6666666666665</v>
      </c>
    </row>
    <row r="87" spans="1:17" s="328" customFormat="1" ht="11.25" outlineLevel="3">
      <c r="A87" s="325" t="s">
        <v>255</v>
      </c>
      <c r="B87" s="326"/>
      <c r="C87" s="327"/>
      <c r="D87" s="301"/>
      <c r="E87" s="302"/>
      <c r="F87" s="302"/>
      <c r="G87" s="302"/>
      <c r="H87" s="302"/>
      <c r="I87" s="302"/>
      <c r="J87" s="302"/>
      <c r="K87" s="302">
        <v>17000</v>
      </c>
      <c r="L87" s="302"/>
      <c r="M87" s="302"/>
      <c r="N87" s="302"/>
      <c r="O87" s="303"/>
      <c r="P87" s="304">
        <f t="shared" si="26"/>
        <v>17000</v>
      </c>
      <c r="Q87" s="305">
        <f t="shared" si="24"/>
        <v>1888.8888888888889</v>
      </c>
    </row>
    <row r="88" spans="1:17" s="328" customFormat="1" ht="11.25" outlineLevel="3">
      <c r="A88" s="325"/>
      <c r="B88" s="326"/>
      <c r="C88" s="327"/>
      <c r="D88" s="301"/>
      <c r="E88" s="302"/>
      <c r="F88" s="302"/>
      <c r="G88" s="302"/>
      <c r="H88" s="302"/>
      <c r="I88" s="302"/>
      <c r="J88" s="302"/>
      <c r="K88" s="302"/>
      <c r="L88" s="302"/>
      <c r="M88" s="302"/>
      <c r="N88" s="302"/>
      <c r="O88" s="303"/>
      <c r="P88" s="304">
        <f t="shared" si="26"/>
        <v>0</v>
      </c>
      <c r="Q88" s="305">
        <f t="shared" si="24"/>
        <v>0</v>
      </c>
    </row>
    <row r="89" spans="1:17" s="382" customFormat="1" ht="409.5" outlineLevel="2">
      <c r="A89" s="290" t="s">
        <v>41</v>
      </c>
      <c r="B89" s="318" t="s">
        <v>256</v>
      </c>
      <c r="C89" s="319"/>
      <c r="D89" s="320">
        <f t="shared" ref="D89:O89" si="29">SUM(D90:D124)</f>
        <v>13076.31</v>
      </c>
      <c r="E89" s="321">
        <f t="shared" si="29"/>
        <v>14532.94</v>
      </c>
      <c r="F89" s="321">
        <f t="shared" si="29"/>
        <v>9299.380000000001</v>
      </c>
      <c r="G89" s="321">
        <f t="shared" si="29"/>
        <v>3160</v>
      </c>
      <c r="H89" s="321">
        <f t="shared" si="29"/>
        <v>43657.14</v>
      </c>
      <c r="I89" s="321">
        <f t="shared" si="29"/>
        <v>17199.25</v>
      </c>
      <c r="J89" s="321">
        <f t="shared" si="29"/>
        <v>18438.400000000001</v>
      </c>
      <c r="K89" s="321">
        <f t="shared" si="29"/>
        <v>20951.669999999998</v>
      </c>
      <c r="L89" s="321">
        <f t="shared" si="29"/>
        <v>24084.28</v>
      </c>
      <c r="M89" s="321">
        <f t="shared" si="29"/>
        <v>0</v>
      </c>
      <c r="N89" s="321">
        <f t="shared" si="29"/>
        <v>0</v>
      </c>
      <c r="O89" s="322">
        <f t="shared" si="29"/>
        <v>0</v>
      </c>
      <c r="P89" s="323">
        <f t="shared" si="26"/>
        <v>164399.37000000002</v>
      </c>
      <c r="Q89" s="324">
        <f t="shared" si="24"/>
        <v>18266.596666666668</v>
      </c>
    </row>
    <row r="90" spans="1:17" s="328" customFormat="1" ht="11.25" outlineLevel="3">
      <c r="A90" s="325" t="s">
        <v>257</v>
      </c>
      <c r="B90" s="326"/>
      <c r="C90" s="327"/>
      <c r="D90" s="301">
        <f>214.91+214.91+429.81+644.72+2363.96</f>
        <v>3868.31</v>
      </c>
      <c r="E90" s="302"/>
      <c r="F90" s="302">
        <v>1020</v>
      </c>
      <c r="G90" s="302"/>
      <c r="H90" s="302">
        <f>1020+1700</f>
        <v>2720</v>
      </c>
      <c r="I90" s="302"/>
      <c r="J90" s="302">
        <v>1190</v>
      </c>
      <c r="K90" s="302"/>
      <c r="L90" s="302">
        <v>1020</v>
      </c>
      <c r="M90" s="302"/>
      <c r="N90" s="302"/>
      <c r="O90" s="303"/>
      <c r="P90" s="304">
        <f t="shared" si="26"/>
        <v>9818.31</v>
      </c>
      <c r="Q90" s="305">
        <f t="shared" si="24"/>
        <v>1090.9233333333332</v>
      </c>
    </row>
    <row r="91" spans="1:17" s="328" customFormat="1" ht="11.25" outlineLevel="3">
      <c r="A91" s="325" t="s">
        <v>258</v>
      </c>
      <c r="B91" s="326"/>
      <c r="C91" s="327"/>
      <c r="D91" s="301">
        <v>3600</v>
      </c>
      <c r="E91" s="302"/>
      <c r="F91" s="302"/>
      <c r="G91" s="302"/>
      <c r="H91" s="302"/>
      <c r="I91" s="302">
        <v>3600</v>
      </c>
      <c r="J91" s="302"/>
      <c r="K91" s="302"/>
      <c r="L91" s="302"/>
      <c r="M91" s="302"/>
      <c r="N91" s="302"/>
      <c r="O91" s="303"/>
      <c r="P91" s="304">
        <f t="shared" si="26"/>
        <v>7200</v>
      </c>
      <c r="Q91" s="305">
        <f t="shared" si="24"/>
        <v>800</v>
      </c>
    </row>
    <row r="92" spans="1:17" s="328" customFormat="1" ht="11.25" outlineLevel="3">
      <c r="A92" s="325" t="s">
        <v>259</v>
      </c>
      <c r="B92" s="326"/>
      <c r="C92" s="327"/>
      <c r="D92" s="301">
        <v>2360</v>
      </c>
      <c r="E92" s="302"/>
      <c r="F92" s="302"/>
      <c r="G92" s="302"/>
      <c r="H92" s="302"/>
      <c r="I92" s="302"/>
      <c r="J92" s="302"/>
      <c r="K92" s="302">
        <v>2950</v>
      </c>
      <c r="L92" s="302"/>
      <c r="M92" s="302"/>
      <c r="N92" s="302"/>
      <c r="O92" s="303"/>
      <c r="P92" s="304">
        <f t="shared" si="26"/>
        <v>5310</v>
      </c>
      <c r="Q92" s="305">
        <f t="shared" si="24"/>
        <v>590</v>
      </c>
    </row>
    <row r="93" spans="1:17" s="328" customFormat="1" ht="11.25" outlineLevel="3">
      <c r="A93" s="325" t="s">
        <v>260</v>
      </c>
      <c r="B93" s="326"/>
      <c r="C93" s="327"/>
      <c r="D93" s="301">
        <v>2200</v>
      </c>
      <c r="E93" s="302"/>
      <c r="F93" s="302"/>
      <c r="G93" s="302"/>
      <c r="H93" s="302"/>
      <c r="I93" s="302"/>
      <c r="J93" s="302"/>
      <c r="K93" s="302"/>
      <c r="L93" s="302"/>
      <c r="M93" s="302"/>
      <c r="N93" s="302"/>
      <c r="O93" s="303"/>
      <c r="P93" s="304">
        <f t="shared" si="26"/>
        <v>2200</v>
      </c>
      <c r="Q93" s="305">
        <f t="shared" si="24"/>
        <v>244.44444444444446</v>
      </c>
    </row>
    <row r="94" spans="1:17" s="328" customFormat="1" ht="11.25" outlineLevel="3">
      <c r="A94" s="325" t="s">
        <v>261</v>
      </c>
      <c r="B94" s="326"/>
      <c r="C94" s="327"/>
      <c r="D94" s="301">
        <v>320</v>
      </c>
      <c r="E94" s="302"/>
      <c r="F94" s="302">
        <v>580</v>
      </c>
      <c r="G94" s="302"/>
      <c r="H94" s="302">
        <v>52</v>
      </c>
      <c r="I94" s="302">
        <f>200+70</f>
        <v>270</v>
      </c>
      <c r="J94" s="302">
        <v>731</v>
      </c>
      <c r="K94" s="302">
        <v>788</v>
      </c>
      <c r="L94" s="302">
        <f>875</f>
        <v>875</v>
      </c>
      <c r="M94" s="302"/>
      <c r="N94" s="302"/>
      <c r="O94" s="303"/>
      <c r="P94" s="304">
        <f t="shared" si="26"/>
        <v>3616</v>
      </c>
      <c r="Q94" s="305">
        <f t="shared" ref="Q94:Q125" si="30">P94/$Q$1</f>
        <v>401.77777777777777</v>
      </c>
    </row>
    <row r="95" spans="1:17" s="328" customFormat="1" ht="11.25" outlineLevel="3">
      <c r="A95" s="325" t="s">
        <v>262</v>
      </c>
      <c r="B95" s="326"/>
      <c r="C95" s="327"/>
      <c r="D95" s="301">
        <v>333</v>
      </c>
      <c r="E95" s="302"/>
      <c r="F95" s="302"/>
      <c r="G95" s="302"/>
      <c r="H95" s="302"/>
      <c r="I95" s="302"/>
      <c r="J95" s="302"/>
      <c r="K95" s="302">
        <v>288</v>
      </c>
      <c r="L95" s="302"/>
      <c r="M95" s="302"/>
      <c r="N95" s="302"/>
      <c r="O95" s="303"/>
      <c r="P95" s="304">
        <f t="shared" si="26"/>
        <v>621</v>
      </c>
      <c r="Q95" s="305">
        <f t="shared" si="30"/>
        <v>69</v>
      </c>
    </row>
    <row r="96" spans="1:17" s="328" customFormat="1" ht="11.25" outlineLevel="3">
      <c r="A96" s="325" t="s">
        <v>263</v>
      </c>
      <c r="B96" s="326"/>
      <c r="C96" s="327"/>
      <c r="D96" s="301">
        <v>257</v>
      </c>
      <c r="E96" s="302"/>
      <c r="F96" s="302"/>
      <c r="G96" s="302"/>
      <c r="H96" s="302">
        <v>297</v>
      </c>
      <c r="I96" s="302"/>
      <c r="J96" s="302"/>
      <c r="K96" s="302"/>
      <c r="L96" s="302">
        <v>297</v>
      </c>
      <c r="M96" s="302"/>
      <c r="N96" s="302"/>
      <c r="O96" s="303"/>
      <c r="P96" s="304">
        <f t="shared" si="26"/>
        <v>851</v>
      </c>
      <c r="Q96" s="305">
        <f t="shared" si="30"/>
        <v>94.555555555555557</v>
      </c>
    </row>
    <row r="97" spans="1:17" s="328" customFormat="1" ht="11.25" outlineLevel="3">
      <c r="A97" s="325" t="s">
        <v>264</v>
      </c>
      <c r="B97" s="326"/>
      <c r="C97" s="327"/>
      <c r="D97" s="301">
        <v>138</v>
      </c>
      <c r="E97" s="302"/>
      <c r="F97" s="302">
        <v>93</v>
      </c>
      <c r="G97" s="302"/>
      <c r="H97" s="302"/>
      <c r="I97" s="302"/>
      <c r="J97" s="302"/>
      <c r="K97" s="302"/>
      <c r="L97" s="302"/>
      <c r="M97" s="302"/>
      <c r="N97" s="302"/>
      <c r="O97" s="303"/>
      <c r="P97" s="304">
        <f t="shared" si="26"/>
        <v>231</v>
      </c>
      <c r="Q97" s="305">
        <f t="shared" si="30"/>
        <v>25.666666666666668</v>
      </c>
    </row>
    <row r="98" spans="1:17" s="328" customFormat="1" ht="11.25" outlineLevel="3">
      <c r="A98" s="325" t="s">
        <v>265</v>
      </c>
      <c r="B98" s="326"/>
      <c r="C98" s="327"/>
      <c r="D98" s="301"/>
      <c r="E98" s="302">
        <f>2165.93+6409.41+858</f>
        <v>9433.34</v>
      </c>
      <c r="F98" s="302"/>
      <c r="G98" s="302">
        <f>210+110</f>
        <v>320</v>
      </c>
      <c r="H98" s="302"/>
      <c r="I98" s="302"/>
      <c r="J98" s="302"/>
      <c r="K98" s="302"/>
      <c r="L98" s="302"/>
      <c r="M98" s="302"/>
      <c r="N98" s="302"/>
      <c r="O98" s="303"/>
      <c r="P98" s="304">
        <f t="shared" si="26"/>
        <v>9753.34</v>
      </c>
      <c r="Q98" s="305">
        <f t="shared" si="30"/>
        <v>1083.7044444444446</v>
      </c>
    </row>
    <row r="99" spans="1:17" s="328" customFormat="1" ht="11.25" outlineLevel="3">
      <c r="A99" s="325" t="s">
        <v>266</v>
      </c>
      <c r="B99" s="326"/>
      <c r="C99" s="327"/>
      <c r="D99" s="301"/>
      <c r="E99" s="302">
        <v>2616.6</v>
      </c>
      <c r="F99" s="302"/>
      <c r="G99" s="302"/>
      <c r="H99" s="302"/>
      <c r="I99" s="302"/>
      <c r="J99" s="302"/>
      <c r="K99" s="302"/>
      <c r="L99" s="302"/>
      <c r="M99" s="302"/>
      <c r="N99" s="302"/>
      <c r="O99" s="303"/>
      <c r="P99" s="304">
        <f t="shared" ref="P99:P130" si="31">SUM(D99:O99)</f>
        <v>2616.6</v>
      </c>
      <c r="Q99" s="305">
        <f t="shared" si="30"/>
        <v>290.73333333333335</v>
      </c>
    </row>
    <row r="100" spans="1:17" s="328" customFormat="1" ht="11.25" outlineLevel="3">
      <c r="A100" s="325" t="s">
        <v>267</v>
      </c>
      <c r="B100" s="326"/>
      <c r="C100" s="327"/>
      <c r="D100" s="301"/>
      <c r="E100" s="302">
        <v>1005</v>
      </c>
      <c r="F100" s="302"/>
      <c r="G100" s="302"/>
      <c r="H100" s="302">
        <v>177</v>
      </c>
      <c r="I100" s="302"/>
      <c r="J100" s="302"/>
      <c r="K100" s="302"/>
      <c r="L100" s="302">
        <v>688</v>
      </c>
      <c r="M100" s="302"/>
      <c r="N100" s="302"/>
      <c r="O100" s="303"/>
      <c r="P100" s="304">
        <f t="shared" si="31"/>
        <v>1870</v>
      </c>
      <c r="Q100" s="305">
        <f t="shared" si="30"/>
        <v>207.77777777777777</v>
      </c>
    </row>
    <row r="101" spans="1:17" s="328" customFormat="1" ht="11.25" outlineLevel="3">
      <c r="A101" s="325" t="s">
        <v>268</v>
      </c>
      <c r="B101" s="326"/>
      <c r="C101" s="327"/>
      <c r="D101" s="301"/>
      <c r="E101" s="302">
        <v>500</v>
      </c>
      <c r="F101" s="302">
        <v>500</v>
      </c>
      <c r="G101" s="302"/>
      <c r="H101" s="302"/>
      <c r="I101" s="302"/>
      <c r="J101" s="302">
        <v>150</v>
      </c>
      <c r="K101" s="302"/>
      <c r="L101" s="302">
        <v>550</v>
      </c>
      <c r="M101" s="302"/>
      <c r="N101" s="302"/>
      <c r="O101" s="303"/>
      <c r="P101" s="304">
        <f t="shared" si="31"/>
        <v>1700</v>
      </c>
      <c r="Q101" s="305">
        <f t="shared" si="30"/>
        <v>188.88888888888889</v>
      </c>
    </row>
    <row r="102" spans="1:17" s="328" customFormat="1" ht="11.25" outlineLevel="3">
      <c r="A102" s="325" t="s">
        <v>269</v>
      </c>
      <c r="B102" s="326"/>
      <c r="C102" s="327"/>
      <c r="D102" s="301"/>
      <c r="E102" s="302">
        <f>438+540</f>
        <v>978</v>
      </c>
      <c r="F102" s="302"/>
      <c r="G102" s="302"/>
      <c r="H102" s="302"/>
      <c r="I102" s="302"/>
      <c r="J102" s="302"/>
      <c r="K102" s="302"/>
      <c r="L102" s="302"/>
      <c r="M102" s="302"/>
      <c r="N102" s="302"/>
      <c r="O102" s="303"/>
      <c r="P102" s="304">
        <f t="shared" si="31"/>
        <v>978</v>
      </c>
      <c r="Q102" s="305">
        <f t="shared" si="30"/>
        <v>108.66666666666667</v>
      </c>
    </row>
    <row r="103" spans="1:17" s="328" customFormat="1" ht="11.25" outlineLevel="3">
      <c r="A103" s="325" t="s">
        <v>270</v>
      </c>
      <c r="B103" s="326"/>
      <c r="C103" s="327"/>
      <c r="D103" s="301"/>
      <c r="E103" s="302"/>
      <c r="F103" s="302">
        <v>4690</v>
      </c>
      <c r="G103" s="302"/>
      <c r="H103" s="302"/>
      <c r="I103" s="302"/>
      <c r="J103" s="302"/>
      <c r="K103" s="302"/>
      <c r="L103" s="302"/>
      <c r="M103" s="302"/>
      <c r="N103" s="302"/>
      <c r="O103" s="303"/>
      <c r="P103" s="304">
        <f t="shared" si="31"/>
        <v>4690</v>
      </c>
      <c r="Q103" s="305">
        <f t="shared" si="30"/>
        <v>521.11111111111109</v>
      </c>
    </row>
    <row r="104" spans="1:17" s="297" customFormat="1" ht="11.25" outlineLevel="3">
      <c r="A104" s="325" t="s">
        <v>271</v>
      </c>
      <c r="B104" s="326"/>
      <c r="C104" s="327"/>
      <c r="D104" s="301"/>
      <c r="E104" s="302"/>
      <c r="F104" s="302">
        <f>950.38+898</f>
        <v>1848.38</v>
      </c>
      <c r="G104" s="302">
        <f>65+1060</f>
        <v>1125</v>
      </c>
      <c r="H104" s="302">
        <f>20827.88+1660.26</f>
        <v>22488.14</v>
      </c>
      <c r="I104" s="302">
        <f>10097.26+2631.99</f>
        <v>12729.25</v>
      </c>
      <c r="J104" s="302"/>
      <c r="K104" s="302">
        <f>1473.76+160+156</f>
        <v>1789.76</v>
      </c>
      <c r="L104" s="302">
        <v>939.28</v>
      </c>
      <c r="M104" s="302"/>
      <c r="N104" s="302"/>
      <c r="O104" s="303"/>
      <c r="P104" s="304">
        <f t="shared" si="31"/>
        <v>40919.810000000005</v>
      </c>
      <c r="Q104" s="305">
        <f t="shared" si="30"/>
        <v>4546.6455555555558</v>
      </c>
    </row>
    <row r="105" spans="1:17" s="328" customFormat="1" ht="11.25" outlineLevel="3">
      <c r="A105" s="325" t="s">
        <v>272</v>
      </c>
      <c r="B105" s="326"/>
      <c r="C105" s="327"/>
      <c r="D105" s="301"/>
      <c r="E105" s="302"/>
      <c r="F105" s="302">
        <v>92</v>
      </c>
      <c r="G105" s="302">
        <v>179</v>
      </c>
      <c r="H105" s="302">
        <v>119</v>
      </c>
      <c r="I105" s="302"/>
      <c r="J105" s="302"/>
      <c r="K105" s="302"/>
      <c r="L105" s="302"/>
      <c r="M105" s="302"/>
      <c r="N105" s="302"/>
      <c r="O105" s="303"/>
      <c r="P105" s="304">
        <f t="shared" si="31"/>
        <v>390</v>
      </c>
      <c r="Q105" s="305">
        <f t="shared" si="30"/>
        <v>43.333333333333336</v>
      </c>
    </row>
    <row r="106" spans="1:17" s="328" customFormat="1" ht="11.25" outlineLevel="3">
      <c r="A106" s="325" t="s">
        <v>273</v>
      </c>
      <c r="B106" s="326"/>
      <c r="C106" s="327"/>
      <c r="D106" s="301"/>
      <c r="E106" s="302"/>
      <c r="F106" s="302">
        <v>154</v>
      </c>
      <c r="G106" s="302"/>
      <c r="H106" s="302"/>
      <c r="I106" s="302"/>
      <c r="J106" s="302"/>
      <c r="K106" s="302"/>
      <c r="L106" s="302"/>
      <c r="M106" s="302"/>
      <c r="N106" s="302"/>
      <c r="O106" s="303"/>
      <c r="P106" s="304">
        <f t="shared" si="31"/>
        <v>154</v>
      </c>
      <c r="Q106" s="305">
        <f t="shared" si="30"/>
        <v>17.111111111111111</v>
      </c>
    </row>
    <row r="107" spans="1:17" s="328" customFormat="1" ht="11.25" outlineLevel="3">
      <c r="A107" s="325" t="s">
        <v>274</v>
      </c>
      <c r="B107" s="326"/>
      <c r="C107" s="327"/>
      <c r="D107" s="301"/>
      <c r="E107" s="302"/>
      <c r="F107" s="302">
        <v>322</v>
      </c>
      <c r="G107" s="302"/>
      <c r="H107" s="302"/>
      <c r="I107" s="302"/>
      <c r="J107" s="302">
        <v>408</v>
      </c>
      <c r="K107" s="302"/>
      <c r="L107" s="302"/>
      <c r="M107" s="302"/>
      <c r="N107" s="302"/>
      <c r="O107" s="303"/>
      <c r="P107" s="304">
        <f t="shared" si="31"/>
        <v>730</v>
      </c>
      <c r="Q107" s="305">
        <f t="shared" si="30"/>
        <v>81.111111111111114</v>
      </c>
    </row>
    <row r="108" spans="1:17" s="328" customFormat="1" ht="11.25" outlineLevel="3">
      <c r="A108" s="325" t="s">
        <v>275</v>
      </c>
      <c r="B108" s="326"/>
      <c r="C108" s="327"/>
      <c r="D108" s="301"/>
      <c r="E108" s="302"/>
      <c r="F108" s="302"/>
      <c r="G108" s="302">
        <v>380</v>
      </c>
      <c r="H108" s="302">
        <f>418+902</f>
        <v>1320</v>
      </c>
      <c r="I108" s="302">
        <v>350</v>
      </c>
      <c r="J108" s="302"/>
      <c r="K108" s="302"/>
      <c r="L108" s="302"/>
      <c r="M108" s="302"/>
      <c r="N108" s="302"/>
      <c r="O108" s="303"/>
      <c r="P108" s="304">
        <f t="shared" si="31"/>
        <v>2050</v>
      </c>
      <c r="Q108" s="305">
        <f t="shared" si="30"/>
        <v>227.77777777777777</v>
      </c>
    </row>
    <row r="109" spans="1:17" s="328" customFormat="1" ht="11.25" outlineLevel="3">
      <c r="A109" s="325" t="s">
        <v>276</v>
      </c>
      <c r="B109" s="326"/>
      <c r="C109" s="327"/>
      <c r="D109" s="301"/>
      <c r="E109" s="302"/>
      <c r="F109" s="302"/>
      <c r="G109" s="302">
        <v>654</v>
      </c>
      <c r="H109" s="302"/>
      <c r="I109" s="302"/>
      <c r="J109" s="302"/>
      <c r="K109" s="302"/>
      <c r="L109" s="302"/>
      <c r="M109" s="302"/>
      <c r="N109" s="302"/>
      <c r="O109" s="303"/>
      <c r="P109" s="304">
        <f t="shared" si="31"/>
        <v>654</v>
      </c>
      <c r="Q109" s="305">
        <f t="shared" si="30"/>
        <v>72.666666666666671</v>
      </c>
    </row>
    <row r="110" spans="1:17" s="328" customFormat="1" ht="11.25" outlineLevel="3">
      <c r="A110" s="325" t="s">
        <v>277</v>
      </c>
      <c r="B110" s="326"/>
      <c r="C110" s="327"/>
      <c r="D110" s="301"/>
      <c r="E110" s="302"/>
      <c r="F110" s="302"/>
      <c r="G110" s="302">
        <v>502</v>
      </c>
      <c r="H110" s="302"/>
      <c r="I110" s="302"/>
      <c r="J110" s="302"/>
      <c r="K110" s="302"/>
      <c r="L110" s="302"/>
      <c r="M110" s="302"/>
      <c r="N110" s="302"/>
      <c r="O110" s="303"/>
      <c r="P110" s="304">
        <f t="shared" si="31"/>
        <v>502</v>
      </c>
      <c r="Q110" s="305">
        <f t="shared" si="30"/>
        <v>55.777777777777779</v>
      </c>
    </row>
    <row r="111" spans="1:17" s="328" customFormat="1" ht="11.25" outlineLevel="3">
      <c r="A111" s="325" t="s">
        <v>278</v>
      </c>
      <c r="B111" s="326"/>
      <c r="C111" s="327"/>
      <c r="D111" s="301"/>
      <c r="E111" s="302"/>
      <c r="F111" s="302"/>
      <c r="G111" s="302"/>
      <c r="H111" s="302">
        <v>4200</v>
      </c>
      <c r="I111" s="302"/>
      <c r="J111" s="302"/>
      <c r="K111" s="302"/>
      <c r="L111" s="302"/>
      <c r="M111" s="302"/>
      <c r="N111" s="302"/>
      <c r="O111" s="303"/>
      <c r="P111" s="304">
        <f t="shared" si="31"/>
        <v>4200</v>
      </c>
      <c r="Q111" s="305">
        <f t="shared" si="30"/>
        <v>466.66666666666669</v>
      </c>
    </row>
    <row r="112" spans="1:17" s="328" customFormat="1" ht="11.25" outlineLevel="3">
      <c r="A112" s="325" t="s">
        <v>279</v>
      </c>
      <c r="B112" s="326"/>
      <c r="C112" s="327"/>
      <c r="D112" s="301"/>
      <c r="E112" s="302"/>
      <c r="F112" s="302"/>
      <c r="G112" s="302"/>
      <c r="H112" s="302">
        <v>102</v>
      </c>
      <c r="I112" s="302"/>
      <c r="J112" s="302"/>
      <c r="K112" s="302"/>
      <c r="L112" s="302"/>
      <c r="M112" s="302"/>
      <c r="N112" s="302"/>
      <c r="O112" s="303"/>
      <c r="P112" s="304">
        <f t="shared" si="31"/>
        <v>102</v>
      </c>
      <c r="Q112" s="305">
        <f t="shared" si="30"/>
        <v>11.333333333333334</v>
      </c>
    </row>
    <row r="113" spans="1:17" s="328" customFormat="1" ht="11.25" outlineLevel="3">
      <c r="A113" s="325" t="s">
        <v>280</v>
      </c>
      <c r="B113" s="326"/>
      <c r="C113" s="327"/>
      <c r="D113" s="301"/>
      <c r="E113" s="302"/>
      <c r="F113" s="302"/>
      <c r="G113" s="302"/>
      <c r="H113" s="302">
        <v>5682</v>
      </c>
      <c r="I113" s="302"/>
      <c r="J113" s="302"/>
      <c r="K113" s="302"/>
      <c r="L113" s="302"/>
      <c r="M113" s="302"/>
      <c r="N113" s="302"/>
      <c r="O113" s="303"/>
      <c r="P113" s="304">
        <f t="shared" si="31"/>
        <v>5682</v>
      </c>
      <c r="Q113" s="305">
        <f t="shared" si="30"/>
        <v>631.33333333333337</v>
      </c>
    </row>
    <row r="114" spans="1:17" s="328" customFormat="1" ht="11.25" outlineLevel="3">
      <c r="A114" s="325" t="s">
        <v>281</v>
      </c>
      <c r="B114" s="326"/>
      <c r="C114" s="327"/>
      <c r="D114" s="301"/>
      <c r="E114" s="302"/>
      <c r="F114" s="302"/>
      <c r="G114" s="302"/>
      <c r="H114" s="302">
        <v>6500</v>
      </c>
      <c r="I114" s="302"/>
      <c r="J114" s="302"/>
      <c r="K114" s="302"/>
      <c r="L114" s="302"/>
      <c r="M114" s="302"/>
      <c r="N114" s="302"/>
      <c r="O114" s="303"/>
      <c r="P114" s="304">
        <f t="shared" si="31"/>
        <v>6500</v>
      </c>
      <c r="Q114" s="305">
        <f t="shared" si="30"/>
        <v>722.22222222222217</v>
      </c>
    </row>
    <row r="115" spans="1:17" s="328" customFormat="1" ht="11.25" outlineLevel="3">
      <c r="A115" s="325" t="s">
        <v>282</v>
      </c>
      <c r="B115" s="326"/>
      <c r="C115" s="327"/>
      <c r="D115" s="301"/>
      <c r="E115" s="302"/>
      <c r="F115" s="302"/>
      <c r="G115" s="302"/>
      <c r="H115" s="302"/>
      <c r="I115" s="302">
        <v>250</v>
      </c>
      <c r="J115" s="302">
        <v>2000</v>
      </c>
      <c r="K115" s="302">
        <v>1111</v>
      </c>
      <c r="L115" s="302">
        <f>2970+3150</f>
        <v>6120</v>
      </c>
      <c r="M115" s="302"/>
      <c r="N115" s="302"/>
      <c r="O115" s="303"/>
      <c r="P115" s="304">
        <f t="shared" si="31"/>
        <v>9481</v>
      </c>
      <c r="Q115" s="305">
        <f t="shared" si="30"/>
        <v>1053.4444444444443</v>
      </c>
    </row>
    <row r="116" spans="1:17" s="328" customFormat="1" ht="11.25" outlineLevel="3">
      <c r="A116" s="325" t="s">
        <v>283</v>
      </c>
      <c r="B116" s="326"/>
      <c r="C116" s="327"/>
      <c r="D116" s="301"/>
      <c r="E116" s="302"/>
      <c r="F116" s="302"/>
      <c r="G116" s="302"/>
      <c r="H116" s="302"/>
      <c r="I116" s="302"/>
      <c r="J116" s="302">
        <v>1097.4000000000001</v>
      </c>
      <c r="K116" s="302">
        <v>1739.91</v>
      </c>
      <c r="L116" s="302"/>
      <c r="M116" s="302"/>
      <c r="N116" s="302"/>
      <c r="O116" s="303"/>
      <c r="P116" s="304">
        <f t="shared" si="31"/>
        <v>2837.3100000000004</v>
      </c>
      <c r="Q116" s="305">
        <f t="shared" si="30"/>
        <v>315.25666666666672</v>
      </c>
    </row>
    <row r="117" spans="1:17" s="328" customFormat="1" ht="11.25" outlineLevel="3">
      <c r="A117" s="325" t="s">
        <v>284</v>
      </c>
      <c r="B117" s="326"/>
      <c r="C117" s="327"/>
      <c r="D117" s="301"/>
      <c r="E117" s="302"/>
      <c r="F117" s="302"/>
      <c r="G117" s="302"/>
      <c r="H117" s="302"/>
      <c r="I117" s="302"/>
      <c r="J117" s="302">
        <v>12862</v>
      </c>
      <c r="K117" s="302"/>
      <c r="L117" s="302">
        <v>12500</v>
      </c>
      <c r="M117" s="302"/>
      <c r="N117" s="302"/>
      <c r="O117" s="303"/>
      <c r="P117" s="304">
        <f t="shared" si="31"/>
        <v>25362</v>
      </c>
      <c r="Q117" s="305">
        <f t="shared" si="30"/>
        <v>2818</v>
      </c>
    </row>
    <row r="118" spans="1:17" s="328" customFormat="1" ht="11.25" outlineLevel="3">
      <c r="A118" s="325" t="s">
        <v>285</v>
      </c>
      <c r="B118" s="326"/>
      <c r="C118" s="327"/>
      <c r="D118" s="301"/>
      <c r="E118" s="302"/>
      <c r="F118" s="302"/>
      <c r="G118" s="302"/>
      <c r="H118" s="302"/>
      <c r="I118" s="302"/>
      <c r="J118" s="302"/>
      <c r="K118" s="302">
        <v>11328</v>
      </c>
      <c r="L118" s="302"/>
      <c r="M118" s="302"/>
      <c r="N118" s="302"/>
      <c r="O118" s="303"/>
      <c r="P118" s="304">
        <f t="shared" si="31"/>
        <v>11328</v>
      </c>
      <c r="Q118" s="305">
        <f t="shared" si="30"/>
        <v>1258.6666666666667</v>
      </c>
    </row>
    <row r="119" spans="1:17" s="328" customFormat="1" ht="11.25" outlineLevel="3">
      <c r="A119" s="325" t="s">
        <v>286</v>
      </c>
      <c r="B119" s="326"/>
      <c r="C119" s="327"/>
      <c r="D119" s="301"/>
      <c r="E119" s="302"/>
      <c r="F119" s="302"/>
      <c r="G119" s="302"/>
      <c r="H119" s="302"/>
      <c r="I119" s="302"/>
      <c r="J119" s="302"/>
      <c r="K119" s="302">
        <v>270</v>
      </c>
      <c r="L119" s="302"/>
      <c r="M119" s="302"/>
      <c r="N119" s="302"/>
      <c r="O119" s="303"/>
      <c r="P119" s="304">
        <f t="shared" si="31"/>
        <v>270</v>
      </c>
      <c r="Q119" s="305">
        <f t="shared" si="30"/>
        <v>30</v>
      </c>
    </row>
    <row r="120" spans="1:17" s="328" customFormat="1" ht="11.25" outlineLevel="3">
      <c r="A120" s="325" t="s">
        <v>287</v>
      </c>
      <c r="B120" s="326"/>
      <c r="C120" s="327"/>
      <c r="D120" s="301"/>
      <c r="E120" s="302"/>
      <c r="F120" s="302"/>
      <c r="G120" s="302"/>
      <c r="H120" s="302"/>
      <c r="I120" s="302"/>
      <c r="J120" s="302"/>
      <c r="K120" s="302">
        <v>313</v>
      </c>
      <c r="L120" s="302"/>
      <c r="M120" s="302"/>
      <c r="N120" s="302"/>
      <c r="O120" s="303"/>
      <c r="P120" s="304">
        <f t="shared" si="31"/>
        <v>313</v>
      </c>
      <c r="Q120" s="305">
        <f t="shared" si="30"/>
        <v>34.777777777777779</v>
      </c>
    </row>
    <row r="121" spans="1:17" s="328" customFormat="1" ht="11.25" outlineLevel="3">
      <c r="A121" s="325" t="s">
        <v>288</v>
      </c>
      <c r="B121" s="326"/>
      <c r="C121" s="327"/>
      <c r="D121" s="301"/>
      <c r="E121" s="302"/>
      <c r="F121" s="302"/>
      <c r="G121" s="302"/>
      <c r="H121" s="302"/>
      <c r="I121" s="302"/>
      <c r="J121" s="302"/>
      <c r="K121" s="302">
        <v>374</v>
      </c>
      <c r="L121" s="302"/>
      <c r="M121" s="302"/>
      <c r="N121" s="302"/>
      <c r="O121" s="303"/>
      <c r="P121" s="304">
        <f t="shared" si="31"/>
        <v>374</v>
      </c>
      <c r="Q121" s="305">
        <f t="shared" si="30"/>
        <v>41.555555555555557</v>
      </c>
    </row>
    <row r="122" spans="1:17" s="328" customFormat="1" ht="11.25" outlineLevel="3">
      <c r="A122" s="325" t="s">
        <v>289</v>
      </c>
      <c r="B122" s="326"/>
      <c r="C122" s="327"/>
      <c r="D122" s="301"/>
      <c r="E122" s="302"/>
      <c r="F122" s="302"/>
      <c r="G122" s="302"/>
      <c r="H122" s="302"/>
      <c r="I122" s="302"/>
      <c r="J122" s="302"/>
      <c r="K122" s="302"/>
      <c r="L122" s="302">
        <v>700</v>
      </c>
      <c r="M122" s="302"/>
      <c r="N122" s="302"/>
      <c r="O122" s="303"/>
      <c r="P122" s="304">
        <f t="shared" si="31"/>
        <v>700</v>
      </c>
      <c r="Q122" s="305">
        <f t="shared" si="30"/>
        <v>77.777777777777771</v>
      </c>
    </row>
    <row r="123" spans="1:17" s="328" customFormat="1" ht="11.25" outlineLevel="3">
      <c r="A123" s="325" t="s">
        <v>290</v>
      </c>
      <c r="B123" s="326"/>
      <c r="C123" s="327"/>
      <c r="D123" s="301"/>
      <c r="E123" s="302"/>
      <c r="F123" s="302"/>
      <c r="G123" s="302"/>
      <c r="H123" s="302"/>
      <c r="I123" s="302"/>
      <c r="J123" s="302"/>
      <c r="K123" s="302"/>
      <c r="L123" s="302">
        <v>395</v>
      </c>
      <c r="M123" s="302"/>
      <c r="N123" s="302"/>
      <c r="O123" s="303"/>
      <c r="P123" s="304">
        <f t="shared" si="31"/>
        <v>395</v>
      </c>
      <c r="Q123" s="305">
        <f t="shared" si="30"/>
        <v>43.888888888888886</v>
      </c>
    </row>
    <row r="124" spans="1:17" s="328" customFormat="1" ht="11.25" outlineLevel="3">
      <c r="A124" s="325"/>
      <c r="B124" s="326"/>
      <c r="C124" s="327"/>
      <c r="D124" s="301"/>
      <c r="E124" s="302"/>
      <c r="F124" s="302"/>
      <c r="G124" s="302"/>
      <c r="H124" s="302"/>
      <c r="I124" s="302"/>
      <c r="J124" s="302"/>
      <c r="K124" s="302"/>
      <c r="L124" s="302"/>
      <c r="M124" s="302"/>
      <c r="N124" s="302"/>
      <c r="O124" s="303"/>
      <c r="P124" s="304">
        <f t="shared" si="31"/>
        <v>0</v>
      </c>
      <c r="Q124" s="305">
        <f t="shared" si="30"/>
        <v>0</v>
      </c>
    </row>
    <row r="125" spans="1:17" s="382" customFormat="1" ht="117" outlineLevel="2">
      <c r="A125" s="290" t="s">
        <v>43</v>
      </c>
      <c r="B125" s="318" t="s">
        <v>235</v>
      </c>
      <c r="C125" s="319"/>
      <c r="D125" s="320">
        <f t="shared" ref="D125:O125" si="32">SUM(D126:D137)</f>
        <v>8949.369999999999</v>
      </c>
      <c r="E125" s="321">
        <f t="shared" si="32"/>
        <v>19100</v>
      </c>
      <c r="F125" s="321">
        <f t="shared" si="32"/>
        <v>2000</v>
      </c>
      <c r="G125" s="321">
        <f t="shared" si="32"/>
        <v>0</v>
      </c>
      <c r="H125" s="321">
        <f t="shared" si="32"/>
        <v>11080.29</v>
      </c>
      <c r="I125" s="321">
        <f t="shared" si="32"/>
        <v>500</v>
      </c>
      <c r="J125" s="321">
        <f t="shared" si="32"/>
        <v>13595.26</v>
      </c>
      <c r="K125" s="321">
        <f t="shared" si="32"/>
        <v>11860</v>
      </c>
      <c r="L125" s="321">
        <f t="shared" si="32"/>
        <v>4430.26</v>
      </c>
      <c r="M125" s="321">
        <f t="shared" si="32"/>
        <v>0</v>
      </c>
      <c r="N125" s="321">
        <f t="shared" si="32"/>
        <v>0</v>
      </c>
      <c r="O125" s="322">
        <f t="shared" si="32"/>
        <v>0</v>
      </c>
      <c r="P125" s="323">
        <f t="shared" si="31"/>
        <v>71515.180000000008</v>
      </c>
      <c r="Q125" s="324">
        <f t="shared" si="30"/>
        <v>7946.1311111111117</v>
      </c>
    </row>
    <row r="126" spans="1:17" s="382" customFormat="1" ht="11.25" outlineLevel="3">
      <c r="A126" s="325" t="s">
        <v>291</v>
      </c>
      <c r="B126" s="326"/>
      <c r="C126" s="327"/>
      <c r="D126" s="301"/>
      <c r="E126" s="302"/>
      <c r="F126" s="302"/>
      <c r="G126" s="302"/>
      <c r="H126" s="302"/>
      <c r="I126" s="302"/>
      <c r="J126" s="302">
        <f>1096+1096</f>
        <v>2192</v>
      </c>
      <c r="K126" s="302"/>
      <c r="L126" s="302"/>
      <c r="M126" s="302"/>
      <c r="N126" s="302"/>
      <c r="O126" s="303"/>
      <c r="P126" s="304">
        <f t="shared" si="31"/>
        <v>2192</v>
      </c>
      <c r="Q126" s="305">
        <f t="shared" ref="Q126:Q157" si="33">P126/$Q$1</f>
        <v>243.55555555555554</v>
      </c>
    </row>
    <row r="127" spans="1:17" s="328" customFormat="1" ht="11.25" outlineLevel="3">
      <c r="A127" s="325" t="s">
        <v>292</v>
      </c>
      <c r="B127" s="326"/>
      <c r="C127" s="327"/>
      <c r="D127" s="301"/>
      <c r="E127" s="302"/>
      <c r="F127" s="302"/>
      <c r="G127" s="302"/>
      <c r="H127" s="302"/>
      <c r="I127" s="302"/>
      <c r="J127" s="302">
        <v>3000</v>
      </c>
      <c r="K127" s="302"/>
      <c r="L127" s="302"/>
      <c r="M127" s="302"/>
      <c r="N127" s="302"/>
      <c r="O127" s="303"/>
      <c r="P127" s="304">
        <f t="shared" si="31"/>
        <v>3000</v>
      </c>
      <c r="Q127" s="305">
        <f t="shared" si="33"/>
        <v>333.33333333333331</v>
      </c>
    </row>
    <row r="128" spans="1:17" s="382" customFormat="1" ht="11.25" outlineLevel="3">
      <c r="A128" s="325" t="s">
        <v>293</v>
      </c>
      <c r="B128" s="326"/>
      <c r="C128" s="327"/>
      <c r="D128" s="301"/>
      <c r="E128" s="302"/>
      <c r="F128" s="302"/>
      <c r="G128" s="302"/>
      <c r="H128" s="302"/>
      <c r="I128" s="302"/>
      <c r="J128" s="302"/>
      <c r="K128" s="302">
        <v>6000</v>
      </c>
      <c r="L128" s="302"/>
      <c r="M128" s="302"/>
      <c r="N128" s="302"/>
      <c r="O128" s="303"/>
      <c r="P128" s="304">
        <f t="shared" si="31"/>
        <v>6000</v>
      </c>
      <c r="Q128" s="305">
        <f t="shared" si="33"/>
        <v>666.66666666666663</v>
      </c>
    </row>
    <row r="129" spans="1:17" s="382" customFormat="1" ht="19.5" outlineLevel="3">
      <c r="A129" s="325" t="s">
        <v>44</v>
      </c>
      <c r="B129" s="326" t="s">
        <v>181</v>
      </c>
      <c r="C129" s="327"/>
      <c r="D129" s="301">
        <v>5359.37</v>
      </c>
      <c r="E129" s="302">
        <v>0</v>
      </c>
      <c r="F129" s="302"/>
      <c r="G129" s="302"/>
      <c r="H129" s="302">
        <v>5500.29</v>
      </c>
      <c r="I129" s="302"/>
      <c r="J129" s="302">
        <v>5743.26</v>
      </c>
      <c r="K129" s="302"/>
      <c r="L129" s="302">
        <v>2070.2600000000002</v>
      </c>
      <c r="M129" s="302"/>
      <c r="N129" s="302"/>
      <c r="O129" s="303"/>
      <c r="P129" s="304">
        <f t="shared" si="31"/>
        <v>18673.18</v>
      </c>
      <c r="Q129" s="305">
        <f t="shared" si="33"/>
        <v>2074.7977777777778</v>
      </c>
    </row>
    <row r="130" spans="1:17" s="382" customFormat="1" ht="11.25" outlineLevel="3">
      <c r="A130" s="325" t="s">
        <v>294</v>
      </c>
      <c r="B130" s="326"/>
      <c r="C130" s="327"/>
      <c r="D130" s="301">
        <v>1000</v>
      </c>
      <c r="E130" s="302">
        <v>500</v>
      </c>
      <c r="F130" s="302"/>
      <c r="G130" s="302"/>
      <c r="H130" s="302"/>
      <c r="I130" s="302"/>
      <c r="J130" s="302"/>
      <c r="K130" s="302">
        <f>50+1000+1500</f>
        <v>2550</v>
      </c>
      <c r="L130" s="302"/>
      <c r="M130" s="302"/>
      <c r="N130" s="302"/>
      <c r="O130" s="303"/>
      <c r="P130" s="304">
        <f t="shared" si="31"/>
        <v>4050</v>
      </c>
      <c r="Q130" s="305">
        <f t="shared" si="33"/>
        <v>450</v>
      </c>
    </row>
    <row r="131" spans="1:17" s="382" customFormat="1" ht="11.25" outlineLevel="3">
      <c r="A131" s="325" t="s">
        <v>295</v>
      </c>
      <c r="B131" s="326"/>
      <c r="C131" s="327"/>
      <c r="D131" s="301"/>
      <c r="E131" s="302">
        <v>400</v>
      </c>
      <c r="F131" s="302"/>
      <c r="G131" s="302"/>
      <c r="H131" s="302"/>
      <c r="I131" s="302"/>
      <c r="J131" s="302"/>
      <c r="K131" s="302"/>
      <c r="L131" s="302"/>
      <c r="M131" s="302"/>
      <c r="N131" s="302"/>
      <c r="O131" s="303"/>
      <c r="P131" s="304">
        <f>SUM(D131:O131)</f>
        <v>400</v>
      </c>
      <c r="Q131" s="305">
        <f t="shared" si="33"/>
        <v>44.444444444444443</v>
      </c>
    </row>
    <row r="132" spans="1:17" s="382" customFormat="1" ht="11.25" outlineLevel="3">
      <c r="A132" s="325" t="s">
        <v>296</v>
      </c>
      <c r="B132" s="326"/>
      <c r="C132" s="327"/>
      <c r="D132" s="301"/>
      <c r="E132" s="302"/>
      <c r="F132" s="302"/>
      <c r="G132" s="302"/>
      <c r="H132" s="302"/>
      <c r="I132" s="302">
        <v>500</v>
      </c>
      <c r="J132" s="302"/>
      <c r="K132" s="302">
        <v>950</v>
      </c>
      <c r="L132" s="302"/>
      <c r="M132" s="302"/>
      <c r="N132" s="302"/>
      <c r="O132" s="303"/>
      <c r="P132" s="304">
        <f>SUM(D132:O132)</f>
        <v>1450</v>
      </c>
      <c r="Q132" s="305">
        <f t="shared" si="33"/>
        <v>161.11111111111111</v>
      </c>
    </row>
    <row r="133" spans="1:17" s="382" customFormat="1" ht="11.25" outlineLevel="3">
      <c r="A133" s="383" t="s">
        <v>297</v>
      </c>
      <c r="B133" s="384"/>
      <c r="C133" s="385"/>
      <c r="D133" s="386">
        <v>490</v>
      </c>
      <c r="E133" s="387"/>
      <c r="F133" s="387"/>
      <c r="G133" s="387"/>
      <c r="H133" s="387"/>
      <c r="I133" s="387"/>
      <c r="J133" s="387"/>
      <c r="K133" s="387"/>
      <c r="L133" s="387"/>
      <c r="M133" s="387"/>
      <c r="N133" s="302"/>
      <c r="O133" s="303"/>
      <c r="P133" s="304">
        <f>SUM(D133:O133)</f>
        <v>490</v>
      </c>
      <c r="Q133" s="305">
        <f t="shared" si="33"/>
        <v>54.444444444444443</v>
      </c>
    </row>
    <row r="134" spans="1:17" s="382" customFormat="1" ht="11.25" outlineLevel="3">
      <c r="A134" s="383" t="s">
        <v>298</v>
      </c>
      <c r="B134" s="384"/>
      <c r="C134" s="385"/>
      <c r="D134" s="386">
        <v>500</v>
      </c>
      <c r="E134" s="387"/>
      <c r="F134" s="387"/>
      <c r="G134" s="387"/>
      <c r="H134" s="387"/>
      <c r="I134" s="387"/>
      <c r="J134" s="387"/>
      <c r="K134" s="387"/>
      <c r="L134" s="387"/>
      <c r="M134" s="387"/>
      <c r="N134" s="302"/>
      <c r="O134" s="303"/>
      <c r="P134" s="304"/>
      <c r="Q134" s="305">
        <f t="shared" si="33"/>
        <v>0</v>
      </c>
    </row>
    <row r="135" spans="1:17" s="382" customFormat="1" ht="11.25" outlineLevel="3">
      <c r="A135" s="383" t="s">
        <v>299</v>
      </c>
      <c r="B135" s="384"/>
      <c r="C135" s="385"/>
      <c r="D135" s="386">
        <v>1600</v>
      </c>
      <c r="E135" s="387"/>
      <c r="F135" s="387"/>
      <c r="G135" s="387"/>
      <c r="H135" s="387"/>
      <c r="I135" s="387"/>
      <c r="J135" s="387"/>
      <c r="K135" s="387"/>
      <c r="L135" s="387"/>
      <c r="M135" s="387"/>
      <c r="N135" s="302"/>
      <c r="O135" s="303"/>
      <c r="P135" s="304"/>
      <c r="Q135" s="305">
        <f t="shared" si="33"/>
        <v>0</v>
      </c>
    </row>
    <row r="136" spans="1:17" s="382" customFormat="1" ht="11.25" outlineLevel="3">
      <c r="A136" s="383" t="s">
        <v>300</v>
      </c>
      <c r="B136" s="384"/>
      <c r="C136" s="385"/>
      <c r="D136" s="386"/>
      <c r="E136" s="387">
        <v>200</v>
      </c>
      <c r="F136" s="387"/>
      <c r="G136" s="387"/>
      <c r="H136" s="387">
        <v>500</v>
      </c>
      <c r="I136" s="387"/>
      <c r="J136" s="387">
        <v>300</v>
      </c>
      <c r="K136" s="387"/>
      <c r="L136" s="387"/>
      <c r="M136" s="387"/>
      <c r="N136" s="302"/>
      <c r="O136" s="303"/>
      <c r="P136" s="304"/>
      <c r="Q136" s="305">
        <f t="shared" si="33"/>
        <v>0</v>
      </c>
    </row>
    <row r="137" spans="1:17" s="382" customFormat="1" ht="11.25" outlineLevel="3">
      <c r="A137" s="383" t="s">
        <v>301</v>
      </c>
      <c r="B137" s="384"/>
      <c r="C137" s="385"/>
      <c r="D137" s="386"/>
      <c r="E137" s="387">
        <v>18000</v>
      </c>
      <c r="F137" s="387">
        <v>2000</v>
      </c>
      <c r="G137" s="387"/>
      <c r="H137" s="387">
        <v>5080</v>
      </c>
      <c r="I137" s="387"/>
      <c r="J137" s="387">
        <v>2360</v>
      </c>
      <c r="K137" s="387">
        <v>2360</v>
      </c>
      <c r="L137" s="387">
        <v>2360</v>
      </c>
      <c r="M137" s="387"/>
      <c r="N137" s="302"/>
      <c r="O137" s="303"/>
      <c r="P137" s="304">
        <f t="shared" ref="P137:P168" si="34">SUM(D137:O137)</f>
        <v>32160</v>
      </c>
      <c r="Q137" s="305">
        <f t="shared" si="33"/>
        <v>3573.3333333333335</v>
      </c>
    </row>
    <row r="138" spans="1:17" s="328" customFormat="1" ht="409.5" outlineLevel="2">
      <c r="A138" s="290" t="s">
        <v>51</v>
      </c>
      <c r="B138" s="318" t="s">
        <v>302</v>
      </c>
      <c r="C138" s="319"/>
      <c r="D138" s="320">
        <f t="shared" ref="D138:O138" si="35">SUM(D139:D150)</f>
        <v>3337.1300000000006</v>
      </c>
      <c r="E138" s="321">
        <f t="shared" si="35"/>
        <v>7654.54</v>
      </c>
      <c r="F138" s="321">
        <f t="shared" si="35"/>
        <v>6877.24</v>
      </c>
      <c r="G138" s="321">
        <f t="shared" si="35"/>
        <v>6594.3499999999995</v>
      </c>
      <c r="H138" s="321">
        <f t="shared" si="35"/>
        <v>14536.87</v>
      </c>
      <c r="I138" s="321">
        <f t="shared" si="35"/>
        <v>1190.6199999999999</v>
      </c>
      <c r="J138" s="321">
        <f t="shared" si="35"/>
        <v>11051.53</v>
      </c>
      <c r="K138" s="321">
        <f t="shared" si="35"/>
        <v>3925</v>
      </c>
      <c r="L138" s="321">
        <f t="shared" si="35"/>
        <v>0</v>
      </c>
      <c r="M138" s="321">
        <f t="shared" si="35"/>
        <v>0</v>
      </c>
      <c r="N138" s="321">
        <f t="shared" si="35"/>
        <v>0</v>
      </c>
      <c r="O138" s="322">
        <f t="shared" si="35"/>
        <v>0</v>
      </c>
      <c r="P138" s="323">
        <f t="shared" si="34"/>
        <v>55167.28</v>
      </c>
      <c r="Q138" s="324">
        <f t="shared" si="33"/>
        <v>6129.6977777777774</v>
      </c>
    </row>
    <row r="139" spans="1:17" s="328" customFormat="1" ht="11.25" outlineLevel="3">
      <c r="A139" s="370" t="s">
        <v>303</v>
      </c>
      <c r="B139" s="326"/>
      <c r="C139" s="327"/>
      <c r="D139" s="301">
        <f>272.33+272.33+136.17+272.33+136.17+544.67+136.17+136.17</f>
        <v>1906.3400000000001</v>
      </c>
      <c r="E139" s="302">
        <f>680.84+136.17+136.17</f>
        <v>953.18</v>
      </c>
      <c r="F139" s="302">
        <v>2723.34</v>
      </c>
      <c r="G139" s="302"/>
      <c r="H139" s="302">
        <f>2723.34+2723.34</f>
        <v>5446.68</v>
      </c>
      <c r="I139" s="302"/>
      <c r="J139" s="302">
        <v>6993.63</v>
      </c>
      <c r="K139" s="302"/>
      <c r="L139" s="302"/>
      <c r="M139" s="302"/>
      <c r="N139" s="302"/>
      <c r="O139" s="303"/>
      <c r="P139" s="304">
        <f t="shared" si="34"/>
        <v>18023.170000000002</v>
      </c>
      <c r="Q139" s="305">
        <f t="shared" si="33"/>
        <v>2002.5744444444447</v>
      </c>
    </row>
    <row r="140" spans="1:17" s="328" customFormat="1" ht="11.25" outlineLevel="3">
      <c r="A140" s="370" t="s">
        <v>304</v>
      </c>
      <c r="B140" s="326"/>
      <c r="C140" s="327"/>
      <c r="D140" s="301">
        <f>91.38+91.38+182.76</f>
        <v>365.52</v>
      </c>
      <c r="E140" s="302"/>
      <c r="F140" s="302">
        <v>91.38</v>
      </c>
      <c r="G140" s="302"/>
      <c r="H140" s="302">
        <f>91.38+91.38</f>
        <v>182.76</v>
      </c>
      <c r="I140" s="302"/>
      <c r="J140" s="302">
        <f>2660+229</f>
        <v>2889</v>
      </c>
      <c r="K140" s="302"/>
      <c r="L140" s="302"/>
      <c r="M140" s="302"/>
      <c r="N140" s="302"/>
      <c r="O140" s="303"/>
      <c r="P140" s="304">
        <f t="shared" si="34"/>
        <v>3528.66</v>
      </c>
      <c r="Q140" s="305">
        <f t="shared" si="33"/>
        <v>392.07333333333332</v>
      </c>
    </row>
    <row r="141" spans="1:17" s="328" customFormat="1" ht="11.25" outlineLevel="3">
      <c r="A141" s="370" t="s">
        <v>305</v>
      </c>
      <c r="B141" s="326"/>
      <c r="C141" s="327"/>
      <c r="D141" s="301">
        <v>462.86</v>
      </c>
      <c r="E141" s="302"/>
      <c r="F141" s="302"/>
      <c r="G141" s="302">
        <f>648+540+660.61</f>
        <v>1848.6100000000001</v>
      </c>
      <c r="H141" s="302">
        <v>700.15</v>
      </c>
      <c r="I141" s="302"/>
      <c r="J141" s="302"/>
      <c r="K141" s="302">
        <v>525</v>
      </c>
      <c r="L141" s="302"/>
      <c r="M141" s="302"/>
      <c r="N141" s="302"/>
      <c r="O141" s="303"/>
      <c r="P141" s="304">
        <f t="shared" si="34"/>
        <v>3536.6200000000003</v>
      </c>
      <c r="Q141" s="305">
        <f t="shared" si="33"/>
        <v>392.95777777777784</v>
      </c>
    </row>
    <row r="142" spans="1:17" s="328" customFormat="1" ht="11.25" outlineLevel="3">
      <c r="A142" s="370" t="s">
        <v>306</v>
      </c>
      <c r="B142" s="326"/>
      <c r="C142" s="327"/>
      <c r="D142" s="301">
        <f>60.38+60.38</f>
        <v>120.76</v>
      </c>
      <c r="E142" s="302"/>
      <c r="F142" s="302">
        <v>60.38</v>
      </c>
      <c r="G142" s="302"/>
      <c r="H142" s="302">
        <v>60.38</v>
      </c>
      <c r="I142" s="302"/>
      <c r="J142" s="302"/>
      <c r="K142" s="302"/>
      <c r="L142" s="302"/>
      <c r="M142" s="302"/>
      <c r="N142" s="302"/>
      <c r="O142" s="303"/>
      <c r="P142" s="304">
        <f t="shared" si="34"/>
        <v>241.52</v>
      </c>
      <c r="Q142" s="305">
        <f t="shared" si="33"/>
        <v>26.835555555555558</v>
      </c>
    </row>
    <row r="143" spans="1:17" s="328" customFormat="1" ht="22.5" outlineLevel="3">
      <c r="A143" s="370" t="s">
        <v>307</v>
      </c>
      <c r="B143" s="326"/>
      <c r="C143" s="327"/>
      <c r="D143" s="301">
        <f>98.28+98.28+98.28</f>
        <v>294.84000000000003</v>
      </c>
      <c r="E143" s="302">
        <f>98.28+6147.8</f>
        <v>6246.08</v>
      </c>
      <c r="F143" s="302">
        <v>786.24</v>
      </c>
      <c r="G143" s="302"/>
      <c r="H143" s="302"/>
      <c r="I143" s="302"/>
      <c r="J143" s="302"/>
      <c r="K143" s="302"/>
      <c r="L143" s="302"/>
      <c r="M143" s="302"/>
      <c r="N143" s="302"/>
      <c r="O143" s="303"/>
      <c r="P143" s="304">
        <f t="shared" si="34"/>
        <v>7327.16</v>
      </c>
      <c r="Q143" s="305">
        <f t="shared" si="33"/>
        <v>814.12888888888892</v>
      </c>
    </row>
    <row r="144" spans="1:17" s="328" customFormat="1" ht="11.25" outlineLevel="3">
      <c r="A144" s="370" t="s">
        <v>308</v>
      </c>
      <c r="B144" s="326"/>
      <c r="C144" s="327"/>
      <c r="D144" s="301">
        <f>93.41+93.4</f>
        <v>186.81</v>
      </c>
      <c r="E144" s="302"/>
      <c r="F144" s="302"/>
      <c r="G144" s="302"/>
      <c r="H144" s="302"/>
      <c r="I144" s="302"/>
      <c r="J144" s="302"/>
      <c r="K144" s="302"/>
      <c r="L144" s="302"/>
      <c r="M144" s="302"/>
      <c r="N144" s="302"/>
      <c r="O144" s="303"/>
      <c r="P144" s="304">
        <f t="shared" si="34"/>
        <v>186.81</v>
      </c>
      <c r="Q144" s="305">
        <f t="shared" si="33"/>
        <v>20.756666666666668</v>
      </c>
    </row>
    <row r="145" spans="1:17" s="328" customFormat="1" ht="11.25" outlineLevel="3">
      <c r="A145" s="370" t="s">
        <v>309</v>
      </c>
      <c r="B145" s="326"/>
      <c r="C145" s="327"/>
      <c r="D145" s="301"/>
      <c r="E145" s="302">
        <f>227.64+227.64</f>
        <v>455.28</v>
      </c>
      <c r="F145" s="302"/>
      <c r="G145" s="302"/>
      <c r="H145" s="302"/>
      <c r="I145" s="302"/>
      <c r="J145" s="302"/>
      <c r="K145" s="302"/>
      <c r="L145" s="302"/>
      <c r="M145" s="302"/>
      <c r="N145" s="302"/>
      <c r="O145" s="303"/>
      <c r="P145" s="304">
        <f t="shared" si="34"/>
        <v>455.28</v>
      </c>
      <c r="Q145" s="305">
        <f t="shared" si="33"/>
        <v>50.586666666666666</v>
      </c>
    </row>
    <row r="146" spans="1:17" s="328" customFormat="1" ht="11.25" outlineLevel="3">
      <c r="A146" s="370" t="s">
        <v>310</v>
      </c>
      <c r="B146" s="326"/>
      <c r="C146" s="327"/>
      <c r="D146" s="301"/>
      <c r="E146" s="302"/>
      <c r="F146" s="302">
        <f>1185.9+2030</f>
        <v>3215.9</v>
      </c>
      <c r="G146" s="302"/>
      <c r="H146" s="302"/>
      <c r="I146" s="302"/>
      <c r="J146" s="302"/>
      <c r="K146" s="302">
        <v>3400</v>
      </c>
      <c r="L146" s="302"/>
      <c r="M146" s="302"/>
      <c r="N146" s="302"/>
      <c r="O146" s="303"/>
      <c r="P146" s="304">
        <f t="shared" si="34"/>
        <v>6615.9</v>
      </c>
      <c r="Q146" s="305">
        <f t="shared" si="33"/>
        <v>735.09999999999991</v>
      </c>
    </row>
    <row r="147" spans="1:17" s="328" customFormat="1" ht="11.25" outlineLevel="3">
      <c r="A147" s="370" t="s">
        <v>311</v>
      </c>
      <c r="B147" s="326"/>
      <c r="C147" s="327"/>
      <c r="D147" s="301"/>
      <c r="E147" s="302"/>
      <c r="F147" s="302"/>
      <c r="G147" s="302">
        <f>703.13+670+670</f>
        <v>2043.13</v>
      </c>
      <c r="H147" s="302">
        <f>670+670+670+670+670+670+670+670+670+670+670</f>
        <v>7370</v>
      </c>
      <c r="I147" s="302"/>
      <c r="J147" s="302">
        <f>670</f>
        <v>670</v>
      </c>
      <c r="K147" s="302"/>
      <c r="L147" s="302"/>
      <c r="M147" s="302"/>
      <c r="N147" s="302"/>
      <c r="O147" s="303"/>
      <c r="P147" s="304">
        <f t="shared" si="34"/>
        <v>10083.130000000001</v>
      </c>
      <c r="Q147" s="305">
        <f t="shared" si="33"/>
        <v>1120.347777777778</v>
      </c>
    </row>
    <row r="148" spans="1:17" s="328" customFormat="1" ht="11.25" outlineLevel="3">
      <c r="A148" s="370" t="s">
        <v>312</v>
      </c>
      <c r="B148" s="326"/>
      <c r="C148" s="327"/>
      <c r="D148" s="301"/>
      <c r="E148" s="302"/>
      <c r="F148" s="302"/>
      <c r="G148" s="302">
        <f>243+243</f>
        <v>486</v>
      </c>
      <c r="H148" s="302">
        <f>243+135+398.9</f>
        <v>776.9</v>
      </c>
      <c r="I148" s="302"/>
      <c r="J148" s="302">
        <f>100+398.9</f>
        <v>498.9</v>
      </c>
      <c r="K148" s="302"/>
      <c r="L148" s="302"/>
      <c r="M148" s="302"/>
      <c r="N148" s="302"/>
      <c r="O148" s="303"/>
      <c r="P148" s="304">
        <f t="shared" si="34"/>
        <v>1761.8000000000002</v>
      </c>
      <c r="Q148" s="305">
        <f t="shared" si="33"/>
        <v>195.75555555555559</v>
      </c>
    </row>
    <row r="149" spans="1:17" s="297" customFormat="1" ht="11.25" outlineLevel="3">
      <c r="A149" s="370" t="s">
        <v>313</v>
      </c>
      <c r="B149" s="326"/>
      <c r="C149" s="327"/>
      <c r="D149" s="301"/>
      <c r="E149" s="302"/>
      <c r="F149" s="302"/>
      <c r="G149" s="302">
        <f>2381.24-164.63</f>
        <v>2216.6099999999997</v>
      </c>
      <c r="H149" s="302"/>
      <c r="I149" s="302">
        <v>1190.6199999999999</v>
      </c>
      <c r="J149" s="302"/>
      <c r="K149" s="302"/>
      <c r="L149" s="302"/>
      <c r="M149" s="302"/>
      <c r="N149" s="302"/>
      <c r="O149" s="303"/>
      <c r="P149" s="304">
        <f t="shared" si="34"/>
        <v>3407.2299999999996</v>
      </c>
      <c r="Q149" s="305">
        <f t="shared" si="33"/>
        <v>378.58111111111106</v>
      </c>
    </row>
    <row r="150" spans="1:17" s="328" customFormat="1" ht="11.25" outlineLevel="3">
      <c r="A150" s="370"/>
      <c r="B150" s="326"/>
      <c r="C150" s="327"/>
      <c r="D150" s="301"/>
      <c r="E150" s="302"/>
      <c r="F150" s="302"/>
      <c r="G150" s="302"/>
      <c r="H150" s="302"/>
      <c r="I150" s="302"/>
      <c r="J150" s="302"/>
      <c r="K150" s="302"/>
      <c r="L150" s="302"/>
      <c r="M150" s="302"/>
      <c r="N150" s="302"/>
      <c r="O150" s="303"/>
      <c r="P150" s="304">
        <f t="shared" si="34"/>
        <v>0</v>
      </c>
      <c r="Q150" s="305">
        <f t="shared" si="33"/>
        <v>0</v>
      </c>
    </row>
    <row r="151" spans="1:17" s="328" customFormat="1" ht="99" outlineLevel="2">
      <c r="A151" s="290" t="s">
        <v>52</v>
      </c>
      <c r="B151" s="318" t="s">
        <v>183</v>
      </c>
      <c r="C151" s="319"/>
      <c r="D151" s="320">
        <f t="shared" ref="D151:O151" si="36">SUM(D152:D157)</f>
        <v>2500</v>
      </c>
      <c r="E151" s="321">
        <f t="shared" si="36"/>
        <v>1500</v>
      </c>
      <c r="F151" s="321">
        <f t="shared" si="36"/>
        <v>3150</v>
      </c>
      <c r="G151" s="321">
        <f t="shared" si="36"/>
        <v>0</v>
      </c>
      <c r="H151" s="321">
        <f t="shared" si="36"/>
        <v>36541.699999999997</v>
      </c>
      <c r="I151" s="321">
        <f t="shared" si="36"/>
        <v>2500</v>
      </c>
      <c r="J151" s="321">
        <f t="shared" si="36"/>
        <v>0</v>
      </c>
      <c r="K151" s="321">
        <f t="shared" si="36"/>
        <v>0</v>
      </c>
      <c r="L151" s="321">
        <f t="shared" si="36"/>
        <v>2381</v>
      </c>
      <c r="M151" s="321">
        <f t="shared" si="36"/>
        <v>0</v>
      </c>
      <c r="N151" s="321">
        <f t="shared" si="36"/>
        <v>0</v>
      </c>
      <c r="O151" s="322">
        <f t="shared" si="36"/>
        <v>0</v>
      </c>
      <c r="P151" s="323">
        <f t="shared" si="34"/>
        <v>48572.7</v>
      </c>
      <c r="Q151" s="324">
        <f t="shared" si="33"/>
        <v>5396.9666666666662</v>
      </c>
    </row>
    <row r="152" spans="1:17" s="328" customFormat="1" ht="11.25" outlineLevel="3">
      <c r="A152" s="370" t="s">
        <v>314</v>
      </c>
      <c r="B152" s="326"/>
      <c r="C152" s="327"/>
      <c r="D152" s="301">
        <v>2500</v>
      </c>
      <c r="E152" s="302"/>
      <c r="F152" s="302"/>
      <c r="G152" s="302"/>
      <c r="H152" s="302">
        <v>3000</v>
      </c>
      <c r="I152" s="302">
        <v>2500</v>
      </c>
      <c r="J152" s="302"/>
      <c r="K152" s="302"/>
      <c r="L152" s="302"/>
      <c r="M152" s="302"/>
      <c r="N152" s="302"/>
      <c r="O152" s="303"/>
      <c r="P152" s="304">
        <f t="shared" si="34"/>
        <v>8000</v>
      </c>
      <c r="Q152" s="305">
        <f t="shared" si="33"/>
        <v>888.88888888888891</v>
      </c>
    </row>
    <row r="153" spans="1:17" s="328" customFormat="1" ht="11.25" outlineLevel="3">
      <c r="A153" s="370" t="s">
        <v>315</v>
      </c>
      <c r="B153" s="326"/>
      <c r="C153" s="327"/>
      <c r="D153" s="301"/>
      <c r="E153" s="302">
        <v>1500</v>
      </c>
      <c r="F153" s="302">
        <v>150</v>
      </c>
      <c r="G153" s="302"/>
      <c r="H153" s="302"/>
      <c r="I153" s="302"/>
      <c r="J153" s="302"/>
      <c r="K153" s="302"/>
      <c r="L153" s="302"/>
      <c r="M153" s="302"/>
      <c r="N153" s="302"/>
      <c r="O153" s="303"/>
      <c r="P153" s="304">
        <f t="shared" si="34"/>
        <v>1650</v>
      </c>
      <c r="Q153" s="305">
        <f t="shared" si="33"/>
        <v>183.33333333333334</v>
      </c>
    </row>
    <row r="154" spans="1:17" s="328" customFormat="1" ht="11.25" outlineLevel="3">
      <c r="A154" s="370" t="s">
        <v>292</v>
      </c>
      <c r="B154" s="326"/>
      <c r="C154" s="327"/>
      <c r="D154" s="301"/>
      <c r="E154" s="302"/>
      <c r="F154" s="302">
        <v>3000</v>
      </c>
      <c r="G154" s="302"/>
      <c r="H154" s="302"/>
      <c r="I154" s="302"/>
      <c r="J154" s="302"/>
      <c r="K154" s="302"/>
      <c r="L154" s="302"/>
      <c r="M154" s="302"/>
      <c r="N154" s="302"/>
      <c r="O154" s="303"/>
      <c r="P154" s="304">
        <f t="shared" si="34"/>
        <v>3000</v>
      </c>
      <c r="Q154" s="305">
        <f t="shared" si="33"/>
        <v>333.33333333333331</v>
      </c>
    </row>
    <row r="155" spans="1:17" s="328" customFormat="1" ht="11.25" outlineLevel="3">
      <c r="A155" s="370" t="s">
        <v>316</v>
      </c>
      <c r="B155" s="326"/>
      <c r="C155" s="327"/>
      <c r="D155" s="301"/>
      <c r="E155" s="302"/>
      <c r="F155" s="302"/>
      <c r="G155" s="302"/>
      <c r="H155" s="302"/>
      <c r="I155" s="302"/>
      <c r="J155" s="302"/>
      <c r="K155" s="302"/>
      <c r="L155" s="302">
        <v>2381</v>
      </c>
      <c r="M155" s="302"/>
      <c r="N155" s="302"/>
      <c r="O155" s="303"/>
      <c r="P155" s="304">
        <f t="shared" si="34"/>
        <v>2381</v>
      </c>
      <c r="Q155" s="305">
        <f t="shared" si="33"/>
        <v>264.55555555555554</v>
      </c>
    </row>
    <row r="156" spans="1:17" s="328" customFormat="1" ht="11.25" outlineLevel="3">
      <c r="A156" s="370" t="s">
        <v>317</v>
      </c>
      <c r="B156" s="326"/>
      <c r="C156" s="327"/>
      <c r="D156" s="301"/>
      <c r="E156" s="302"/>
      <c r="F156" s="302"/>
      <c r="G156" s="302"/>
      <c r="H156" s="302">
        <v>33541.699999999997</v>
      </c>
      <c r="I156" s="302"/>
      <c r="J156" s="302"/>
      <c r="K156" s="302"/>
      <c r="L156" s="302"/>
      <c r="M156" s="302"/>
      <c r="N156" s="302"/>
      <c r="O156" s="303"/>
      <c r="P156" s="304">
        <f t="shared" si="34"/>
        <v>33541.699999999997</v>
      </c>
      <c r="Q156" s="305">
        <f t="shared" si="33"/>
        <v>3726.8555555555554</v>
      </c>
    </row>
    <row r="157" spans="1:17" s="328" customFormat="1" ht="11.25" outlineLevel="3">
      <c r="A157" s="370"/>
      <c r="B157" s="326"/>
      <c r="C157" s="327"/>
      <c r="D157" s="301"/>
      <c r="E157" s="302"/>
      <c r="F157" s="302"/>
      <c r="G157" s="302"/>
      <c r="H157" s="302"/>
      <c r="I157" s="302"/>
      <c r="J157" s="302"/>
      <c r="K157" s="302"/>
      <c r="L157" s="302"/>
      <c r="M157" s="302"/>
      <c r="N157" s="302"/>
      <c r="O157" s="303"/>
      <c r="P157" s="304">
        <f t="shared" si="34"/>
        <v>0</v>
      </c>
      <c r="Q157" s="305">
        <f t="shared" si="33"/>
        <v>0</v>
      </c>
    </row>
    <row r="158" spans="1:17" s="328" customFormat="1" ht="126" outlineLevel="2">
      <c r="A158" s="290" t="s">
        <v>53</v>
      </c>
      <c r="B158" s="318" t="s">
        <v>185</v>
      </c>
      <c r="C158" s="319"/>
      <c r="D158" s="320">
        <f t="shared" ref="D158:O158" si="37">SUM(D159:D160)</f>
        <v>0</v>
      </c>
      <c r="E158" s="321">
        <f t="shared" si="37"/>
        <v>0</v>
      </c>
      <c r="F158" s="321">
        <f t="shared" si="37"/>
        <v>0</v>
      </c>
      <c r="G158" s="321">
        <f t="shared" si="37"/>
        <v>0</v>
      </c>
      <c r="H158" s="321">
        <f t="shared" si="37"/>
        <v>0</v>
      </c>
      <c r="I158" s="321">
        <f t="shared" si="37"/>
        <v>0</v>
      </c>
      <c r="J158" s="321">
        <f t="shared" si="37"/>
        <v>190</v>
      </c>
      <c r="K158" s="321">
        <f t="shared" si="37"/>
        <v>0</v>
      </c>
      <c r="L158" s="321">
        <f t="shared" si="37"/>
        <v>0</v>
      </c>
      <c r="M158" s="321">
        <f t="shared" si="37"/>
        <v>0</v>
      </c>
      <c r="N158" s="321">
        <f t="shared" si="37"/>
        <v>0</v>
      </c>
      <c r="O158" s="322">
        <f t="shared" si="37"/>
        <v>0</v>
      </c>
      <c r="P158" s="323">
        <f t="shared" si="34"/>
        <v>190</v>
      </c>
      <c r="Q158" s="324">
        <f t="shared" ref="Q158:Q168" si="38">P158/$Q$1</f>
        <v>21.111111111111111</v>
      </c>
    </row>
    <row r="159" spans="1:17" s="328" customFormat="1" ht="11.25" outlineLevel="3">
      <c r="A159" s="325" t="s">
        <v>318</v>
      </c>
      <c r="B159" s="326"/>
      <c r="C159" s="327"/>
      <c r="D159" s="301"/>
      <c r="E159" s="302"/>
      <c r="F159" s="302"/>
      <c r="G159" s="302"/>
      <c r="H159" s="302"/>
      <c r="I159" s="302"/>
      <c r="J159" s="302">
        <v>190</v>
      </c>
      <c r="K159" s="302"/>
      <c r="L159" s="302"/>
      <c r="M159" s="302"/>
      <c r="N159" s="302"/>
      <c r="O159" s="303"/>
      <c r="P159" s="304">
        <f t="shared" si="34"/>
        <v>190</v>
      </c>
      <c r="Q159" s="305">
        <f t="shared" si="38"/>
        <v>21.111111111111111</v>
      </c>
    </row>
    <row r="160" spans="1:17" s="297" customFormat="1" ht="11.25" outlineLevel="3">
      <c r="A160" s="370"/>
      <c r="B160" s="326"/>
      <c r="C160" s="327"/>
      <c r="D160" s="301"/>
      <c r="E160" s="302"/>
      <c r="F160" s="302"/>
      <c r="G160" s="302"/>
      <c r="H160" s="302"/>
      <c r="I160" s="302"/>
      <c r="J160" s="302"/>
      <c r="K160" s="302"/>
      <c r="L160" s="302"/>
      <c r="M160" s="302"/>
      <c r="N160" s="302"/>
      <c r="O160" s="303"/>
      <c r="P160" s="304">
        <f t="shared" si="34"/>
        <v>0</v>
      </c>
      <c r="Q160" s="305">
        <f t="shared" si="38"/>
        <v>0</v>
      </c>
    </row>
    <row r="161" spans="1:17" s="328" customFormat="1" ht="153" outlineLevel="2">
      <c r="A161" s="290" t="s">
        <v>59</v>
      </c>
      <c r="B161" s="318" t="s">
        <v>187</v>
      </c>
      <c r="C161" s="319"/>
      <c r="D161" s="320">
        <f t="shared" ref="D161:O161" si="39">SUM(D162:D163)</f>
        <v>100</v>
      </c>
      <c r="E161" s="321">
        <f t="shared" si="39"/>
        <v>0</v>
      </c>
      <c r="F161" s="321">
        <f t="shared" si="39"/>
        <v>0</v>
      </c>
      <c r="G161" s="321">
        <f t="shared" si="39"/>
        <v>2017.5</v>
      </c>
      <c r="H161" s="321">
        <f t="shared" si="39"/>
        <v>0</v>
      </c>
      <c r="I161" s="321">
        <f t="shared" si="39"/>
        <v>0</v>
      </c>
      <c r="J161" s="321">
        <f t="shared" si="39"/>
        <v>0</v>
      </c>
      <c r="K161" s="321">
        <f t="shared" si="39"/>
        <v>0</v>
      </c>
      <c r="L161" s="321">
        <f t="shared" si="39"/>
        <v>0</v>
      </c>
      <c r="M161" s="321">
        <f t="shared" si="39"/>
        <v>0</v>
      </c>
      <c r="N161" s="321">
        <f t="shared" si="39"/>
        <v>0</v>
      </c>
      <c r="O161" s="322">
        <f t="shared" si="39"/>
        <v>0</v>
      </c>
      <c r="P161" s="323">
        <f t="shared" si="34"/>
        <v>2117.5</v>
      </c>
      <c r="Q161" s="324">
        <f t="shared" si="38"/>
        <v>235.27777777777777</v>
      </c>
    </row>
    <row r="162" spans="1:17" s="328" customFormat="1" ht="11.25" outlineLevel="3">
      <c r="A162" s="325" t="s">
        <v>319</v>
      </c>
      <c r="B162" s="326"/>
      <c r="C162" s="327"/>
      <c r="D162" s="301">
        <v>100</v>
      </c>
      <c r="E162" s="302"/>
      <c r="F162" s="302"/>
      <c r="G162" s="302">
        <f>1874.34+143.16</f>
        <v>2017.5</v>
      </c>
      <c r="H162" s="302"/>
      <c r="I162" s="302"/>
      <c r="J162" s="302"/>
      <c r="K162" s="302"/>
      <c r="L162" s="302"/>
      <c r="M162" s="302"/>
      <c r="N162" s="302"/>
      <c r="O162" s="303"/>
      <c r="P162" s="304">
        <f t="shared" si="34"/>
        <v>2117.5</v>
      </c>
      <c r="Q162" s="305">
        <f t="shared" si="38"/>
        <v>235.27777777777777</v>
      </c>
    </row>
    <row r="163" spans="1:17" s="382" customFormat="1" ht="11.25" outlineLevel="3">
      <c r="A163" s="325" t="s">
        <v>320</v>
      </c>
      <c r="B163" s="326"/>
      <c r="C163" s="327"/>
      <c r="D163" s="301"/>
      <c r="E163" s="302"/>
      <c r="F163" s="302"/>
      <c r="G163" s="302"/>
      <c r="H163" s="302"/>
      <c r="I163" s="302"/>
      <c r="J163" s="302"/>
      <c r="K163" s="302"/>
      <c r="L163" s="302"/>
      <c r="M163" s="302"/>
      <c r="N163" s="302"/>
      <c r="O163" s="303"/>
      <c r="P163" s="304">
        <f t="shared" si="34"/>
        <v>0</v>
      </c>
      <c r="Q163" s="305">
        <f t="shared" si="38"/>
        <v>0</v>
      </c>
    </row>
    <row r="164" spans="1:17" s="328" customFormat="1" ht="54" outlineLevel="2">
      <c r="A164" s="290" t="s">
        <v>61</v>
      </c>
      <c r="B164" s="318" t="s">
        <v>189</v>
      </c>
      <c r="C164" s="319"/>
      <c r="D164" s="320">
        <f t="shared" ref="D164:O164" si="40">SUM(D165:D167)</f>
        <v>221.23999999999998</v>
      </c>
      <c r="E164" s="321">
        <f t="shared" si="40"/>
        <v>83.24</v>
      </c>
      <c r="F164" s="321">
        <f t="shared" si="40"/>
        <v>533.15</v>
      </c>
      <c r="G164" s="321">
        <f t="shared" si="40"/>
        <v>462.74</v>
      </c>
      <c r="H164" s="321">
        <f t="shared" si="40"/>
        <v>464.56</v>
      </c>
      <c r="I164" s="321">
        <f t="shared" si="40"/>
        <v>0</v>
      </c>
      <c r="J164" s="321">
        <f t="shared" si="40"/>
        <v>0</v>
      </c>
      <c r="K164" s="321">
        <f t="shared" si="40"/>
        <v>3449.54</v>
      </c>
      <c r="L164" s="321">
        <f t="shared" si="40"/>
        <v>0</v>
      </c>
      <c r="M164" s="321">
        <f t="shared" si="40"/>
        <v>8472.5999999999985</v>
      </c>
      <c r="N164" s="321">
        <f t="shared" si="40"/>
        <v>0</v>
      </c>
      <c r="O164" s="322">
        <f t="shared" si="40"/>
        <v>0</v>
      </c>
      <c r="P164" s="323">
        <f t="shared" si="34"/>
        <v>13687.069999999998</v>
      </c>
      <c r="Q164" s="324">
        <f t="shared" si="38"/>
        <v>1520.7855555555552</v>
      </c>
    </row>
    <row r="165" spans="1:17" s="297" customFormat="1" ht="11.25" outlineLevel="3">
      <c r="A165" s="325" t="s">
        <v>320</v>
      </c>
      <c r="B165" s="326"/>
      <c r="C165" s="327"/>
      <c r="D165" s="301"/>
      <c r="E165" s="302"/>
      <c r="F165" s="302"/>
      <c r="G165" s="302"/>
      <c r="H165" s="302">
        <v>464.56</v>
      </c>
      <c r="I165" s="302"/>
      <c r="J165" s="302"/>
      <c r="K165" s="302"/>
      <c r="L165" s="302"/>
      <c r="M165" s="302"/>
      <c r="N165" s="302"/>
      <c r="O165" s="303"/>
      <c r="P165" s="304">
        <f t="shared" si="34"/>
        <v>464.56</v>
      </c>
      <c r="Q165" s="305">
        <f t="shared" si="38"/>
        <v>51.617777777777775</v>
      </c>
    </row>
    <row r="166" spans="1:17" s="328" customFormat="1" ht="11.25" outlineLevel="3">
      <c r="A166" s="325" t="s">
        <v>321</v>
      </c>
      <c r="B166" s="326"/>
      <c r="C166" s="327"/>
      <c r="D166" s="301"/>
      <c r="E166" s="302"/>
      <c r="F166" s="302"/>
      <c r="G166" s="302"/>
      <c r="H166" s="302"/>
      <c r="I166" s="302"/>
      <c r="J166" s="302"/>
      <c r="K166" s="302">
        <f>3605.33-155.79</f>
        <v>3449.54</v>
      </c>
      <c r="L166" s="302"/>
      <c r="M166" s="302">
        <f>2388.09+2838.67+3019.88+225.96</f>
        <v>8472.5999999999985</v>
      </c>
      <c r="N166" s="302"/>
      <c r="O166" s="303"/>
      <c r="P166" s="304">
        <f t="shared" si="34"/>
        <v>11922.14</v>
      </c>
      <c r="Q166" s="305">
        <f t="shared" si="38"/>
        <v>1324.6822222222222</v>
      </c>
    </row>
    <row r="167" spans="1:17" s="297" customFormat="1" ht="11.25" outlineLevel="3">
      <c r="A167" s="329" t="s">
        <v>322</v>
      </c>
      <c r="B167" s="330"/>
      <c r="C167" s="331"/>
      <c r="D167" s="332">
        <f>220.89+0.35</f>
        <v>221.23999999999998</v>
      </c>
      <c r="E167" s="333">
        <v>83.24</v>
      </c>
      <c r="F167" s="333">
        <f>90.79+452.1-9.74</f>
        <v>533.15</v>
      </c>
      <c r="G167" s="333">
        <v>462.74</v>
      </c>
      <c r="H167" s="333"/>
      <c r="I167" s="333"/>
      <c r="J167" s="333"/>
      <c r="K167" s="333"/>
      <c r="L167" s="333"/>
      <c r="M167" s="333"/>
      <c r="N167" s="333"/>
      <c r="O167" s="334"/>
      <c r="P167" s="335">
        <f t="shared" si="34"/>
        <v>1300.3699999999999</v>
      </c>
      <c r="Q167" s="336">
        <f t="shared" si="38"/>
        <v>144.48555555555555</v>
      </c>
    </row>
    <row r="168" spans="1:17" s="328" customFormat="1" ht="27">
      <c r="A168" s="199" t="s">
        <v>62</v>
      </c>
      <c r="B168" s="276" t="s">
        <v>323</v>
      </c>
      <c r="C168" s="277"/>
      <c r="D168" s="359">
        <f t="shared" ref="D168:O168" si="41">D3+D30</f>
        <v>1326140.9099999999</v>
      </c>
      <c r="E168" s="200">
        <f t="shared" si="41"/>
        <v>1378611.93</v>
      </c>
      <c r="F168" s="200">
        <f t="shared" si="41"/>
        <v>1560198.54</v>
      </c>
      <c r="G168" s="200">
        <f t="shared" si="41"/>
        <v>1687184.0700000003</v>
      </c>
      <c r="H168" s="200">
        <f t="shared" si="41"/>
        <v>2147809.7400000002</v>
      </c>
      <c r="I168" s="200">
        <f t="shared" si="41"/>
        <v>1802207.5400000005</v>
      </c>
      <c r="J168" s="200">
        <f t="shared" si="41"/>
        <v>2251702.7200000002</v>
      </c>
      <c r="K168" s="200">
        <f t="shared" si="41"/>
        <v>2188424.13</v>
      </c>
      <c r="L168" s="200">
        <f t="shared" si="41"/>
        <v>1805247.5200000003</v>
      </c>
      <c r="M168" s="200">
        <f t="shared" si="41"/>
        <v>10176.199999999999</v>
      </c>
      <c r="N168" s="200">
        <f t="shared" si="41"/>
        <v>0</v>
      </c>
      <c r="O168" s="360">
        <f t="shared" si="41"/>
        <v>0</v>
      </c>
      <c r="P168" s="201">
        <f t="shared" si="34"/>
        <v>16157703.300000001</v>
      </c>
      <c r="Q168" s="361">
        <f t="shared" si="38"/>
        <v>1795300.3666666667</v>
      </c>
    </row>
    <row r="169" spans="1:17" s="328" customFormat="1" ht="11.25"/>
    <row r="170" spans="1:17" s="297" customFormat="1" ht="11.25"/>
    <row r="171" spans="1:17" s="328" customFormat="1" ht="11.25"/>
    <row r="172" spans="1:17" s="297" customFormat="1" ht="11.25"/>
    <row r="173" spans="1:17" s="328" customFormat="1" ht="11.25"/>
    <row r="174" spans="1:17" ht="11.25">
      <c r="B174" s="258"/>
      <c r="C174" s="258"/>
      <c r="I174" s="258"/>
      <c r="J174" s="258"/>
      <c r="K174" s="258"/>
      <c r="L174" s="258"/>
      <c r="M174" s="258"/>
      <c r="N174" s="258"/>
      <c r="O174" s="258"/>
      <c r="P174" s="258"/>
      <c r="Q174" s="258"/>
    </row>
    <row r="175" spans="1:17" ht="11.25">
      <c r="B175" s="258"/>
      <c r="C175" s="258"/>
      <c r="I175" s="258"/>
      <c r="J175" s="258"/>
      <c r="K175" s="258"/>
      <c r="L175" s="258"/>
      <c r="M175" s="258"/>
      <c r="N175" s="258"/>
      <c r="O175" s="258"/>
      <c r="P175" s="258"/>
      <c r="Q175" s="258"/>
    </row>
    <row r="176" spans="1:17" ht="11.25">
      <c r="B176" s="258"/>
      <c r="C176" s="258"/>
      <c r="I176" s="258"/>
      <c r="J176" s="258"/>
      <c r="K176" s="258"/>
      <c r="L176" s="258"/>
      <c r="M176" s="258"/>
      <c r="N176" s="258"/>
      <c r="O176" s="258"/>
      <c r="P176" s="258"/>
      <c r="Q176" s="258"/>
    </row>
    <row r="177" spans="2:17" s="328" customFormat="1" ht="11.25"/>
    <row r="178" spans="2:17" s="328" customFormat="1" ht="11.25"/>
    <row r="179" spans="2:17" s="328" customFormat="1" ht="11.25"/>
    <row r="180" spans="2:17" s="328" customFormat="1" ht="11.25"/>
    <row r="181" spans="2:17" s="328" customFormat="1" ht="11.25"/>
    <row r="182" spans="2:17" s="328" customFormat="1" ht="11.25"/>
    <row r="183" spans="2:17" s="328" customFormat="1" ht="11.25"/>
    <row r="184" spans="2:17" ht="11.25">
      <c r="B184" s="258"/>
      <c r="C184" s="258"/>
      <c r="I184" s="258"/>
      <c r="J184" s="258"/>
      <c r="K184" s="258"/>
      <c r="L184" s="258"/>
      <c r="M184" s="258"/>
      <c r="N184" s="258"/>
      <c r="O184" s="258"/>
      <c r="P184" s="258"/>
      <c r="Q184" s="258"/>
    </row>
    <row r="185" spans="2:17" s="328" customFormat="1" ht="11.25"/>
    <row r="186" spans="2:17" s="388" customFormat="1" ht="11.25"/>
    <row r="187" spans="2:17" s="388" customFormat="1" ht="11.25"/>
    <row r="188" spans="2:17" s="388" customFormat="1" ht="11.25"/>
    <row r="189" spans="2:17" s="388" customFormat="1" ht="11.25"/>
    <row r="190" spans="2:17" s="388" customFormat="1" ht="11.25"/>
    <row r="191" spans="2:17" s="382" customFormat="1" ht="11.25"/>
    <row r="192" spans="2:17" s="382" customFormat="1" ht="11.25"/>
    <row r="193" spans="2:17" s="388" customFormat="1" ht="11.25"/>
    <row r="194" spans="2:17" s="388" customFormat="1" ht="11.25"/>
    <row r="195" spans="2:17" s="328" customFormat="1" ht="11.25"/>
    <row r="196" spans="2:17" s="328" customFormat="1" ht="11.25"/>
    <row r="197" spans="2:17" s="328" customFormat="1" ht="11.25"/>
    <row r="198" spans="2:17" s="261" customFormat="1"/>
    <row r="199" spans="2:17" ht="11.25">
      <c r="B199" s="258"/>
      <c r="C199" s="258"/>
      <c r="I199" s="258"/>
      <c r="J199" s="258"/>
      <c r="K199" s="258"/>
      <c r="L199" s="258"/>
      <c r="M199" s="258"/>
      <c r="N199" s="258"/>
      <c r="O199" s="258"/>
      <c r="P199" s="258"/>
      <c r="Q199" s="258"/>
    </row>
    <row r="200" spans="2:17" ht="11.25">
      <c r="B200" s="258"/>
      <c r="C200" s="258"/>
      <c r="I200" s="258"/>
      <c r="J200" s="258"/>
      <c r="K200" s="258"/>
      <c r="L200" s="258"/>
      <c r="M200" s="258"/>
      <c r="N200" s="258"/>
      <c r="O200" s="258"/>
      <c r="P200" s="258"/>
      <c r="Q200" s="258"/>
    </row>
    <row r="201" spans="2:17" ht="11.25">
      <c r="B201" s="258"/>
      <c r="C201" s="258"/>
      <c r="I201" s="258"/>
      <c r="J201" s="258"/>
      <c r="K201" s="258"/>
      <c r="L201" s="258"/>
      <c r="M201" s="258"/>
      <c r="N201" s="258"/>
      <c r="O201" s="258"/>
      <c r="P201" s="258"/>
      <c r="Q201" s="258"/>
    </row>
    <row r="202" spans="2:17" ht="11.25">
      <c r="B202" s="258"/>
      <c r="C202" s="258"/>
      <c r="I202" s="258"/>
      <c r="J202" s="258"/>
      <c r="K202" s="258"/>
      <c r="L202" s="258"/>
      <c r="M202" s="258"/>
      <c r="N202" s="258"/>
      <c r="O202" s="258"/>
      <c r="P202" s="258"/>
      <c r="Q202" s="258"/>
    </row>
    <row r="203" spans="2:17" ht="11.25">
      <c r="B203" s="258"/>
      <c r="C203" s="258"/>
      <c r="I203" s="258"/>
      <c r="J203" s="258"/>
      <c r="K203" s="258"/>
      <c r="L203" s="258"/>
      <c r="M203" s="258"/>
      <c r="N203" s="258"/>
      <c r="O203" s="258"/>
      <c r="P203" s="258"/>
      <c r="Q203" s="258"/>
    </row>
    <row r="204" spans="2:17" ht="11.25">
      <c r="B204" s="258"/>
      <c r="C204" s="258"/>
      <c r="I204" s="258"/>
      <c r="J204" s="258"/>
      <c r="K204" s="258"/>
      <c r="L204" s="258"/>
      <c r="M204" s="258"/>
      <c r="N204" s="258"/>
      <c r="O204" s="258"/>
      <c r="P204" s="258"/>
      <c r="Q204" s="258"/>
    </row>
    <row r="205" spans="2:17" ht="11.25">
      <c r="B205" s="258"/>
      <c r="C205" s="258"/>
      <c r="I205" s="258"/>
      <c r="J205" s="258"/>
      <c r="K205" s="258"/>
      <c r="L205" s="258"/>
      <c r="M205" s="258"/>
      <c r="N205" s="258"/>
      <c r="O205" s="258"/>
      <c r="P205" s="258"/>
      <c r="Q205" s="258"/>
    </row>
    <row r="206" spans="2:17" ht="11.25">
      <c r="B206" s="258"/>
      <c r="C206" s="258"/>
      <c r="I206" s="258"/>
      <c r="J206" s="258"/>
      <c r="K206" s="258"/>
      <c r="L206" s="258"/>
      <c r="M206" s="258"/>
      <c r="N206" s="258"/>
      <c r="O206" s="258"/>
      <c r="P206" s="258"/>
      <c r="Q206" s="258"/>
    </row>
    <row r="207" spans="2:17" ht="11.25">
      <c r="B207" s="258"/>
      <c r="C207" s="258"/>
      <c r="I207" s="258"/>
      <c r="J207" s="258"/>
      <c r="K207" s="258"/>
      <c r="L207" s="258"/>
      <c r="M207" s="258"/>
      <c r="N207" s="258"/>
      <c r="O207" s="258"/>
      <c r="P207" s="258"/>
      <c r="Q207" s="258"/>
    </row>
    <row r="208" spans="2:17" ht="11.25">
      <c r="B208" s="258"/>
      <c r="C208" s="258"/>
      <c r="I208" s="258"/>
      <c r="J208" s="258"/>
      <c r="K208" s="258"/>
      <c r="L208" s="258"/>
      <c r="M208" s="258"/>
      <c r="N208" s="258"/>
      <c r="O208" s="258"/>
      <c r="P208" s="258"/>
      <c r="Q208" s="258"/>
    </row>
    <row r="209" spans="2:17" ht="11.25">
      <c r="B209" s="258"/>
      <c r="C209" s="258"/>
      <c r="I209" s="258"/>
      <c r="J209" s="258"/>
      <c r="K209" s="258"/>
      <c r="L209" s="258"/>
      <c r="M209" s="258"/>
      <c r="N209" s="258"/>
      <c r="O209" s="258"/>
      <c r="P209" s="258"/>
      <c r="Q209" s="258"/>
    </row>
    <row r="210" spans="2:17" ht="11.25">
      <c r="B210" s="258"/>
      <c r="C210" s="258"/>
      <c r="I210" s="258"/>
      <c r="J210" s="258"/>
      <c r="K210" s="258"/>
      <c r="L210" s="258"/>
      <c r="M210" s="258"/>
      <c r="N210" s="258"/>
      <c r="O210" s="258"/>
      <c r="P210" s="258"/>
      <c r="Q210" s="258"/>
    </row>
    <row r="211" spans="2:17" ht="11.25">
      <c r="B211" s="258"/>
      <c r="C211" s="258"/>
      <c r="I211" s="258"/>
      <c r="J211" s="258"/>
      <c r="K211" s="258"/>
      <c r="L211" s="258"/>
      <c r="M211" s="258"/>
      <c r="N211" s="258"/>
      <c r="O211" s="258"/>
      <c r="P211" s="258"/>
      <c r="Q211" s="258"/>
    </row>
    <row r="212" spans="2:17" ht="11.25">
      <c r="B212" s="258"/>
      <c r="C212" s="258"/>
      <c r="I212" s="258"/>
      <c r="J212" s="258"/>
      <c r="K212" s="258"/>
      <c r="L212" s="258"/>
      <c r="M212" s="258"/>
      <c r="N212" s="258"/>
      <c r="O212" s="258"/>
      <c r="P212" s="258"/>
      <c r="Q212" s="258"/>
    </row>
    <row r="213" spans="2:17" ht="11.25">
      <c r="B213" s="258"/>
      <c r="C213" s="258"/>
      <c r="I213" s="258"/>
      <c r="J213" s="258"/>
      <c r="K213" s="258"/>
      <c r="L213" s="258"/>
      <c r="M213" s="258"/>
      <c r="N213" s="258"/>
      <c r="O213" s="258"/>
      <c r="P213" s="258"/>
      <c r="Q213" s="258"/>
    </row>
    <row r="214" spans="2:17" ht="11.25">
      <c r="D214" s="389"/>
      <c r="E214" s="389"/>
      <c r="F214" s="389"/>
      <c r="G214" s="389"/>
      <c r="H214" s="389"/>
      <c r="I214" s="389"/>
      <c r="J214" s="389"/>
      <c r="K214" s="389"/>
      <c r="L214" s="389"/>
      <c r="M214" s="389"/>
      <c r="N214" s="389"/>
      <c r="O214" s="389"/>
      <c r="P214" s="389"/>
      <c r="Q214" s="389"/>
    </row>
    <row r="215" spans="2:17" ht="11.25">
      <c r="D215" s="389"/>
      <c r="E215" s="389"/>
      <c r="F215" s="389"/>
      <c r="G215" s="389"/>
      <c r="H215" s="389"/>
      <c r="I215" s="389"/>
      <c r="J215" s="389"/>
      <c r="K215" s="389"/>
      <c r="L215" s="389"/>
      <c r="M215" s="389"/>
      <c r="N215" s="389"/>
      <c r="O215" s="389"/>
      <c r="P215" s="389"/>
      <c r="Q215" s="389"/>
    </row>
    <row r="216" spans="2:17">
      <c r="I216" s="258"/>
      <c r="J216" s="258"/>
      <c r="K216" s="258"/>
      <c r="L216" s="258"/>
      <c r="M216" s="258"/>
      <c r="N216" s="258"/>
      <c r="O216" s="258"/>
    </row>
    <row r="217" spans="2:17">
      <c r="I217" s="258"/>
      <c r="J217" s="258"/>
      <c r="K217" s="258"/>
      <c r="L217" s="258"/>
      <c r="M217" s="258"/>
      <c r="N217" s="258"/>
      <c r="O217" s="258"/>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sheetPr enableFormatConditionsCalculation="0">
    <tabColor indexed="15"/>
    <outlinePr summaryBelow="0" summaryRight="0"/>
  </sheetPr>
  <dimension ref="A1:BW166"/>
  <sheetViews>
    <sheetView tabSelected="1" workbookViewId="0">
      <pane xSplit="1" ySplit="3" topLeftCell="B4" activePane="bottomRight" state="frozen"/>
      <selection pane="topRight" activeCell="AF1" sqref="AF1"/>
      <selection pane="bottomLeft" activeCell="A169" sqref="A169"/>
      <selection pane="bottomRight" activeCell="AQ170" sqref="AQ170"/>
    </sheetView>
  </sheetViews>
  <sheetFormatPr defaultRowHeight="12.75" outlineLevelRow="2" outlineLevelCol="2"/>
  <cols>
    <col min="1" max="1" width="42.7109375" style="258" customWidth="1"/>
    <col min="2" max="2" width="3.28515625" style="258" customWidth="1" collapsed="1"/>
    <col min="3" max="3" width="14.140625" style="258" hidden="1" customWidth="1" outlineLevel="1" collapsed="1"/>
    <col min="4" max="4" width="12" style="390" hidden="1" customWidth="1" outlineLevel="2"/>
    <col min="5" max="5" width="12" style="260" hidden="1" customWidth="1" outlineLevel="2"/>
    <col min="6" max="6" width="10.140625" style="391" hidden="1" customWidth="1" outlineLevel="2"/>
    <col min="7" max="7" width="3.42578125" style="391" customWidth="1" collapsed="1"/>
    <col min="8" max="8" width="14.140625" style="258" hidden="1" customWidth="1" outlineLevel="1" collapsed="1"/>
    <col min="9" max="9" width="12" style="390" hidden="1" customWidth="1" outlineLevel="2"/>
    <col min="10" max="10" width="12" style="260" hidden="1" customWidth="1" outlineLevel="2"/>
    <col min="11" max="11" width="10.140625" style="260" hidden="1" customWidth="1" outlineLevel="2"/>
    <col min="12" max="12" width="3.28515625" style="258" customWidth="1" collapsed="1"/>
    <col min="13" max="13" width="15" style="258" hidden="1" customWidth="1" outlineLevel="1" collapsed="1"/>
    <col min="14" max="14" width="12" style="390" hidden="1" customWidth="1" outlineLevel="2"/>
    <col min="15" max="15" width="12" style="260" hidden="1" customWidth="1" outlineLevel="2"/>
    <col min="16" max="16" width="10.140625" style="260" hidden="1" customWidth="1" outlineLevel="2"/>
    <col min="17" max="17" width="3.42578125" style="391" customWidth="1" collapsed="1"/>
    <col min="18" max="18" width="15.42578125" style="258" hidden="1" customWidth="1" outlineLevel="1" collapsed="1"/>
    <col min="19" max="19" width="12" style="390" hidden="1" customWidth="1" outlineLevel="2"/>
    <col min="20" max="20" width="12" style="260" hidden="1" customWidth="1" outlineLevel="2"/>
    <col min="21" max="21" width="10.140625" style="260" hidden="1" customWidth="1" outlineLevel="2"/>
    <col min="22" max="22" width="3.28515625" style="258" customWidth="1" collapsed="1"/>
    <col min="23" max="23" width="14.140625" style="258" hidden="1" customWidth="1" outlineLevel="1" collapsed="1"/>
    <col min="24" max="24" width="12" style="390" hidden="1" customWidth="1" outlineLevel="2"/>
    <col min="25" max="25" width="12" style="260" hidden="1" customWidth="1" outlineLevel="2"/>
    <col min="26" max="26" width="10.140625" style="260" hidden="1" customWidth="1" outlineLevel="2"/>
    <col min="27" max="27" width="3.42578125" style="391" customWidth="1" collapsed="1"/>
    <col min="28" max="28" width="14.140625" style="260" hidden="1" customWidth="1" outlineLevel="1" collapsed="1"/>
    <col min="29" max="29" width="12" style="392" hidden="1" customWidth="1" outlineLevel="2"/>
    <col min="30" max="30" width="12" style="260" hidden="1" customWidth="1" outlineLevel="2"/>
    <col min="31" max="31" width="10.140625" style="260" hidden="1" customWidth="1" outlineLevel="2"/>
    <col min="32" max="32" width="3.42578125" style="258" customWidth="1" collapsed="1"/>
    <col min="33" max="33" width="14.140625" style="260" hidden="1" customWidth="1" outlineLevel="1" collapsed="1"/>
    <col min="34" max="34" width="12" style="392" hidden="1" customWidth="1" outlineLevel="2"/>
    <col min="35" max="35" width="12" style="260" hidden="1" customWidth="1" outlineLevel="2"/>
    <col min="36" max="36" width="10.140625" style="260" hidden="1" customWidth="1" outlineLevel="2"/>
    <col min="37" max="37" width="4.28515625" style="391" customWidth="1" collapsed="1"/>
    <col min="38" max="38" width="14.140625" style="260" hidden="1" customWidth="1" outlineLevel="1" collapsed="1"/>
    <col min="39" max="39" width="12" style="392" hidden="1" customWidth="1" outlineLevel="2"/>
    <col min="40" max="40" width="12" style="260" hidden="1" customWidth="1" outlineLevel="2"/>
    <col min="41" max="41" width="34.5703125" style="260" hidden="1" customWidth="1" outlineLevel="2"/>
    <col min="42" max="42" width="3.28515625" style="258" customWidth="1"/>
    <col min="43" max="43" width="15" style="260" customWidth="1" outlineLevel="1"/>
    <col min="44" max="44" width="12" style="392" customWidth="1" outlineLevel="2"/>
    <col min="45" max="45" width="12" style="260" customWidth="1" outlineLevel="2"/>
    <col min="46" max="46" width="9.140625" style="260" customWidth="1" outlineLevel="2"/>
    <col min="47" max="47" width="3.42578125" style="391" customWidth="1" collapsed="1"/>
    <col min="48" max="48" width="13.7109375" style="260" hidden="1" customWidth="1" outlineLevel="1" collapsed="1"/>
    <col min="49" max="49" width="9.140625" style="392" hidden="1" customWidth="1" outlineLevel="2"/>
    <col min="50" max="51" width="9.140625" style="260" hidden="1" customWidth="1" outlineLevel="2"/>
    <col min="52" max="52" width="3.28515625" style="258" customWidth="1" collapsed="1"/>
    <col min="53" max="53" width="13.7109375" style="260" hidden="1" customWidth="1" outlineLevel="1" collapsed="1"/>
    <col min="54" max="54" width="9.140625" style="392" hidden="1" customWidth="1" outlineLevel="2"/>
    <col min="55" max="56" width="9.140625" style="260" hidden="1" customWidth="1" outlineLevel="2"/>
    <col min="57" max="57" width="3.42578125" style="391" customWidth="1" collapsed="1"/>
    <col min="58" max="58" width="13.7109375" style="260" hidden="1" customWidth="1" outlineLevel="1" collapsed="1"/>
    <col min="59" max="59" width="9.140625" style="392" hidden="1" customWidth="1" outlineLevel="2"/>
    <col min="60" max="61" width="9.140625" style="260" hidden="1" customWidth="1" outlineLevel="2"/>
    <col min="62" max="62" width="3.28515625" style="258" customWidth="1"/>
    <col min="63" max="63" width="15.7109375" style="261" customWidth="1" outlineLevel="1"/>
    <col min="64" max="64" width="14.42578125" style="393" customWidth="1" outlineLevel="1"/>
    <col min="65" max="65" width="14.85546875" style="393" customWidth="1" outlineLevel="1"/>
    <col min="66" max="66" width="9.7109375" style="261" customWidth="1" outlineLevel="1"/>
    <col min="67" max="68" width="9.140625" style="261" customWidth="1" outlineLevel="1"/>
    <col min="69" max="69" width="3.28515625" style="258" customWidth="1"/>
    <col min="70" max="70" width="15" style="261" customWidth="1" outlineLevel="1"/>
    <col min="71" max="71" width="14" style="393" customWidth="1" outlineLevel="1"/>
    <col min="72" max="72" width="9" style="393" customWidth="1" outlineLevel="1"/>
    <col min="73" max="75" width="9" style="261" customWidth="1" outlineLevel="1"/>
    <col min="76" max="16384" width="9.140625" style="258"/>
  </cols>
  <sheetData>
    <row r="1" spans="1:75" ht="18">
      <c r="A1" s="394" t="s">
        <v>324</v>
      </c>
      <c r="B1" s="262"/>
      <c r="C1" s="264"/>
      <c r="D1" s="395"/>
      <c r="E1" s="396">
        <f>C5/C14</f>
        <v>0.89040381463269258</v>
      </c>
      <c r="F1" s="397"/>
      <c r="G1" s="398"/>
      <c r="H1" s="264"/>
      <c r="I1" s="395"/>
      <c r="J1" s="399"/>
      <c r="K1" s="397"/>
      <c r="L1" s="262"/>
      <c r="M1" s="264"/>
      <c r="N1" s="395"/>
      <c r="O1" s="399"/>
      <c r="P1" s="397"/>
      <c r="Q1" s="398"/>
      <c r="R1" s="264"/>
      <c r="S1" s="395"/>
      <c r="T1" s="399"/>
      <c r="U1" s="397"/>
      <c r="V1" s="262"/>
      <c r="W1" s="264"/>
      <c r="X1" s="395"/>
      <c r="Y1" s="399"/>
      <c r="Z1" s="397"/>
      <c r="AA1" s="398"/>
      <c r="AB1" s="264"/>
      <c r="AC1" s="395"/>
      <c r="AD1" s="399"/>
      <c r="AE1" s="397"/>
      <c r="AF1" s="262"/>
      <c r="AG1" s="264"/>
      <c r="AH1" s="395"/>
      <c r="AI1" s="399"/>
      <c r="AJ1" s="397"/>
      <c r="AK1" s="398"/>
      <c r="AL1" s="264"/>
      <c r="AM1" s="395"/>
      <c r="AN1" s="399"/>
      <c r="AO1" s="397"/>
      <c r="AP1" s="262"/>
      <c r="AQ1" s="264"/>
      <c r="AR1" s="395"/>
      <c r="AS1" s="399"/>
      <c r="AT1" s="397"/>
      <c r="AU1" s="398"/>
      <c r="AV1" s="264"/>
      <c r="AW1" s="395"/>
      <c r="AX1" s="399"/>
      <c r="AY1" s="397"/>
      <c r="AZ1" s="262"/>
      <c r="BA1" s="264"/>
      <c r="BB1" s="395"/>
      <c r="BC1" s="399"/>
      <c r="BD1" s="397"/>
      <c r="BE1" s="398"/>
      <c r="BF1" s="264"/>
      <c r="BG1" s="395"/>
      <c r="BH1" s="399"/>
      <c r="BI1" s="397"/>
      <c r="BJ1" s="262"/>
      <c r="BK1" s="265"/>
      <c r="BQ1" s="262"/>
      <c r="BR1" s="265"/>
    </row>
    <row r="2" spans="1:75" s="275" customFormat="1">
      <c r="A2" s="400"/>
      <c r="B2" s="401" t="s">
        <v>325</v>
      </c>
      <c r="C2" s="402" t="s">
        <v>0</v>
      </c>
      <c r="D2" s="402"/>
      <c r="E2" s="403"/>
      <c r="F2" s="403"/>
      <c r="G2" s="404" t="s">
        <v>326</v>
      </c>
      <c r="H2" s="270" t="s">
        <v>1</v>
      </c>
      <c r="I2" s="405"/>
      <c r="J2" s="406"/>
      <c r="K2" s="406"/>
      <c r="L2" s="401" t="s">
        <v>327</v>
      </c>
      <c r="M2" s="271" t="s">
        <v>2</v>
      </c>
      <c r="N2" s="402"/>
      <c r="O2" s="403"/>
      <c r="P2" s="403"/>
      <c r="Q2" s="404" t="s">
        <v>328</v>
      </c>
      <c r="R2" s="272" t="s">
        <v>3</v>
      </c>
      <c r="S2" s="405"/>
      <c r="T2" s="406"/>
      <c r="U2" s="406"/>
      <c r="V2" s="401" t="s">
        <v>4</v>
      </c>
      <c r="W2" s="271" t="s">
        <v>4</v>
      </c>
      <c r="X2" s="402"/>
      <c r="Y2" s="403"/>
      <c r="Z2" s="403"/>
      <c r="AA2" s="404" t="s">
        <v>5</v>
      </c>
      <c r="AB2" s="272" t="s">
        <v>5</v>
      </c>
      <c r="AC2" s="405"/>
      <c r="AD2" s="406"/>
      <c r="AE2" s="406"/>
      <c r="AF2" s="401" t="s">
        <v>6</v>
      </c>
      <c r="AG2" s="271" t="s">
        <v>6</v>
      </c>
      <c r="AH2" s="402"/>
      <c r="AI2" s="403"/>
      <c r="AJ2" s="403"/>
      <c r="AK2" s="404" t="s">
        <v>329</v>
      </c>
      <c r="AL2" s="272" t="s">
        <v>7</v>
      </c>
      <c r="AM2" s="405"/>
      <c r="AN2" s="406"/>
      <c r="AO2" s="406"/>
      <c r="AP2" s="401" t="s">
        <v>330</v>
      </c>
      <c r="AQ2" s="271" t="s">
        <v>8</v>
      </c>
      <c r="AR2" s="402"/>
      <c r="AS2" s="403"/>
      <c r="AT2" s="403"/>
      <c r="AU2" s="404" t="s">
        <v>331</v>
      </c>
      <c r="AV2" s="272" t="s">
        <v>9</v>
      </c>
      <c r="AW2" s="405"/>
      <c r="AX2" s="406"/>
      <c r="AY2" s="406"/>
      <c r="AZ2" s="401" t="s">
        <v>332</v>
      </c>
      <c r="BA2" s="271" t="s">
        <v>10</v>
      </c>
      <c r="BB2" s="402"/>
      <c r="BC2" s="403"/>
      <c r="BD2" s="403"/>
      <c r="BE2" s="404" t="s">
        <v>333</v>
      </c>
      <c r="BF2" s="272" t="s">
        <v>11</v>
      </c>
      <c r="BG2" s="405"/>
      <c r="BH2" s="406"/>
      <c r="BI2" s="406"/>
      <c r="BJ2" s="407" t="s">
        <v>12</v>
      </c>
      <c r="BK2" s="408" t="s">
        <v>12</v>
      </c>
      <c r="BL2" s="409"/>
      <c r="BM2" s="409"/>
      <c r="BN2" s="410"/>
      <c r="BO2" s="410"/>
      <c r="BP2" s="410"/>
      <c r="BQ2" s="411" t="s">
        <v>12</v>
      </c>
      <c r="BR2" s="412" t="s">
        <v>334</v>
      </c>
      <c r="BS2" s="413"/>
      <c r="BT2" s="413"/>
      <c r="BU2" s="414"/>
      <c r="BV2" s="415"/>
      <c r="BW2" s="415"/>
    </row>
    <row r="3" spans="1:75" s="275" customFormat="1">
      <c r="A3" s="416"/>
      <c r="B3" s="417"/>
      <c r="C3" s="418" t="s">
        <v>335</v>
      </c>
      <c r="D3" s="419"/>
      <c r="E3" s="419"/>
      <c r="F3" s="420"/>
      <c r="G3" s="421"/>
      <c r="H3" s="418" t="s">
        <v>335</v>
      </c>
      <c r="I3" s="419"/>
      <c r="J3" s="419"/>
      <c r="K3" s="420"/>
      <c r="L3" s="417"/>
      <c r="M3" s="418" t="s">
        <v>335</v>
      </c>
      <c r="N3" s="419"/>
      <c r="O3" s="419"/>
      <c r="P3" s="420"/>
      <c r="Q3" s="421"/>
      <c r="R3" s="418" t="s">
        <v>335</v>
      </c>
      <c r="S3" s="419"/>
      <c r="T3" s="419"/>
      <c r="U3" s="420"/>
      <c r="V3" s="417"/>
      <c r="W3" s="418" t="s">
        <v>335</v>
      </c>
      <c r="X3" s="419"/>
      <c r="Y3" s="419"/>
      <c r="Z3" s="420"/>
      <c r="AA3" s="421"/>
      <c r="AB3" s="418" t="s">
        <v>335</v>
      </c>
      <c r="AC3" s="419"/>
      <c r="AD3" s="419"/>
      <c r="AE3" s="420"/>
      <c r="AF3" s="417"/>
      <c r="AG3" s="418" t="s">
        <v>335</v>
      </c>
      <c r="AH3" s="419"/>
      <c r="AI3" s="419"/>
      <c r="AJ3" s="420"/>
      <c r="AK3" s="421"/>
      <c r="AL3" s="418" t="s">
        <v>335</v>
      </c>
      <c r="AM3" s="419"/>
      <c r="AN3" s="419"/>
      <c r="AO3" s="420"/>
      <c r="AP3" s="417"/>
      <c r="AQ3" s="418" t="s">
        <v>335</v>
      </c>
      <c r="AR3" s="419"/>
      <c r="AS3" s="419"/>
      <c r="AT3" s="420"/>
      <c r="AU3" s="421"/>
      <c r="AV3" s="418" t="s">
        <v>335</v>
      </c>
      <c r="AW3" s="419"/>
      <c r="AX3" s="419"/>
      <c r="AY3" s="420"/>
      <c r="AZ3" s="417"/>
      <c r="BA3" s="418" t="s">
        <v>335</v>
      </c>
      <c r="BB3" s="419"/>
      <c r="BC3" s="419"/>
      <c r="BD3" s="420"/>
      <c r="BE3" s="421"/>
      <c r="BF3" s="418" t="s">
        <v>335</v>
      </c>
      <c r="BG3" s="419"/>
      <c r="BH3" s="419"/>
      <c r="BI3" s="420"/>
      <c r="BJ3" s="422"/>
      <c r="BK3" s="423" t="s">
        <v>65</v>
      </c>
      <c r="BL3" s="424"/>
      <c r="BM3" s="424"/>
      <c r="BN3" s="425"/>
      <c r="BO3" s="425"/>
      <c r="BP3" s="425"/>
      <c r="BQ3" s="426"/>
      <c r="BR3" s="423" t="s">
        <v>65</v>
      </c>
      <c r="BS3" s="424"/>
      <c r="BT3" s="424"/>
      <c r="BU3" s="425"/>
      <c r="BV3" s="427"/>
      <c r="BW3" s="427"/>
    </row>
    <row r="4" spans="1:75" s="442" customFormat="1" ht="63.75">
      <c r="A4" s="428" t="s">
        <v>336</v>
      </c>
      <c r="B4" s="429"/>
      <c r="C4" s="430" t="s">
        <v>337</v>
      </c>
      <c r="D4" s="431" t="s">
        <v>338</v>
      </c>
      <c r="E4" s="432" t="s">
        <v>339</v>
      </c>
      <c r="F4" s="433" t="s">
        <v>340</v>
      </c>
      <c r="G4" s="434"/>
      <c r="H4" s="430" t="s">
        <v>337</v>
      </c>
      <c r="I4" s="431" t="s">
        <v>338</v>
      </c>
      <c r="J4" s="432" t="s">
        <v>339</v>
      </c>
      <c r="K4" s="435" t="s">
        <v>340</v>
      </c>
      <c r="L4" s="429"/>
      <c r="M4" s="430" t="s">
        <v>337</v>
      </c>
      <c r="N4" s="431" t="s">
        <v>338</v>
      </c>
      <c r="O4" s="432" t="s">
        <v>339</v>
      </c>
      <c r="P4" s="435" t="s">
        <v>340</v>
      </c>
      <c r="Q4" s="434"/>
      <c r="R4" s="430" t="s">
        <v>337</v>
      </c>
      <c r="S4" s="431" t="s">
        <v>338</v>
      </c>
      <c r="T4" s="432" t="s">
        <v>339</v>
      </c>
      <c r="U4" s="435" t="s">
        <v>340</v>
      </c>
      <c r="V4" s="429"/>
      <c r="W4" s="430" t="s">
        <v>337</v>
      </c>
      <c r="X4" s="431" t="s">
        <v>338</v>
      </c>
      <c r="Y4" s="432" t="s">
        <v>339</v>
      </c>
      <c r="Z4" s="435" t="s">
        <v>340</v>
      </c>
      <c r="AA4" s="434"/>
      <c r="AB4" s="430" t="s">
        <v>337</v>
      </c>
      <c r="AC4" s="431" t="s">
        <v>338</v>
      </c>
      <c r="AD4" s="432" t="s">
        <v>339</v>
      </c>
      <c r="AE4" s="435" t="s">
        <v>340</v>
      </c>
      <c r="AF4" s="429"/>
      <c r="AG4" s="430" t="s">
        <v>337</v>
      </c>
      <c r="AH4" s="431" t="s">
        <v>338</v>
      </c>
      <c r="AI4" s="432" t="s">
        <v>339</v>
      </c>
      <c r="AJ4" s="435" t="s">
        <v>340</v>
      </c>
      <c r="AK4" s="434"/>
      <c r="AL4" s="430" t="s">
        <v>337</v>
      </c>
      <c r="AM4" s="431" t="s">
        <v>338</v>
      </c>
      <c r="AN4" s="432" t="s">
        <v>339</v>
      </c>
      <c r="AO4" s="435" t="s">
        <v>340</v>
      </c>
      <c r="AP4" s="429"/>
      <c r="AQ4" s="430" t="s">
        <v>337</v>
      </c>
      <c r="AR4" s="431" t="s">
        <v>338</v>
      </c>
      <c r="AS4" s="432" t="s">
        <v>339</v>
      </c>
      <c r="AT4" s="435" t="s">
        <v>340</v>
      </c>
      <c r="AU4" s="434"/>
      <c r="AV4" s="430" t="s">
        <v>337</v>
      </c>
      <c r="AW4" s="431" t="s">
        <v>338</v>
      </c>
      <c r="AX4" s="432" t="s">
        <v>339</v>
      </c>
      <c r="AY4" s="435" t="s">
        <v>340</v>
      </c>
      <c r="AZ4" s="429"/>
      <c r="BA4" s="430" t="s">
        <v>337</v>
      </c>
      <c r="BB4" s="431" t="s">
        <v>338</v>
      </c>
      <c r="BC4" s="432" t="s">
        <v>339</v>
      </c>
      <c r="BD4" s="435" t="s">
        <v>340</v>
      </c>
      <c r="BE4" s="434"/>
      <c r="BF4" s="430" t="s">
        <v>337</v>
      </c>
      <c r="BG4" s="431" t="s">
        <v>338</v>
      </c>
      <c r="BH4" s="432" t="s">
        <v>339</v>
      </c>
      <c r="BI4" s="435" t="s">
        <v>340</v>
      </c>
      <c r="BJ4" s="436"/>
      <c r="BK4" s="437" t="s">
        <v>337</v>
      </c>
      <c r="BL4" s="438" t="s">
        <v>338</v>
      </c>
      <c r="BM4" s="432" t="s">
        <v>339</v>
      </c>
      <c r="BN4" s="439" t="s">
        <v>340</v>
      </c>
      <c r="BO4" s="439"/>
      <c r="BP4" s="439"/>
      <c r="BQ4" s="440"/>
      <c r="BR4" s="437" t="s">
        <v>337</v>
      </c>
      <c r="BS4" s="438" t="s">
        <v>338</v>
      </c>
      <c r="BT4" s="432" t="s">
        <v>339</v>
      </c>
      <c r="BU4" s="439" t="s">
        <v>340</v>
      </c>
      <c r="BV4" s="441"/>
      <c r="BW4" s="441"/>
    </row>
    <row r="5" spans="1:75">
      <c r="A5" s="443" t="s">
        <v>20</v>
      </c>
      <c r="B5" s="444"/>
      <c r="C5" s="445">
        <f>SUM(C6:C12)</f>
        <v>191216</v>
      </c>
      <c r="D5" s="446">
        <f>SUM(D6:D12)</f>
        <v>191216</v>
      </c>
      <c r="E5" s="447">
        <f t="shared" ref="E5:E12" si="0">IF(F14=0,"",D5/F14)</f>
        <v>0.89040381463269258</v>
      </c>
      <c r="F5" s="448">
        <f t="shared" ref="F5:F12" si="1">IF(C5=0,0,D14/D5*1000)</f>
        <v>97444.651964270772</v>
      </c>
      <c r="G5" s="449"/>
      <c r="H5" s="445">
        <f>SUM(H6:H12)</f>
        <v>241060</v>
      </c>
      <c r="I5" s="446">
        <f>SUM(I6:I12)</f>
        <v>241060</v>
      </c>
      <c r="J5" s="447">
        <f t="shared" ref="J5:J12" si="2">IF(K14=0,"",I5/K14)</f>
        <v>0.89939706891920124</v>
      </c>
      <c r="K5" s="448">
        <f t="shared" ref="K5:K12" si="3">IF(H5=0,0,I14/I5*1000)</f>
        <v>21007.102215216131</v>
      </c>
      <c r="L5" s="444"/>
      <c r="M5" s="445">
        <f>SUM(M6:M12)</f>
        <v>343577.04</v>
      </c>
      <c r="N5" s="446">
        <f>SUM(N6:N12)</f>
        <v>342697.04</v>
      </c>
      <c r="O5" s="447">
        <f t="shared" ref="O5:O12" si="4">IF(P14=0,"",N5/P14)</f>
        <v>0.89635475762640482</v>
      </c>
      <c r="P5" s="448">
        <f t="shared" ref="P5:P12" si="5">IF(M5=0,0,N14/N5*1000)</f>
        <v>94664.447583206435</v>
      </c>
      <c r="Q5" s="449"/>
      <c r="R5" s="445">
        <f>SUM(R6:R12)</f>
        <v>481297</v>
      </c>
      <c r="S5" s="446">
        <f>SUM(S6:S12)</f>
        <v>481297</v>
      </c>
      <c r="T5" s="447">
        <f t="shared" ref="T5:T12" si="6">IF(U14=0,"",S5/U14)</f>
        <v>0.89169365416966184</v>
      </c>
      <c r="U5" s="448">
        <f t="shared" ref="U5:U12" si="7">IF(R5=0,0,S14/S5*1000)</f>
        <v>91482.273232536245</v>
      </c>
      <c r="V5" s="444"/>
      <c r="W5" s="445">
        <f>SUM(W6:W12)</f>
        <v>501705</v>
      </c>
      <c r="X5" s="446">
        <f>SUM(X6:X12)</f>
        <v>501705</v>
      </c>
      <c r="Y5" s="447">
        <f t="shared" ref="Y5:Y12" si="8">IF(Z14=0,"",X5/Z14)</f>
        <v>0.89522876551735209</v>
      </c>
      <c r="Z5" s="448">
        <f t="shared" ref="Z5:Z12" si="9">IF(W5=0,0,X14/X5*1000)</f>
        <v>89871.7501918458</v>
      </c>
      <c r="AA5" s="449"/>
      <c r="AB5" s="445">
        <f>SUM(AB6:AB12)</f>
        <v>448855</v>
      </c>
      <c r="AC5" s="446">
        <f>SUM(AC6:AC12)</f>
        <v>448855</v>
      </c>
      <c r="AD5" s="447">
        <f t="shared" ref="AD5:AD12" si="10">IF(AE14=0,"",AC5/AE14)</f>
        <v>0.89554635999425392</v>
      </c>
      <c r="AE5" s="448">
        <f t="shared" ref="AE5:AE12" si="11">IF(AB5=0,0,AC14/AC5*1000)</f>
        <v>88485.768410733974</v>
      </c>
      <c r="AF5" s="444"/>
      <c r="AG5" s="445">
        <f>SUM(AG6:AG12)</f>
        <v>501540</v>
      </c>
      <c r="AH5" s="446">
        <f>SUM(AH6:AH12)</f>
        <v>501460</v>
      </c>
      <c r="AI5" s="447">
        <f t="shared" ref="AI5:AI12" si="12">IF(AJ14=0,"",AH5/AJ14)</f>
        <v>0.8967806315699115</v>
      </c>
      <c r="AJ5" s="448">
        <f t="shared" ref="AJ5:AJ12" si="13">IF(AG5=0,0,AH14/AH5*1000)</f>
        <v>86214.429406134106</v>
      </c>
      <c r="AK5" s="449"/>
      <c r="AL5" s="445">
        <f>SUM(AL6:AL12)</f>
        <v>437378</v>
      </c>
      <c r="AM5" s="446">
        <f>SUM(AM6:AM12)</f>
        <v>437266</v>
      </c>
      <c r="AN5" s="447">
        <f t="shared" ref="AN5:AN12" si="14">IF(AO14=0,"",AM5/AO14)</f>
        <v>0.89677562254151988</v>
      </c>
      <c r="AO5" s="448">
        <f t="shared" ref="AO5:AO12" si="15">IF(AL5=0,0,AM14/AM5*1000)</f>
        <v>87116.701458608717</v>
      </c>
      <c r="AP5" s="444"/>
      <c r="AQ5" s="445">
        <f>SUM(AQ6:AQ12)</f>
        <v>388322</v>
      </c>
      <c r="AR5" s="446">
        <f>SUM(AR6:AR12)</f>
        <v>388322</v>
      </c>
      <c r="AS5" s="447">
        <f t="shared" ref="AS5:AS12" si="16">IF(AT14=0,"",AR5/AT14)</f>
        <v>0.9006698395910453</v>
      </c>
      <c r="AT5" s="448">
        <f t="shared" ref="AT5:AT12" si="17">IF(AQ5=0,0,AR14/AR5*1000)</f>
        <v>88591.837212416489</v>
      </c>
      <c r="AU5" s="449"/>
      <c r="AV5" s="445">
        <f>SUM(AV6:AV12)</f>
        <v>0</v>
      </c>
      <c r="AW5" s="446">
        <f>SUM(AW6:AW12)</f>
        <v>0</v>
      </c>
      <c r="AX5" s="447" t="str">
        <f t="shared" ref="AX5:AX12" si="18">IF(AY14=0,"",AW5/AY14)</f>
        <v/>
      </c>
      <c r="AY5" s="448">
        <f t="shared" ref="AY5:AY12" si="19">IF(AV5=0,0,AW14/AW5*1000)</f>
        <v>0</v>
      </c>
      <c r="AZ5" s="444"/>
      <c r="BA5" s="445">
        <f>SUM(BA6:BA12)</f>
        <v>0</v>
      </c>
      <c r="BB5" s="446">
        <f>SUM(BB6:BB12)</f>
        <v>0</v>
      </c>
      <c r="BC5" s="447" t="str">
        <f t="shared" ref="BC5:BC12" si="20">IF(BD14=0,"",BB5/BD14)</f>
        <v/>
      </c>
      <c r="BD5" s="448">
        <f t="shared" ref="BD5:BD12" si="21">IF(BA5=0,0,BB14/BB5*1000)</f>
        <v>0</v>
      </c>
      <c r="BE5" s="449"/>
      <c r="BF5" s="445">
        <f>SUM(BF6:BF12)</f>
        <v>0</v>
      </c>
      <c r="BG5" s="446">
        <f>SUM(BG6:BG12)</f>
        <v>0</v>
      </c>
      <c r="BH5" s="447" t="str">
        <f t="shared" ref="BH5:BH12" si="22">IF(BI14=0,"",BG5/BI14)</f>
        <v/>
      </c>
      <c r="BI5" s="448">
        <f t="shared" ref="BI5:BI12" si="23">IF(BF5=0,0,BG14/BG5*1000)</f>
        <v>0</v>
      </c>
      <c r="BJ5" s="450"/>
      <c r="BK5" s="451">
        <f t="shared" ref="BK5:BK12" si="24">SUM(C5,H5,M5,R5,W5,AB5,AG5,AL5,AQ5,AV5,BA5,BF5)</f>
        <v>3534950.04</v>
      </c>
      <c r="BL5" s="452">
        <f>SUM(BL6:BL12)</f>
        <v>3533878.04</v>
      </c>
      <c r="BM5" s="453">
        <f t="shared" ref="BM5:BM12" si="25">IF(BN14=0,"",BL5/BN14)</f>
        <v>0.89592102034069487</v>
      </c>
      <c r="BN5" s="454">
        <f t="shared" ref="BN5:BN12" si="26">IF(BK5=0,0,BL14/BL5*1000)</f>
        <v>0</v>
      </c>
      <c r="BO5" s="454"/>
      <c r="BP5" s="454"/>
      <c r="BQ5" s="455"/>
      <c r="BR5" s="451" t="e">
        <f>NA()</f>
        <v>#N/A</v>
      </c>
      <c r="BS5" s="452">
        <f>SUM(BS6:BS12)</f>
        <v>3101602.04</v>
      </c>
      <c r="BT5" s="453">
        <f t="shared" ref="BT5:BT12" si="27">IF(BU14=0,"",BS5/BU14)</f>
        <v>0.89599415535793525</v>
      </c>
      <c r="BU5" s="454" t="e">
        <f t="shared" ref="BU5:BU12" si="28">IF(BR5=0,0,BS14/BS5*1000)</f>
        <v>#N/A</v>
      </c>
      <c r="BV5" s="456"/>
      <c r="BW5" s="456"/>
    </row>
    <row r="6" spans="1:75" outlineLevel="1">
      <c r="A6" s="457" t="s">
        <v>341</v>
      </c>
      <c r="B6" s="458"/>
      <c r="C6" s="459">
        <v>191216</v>
      </c>
      <c r="D6" s="460">
        <v>191216</v>
      </c>
      <c r="E6" s="461">
        <f t="shared" si="0"/>
        <v>0.89040381463269258</v>
      </c>
      <c r="F6" s="462">
        <f t="shared" si="1"/>
        <v>97444.651964270772</v>
      </c>
      <c r="G6" s="463"/>
      <c r="H6" s="459">
        <v>192299</v>
      </c>
      <c r="I6" s="460">
        <v>192299</v>
      </c>
      <c r="J6" s="461">
        <f t="shared" si="2"/>
        <v>0.89941246545668729</v>
      </c>
      <c r="K6" s="462">
        <f t="shared" si="3"/>
        <v>1097.3352435530087</v>
      </c>
      <c r="L6" s="458"/>
      <c r="M6" s="459">
        <v>142140</v>
      </c>
      <c r="N6" s="460">
        <v>141260</v>
      </c>
      <c r="O6" s="461">
        <f t="shared" si="4"/>
        <v>0.89337175519122125</v>
      </c>
      <c r="P6" s="462">
        <f t="shared" si="5"/>
        <v>95171.80029732408</v>
      </c>
      <c r="Q6" s="463"/>
      <c r="R6" s="459">
        <v>39368</v>
      </c>
      <c r="S6" s="460">
        <v>39368</v>
      </c>
      <c r="T6" s="461">
        <f t="shared" si="6"/>
        <v>0.88923316582208556</v>
      </c>
      <c r="U6" s="462">
        <f t="shared" si="7"/>
        <v>97098.531802479178</v>
      </c>
      <c r="V6" s="458"/>
      <c r="W6" s="459">
        <v>122087</v>
      </c>
      <c r="X6" s="460">
        <v>122087</v>
      </c>
      <c r="Y6" s="461">
        <f t="shared" si="8"/>
        <v>0.89833770990320949</v>
      </c>
      <c r="Z6" s="462">
        <f t="shared" si="9"/>
        <v>89675.741233710403</v>
      </c>
      <c r="AA6" s="463"/>
      <c r="AB6" s="459">
        <v>8875</v>
      </c>
      <c r="AC6" s="460">
        <v>8875</v>
      </c>
      <c r="AD6" s="461">
        <f t="shared" si="10"/>
        <v>0.88680899842842464</v>
      </c>
      <c r="AE6" s="462">
        <f t="shared" si="11"/>
        <v>89343.458028169014</v>
      </c>
      <c r="AF6" s="458"/>
      <c r="AG6" s="459">
        <v>26333</v>
      </c>
      <c r="AH6" s="460">
        <v>26253</v>
      </c>
      <c r="AI6" s="461">
        <f t="shared" si="12"/>
        <v>0.89022902687146799</v>
      </c>
      <c r="AJ6" s="462">
        <f t="shared" si="13"/>
        <v>87114.785357863861</v>
      </c>
      <c r="AK6" s="463"/>
      <c r="AL6" s="459">
        <v>217049</v>
      </c>
      <c r="AM6" s="460">
        <v>216937</v>
      </c>
      <c r="AN6" s="461">
        <f t="shared" si="14"/>
        <v>0.89708459684281239</v>
      </c>
      <c r="AO6" s="462">
        <f t="shared" si="15"/>
        <v>87019.988982976633</v>
      </c>
      <c r="AP6" s="458"/>
      <c r="AQ6" s="459">
        <v>225347</v>
      </c>
      <c r="AR6" s="460">
        <v>225347</v>
      </c>
      <c r="AS6" s="461">
        <f t="shared" si="16"/>
        <v>0.89988777189861024</v>
      </c>
      <c r="AT6" s="462">
        <f t="shared" si="17"/>
        <v>88730.344712820661</v>
      </c>
      <c r="AU6" s="463"/>
      <c r="AV6" s="459"/>
      <c r="AW6" s="460"/>
      <c r="AX6" s="461" t="str">
        <f t="shared" si="18"/>
        <v/>
      </c>
      <c r="AY6" s="462">
        <f t="shared" si="19"/>
        <v>0</v>
      </c>
      <c r="AZ6" s="458"/>
      <c r="BA6" s="459"/>
      <c r="BB6" s="460"/>
      <c r="BC6" s="461" t="str">
        <f t="shared" si="20"/>
        <v/>
      </c>
      <c r="BD6" s="462">
        <f t="shared" si="21"/>
        <v>0</v>
      </c>
      <c r="BE6" s="463"/>
      <c r="BF6" s="459"/>
      <c r="BG6" s="460"/>
      <c r="BH6" s="461" t="str">
        <f t="shared" si="22"/>
        <v/>
      </c>
      <c r="BI6" s="462">
        <f t="shared" si="23"/>
        <v>0</v>
      </c>
      <c r="BJ6" s="464"/>
      <c r="BK6" s="465">
        <f t="shared" si="24"/>
        <v>1164714</v>
      </c>
      <c r="BL6" s="466">
        <f t="shared" ref="BL6:BL12" si="29">SUM(D6,I6,N6,S6,X6,AC6,AH6,AM6,AR6,AW6,BB6,BG6)</f>
        <v>1163642</v>
      </c>
      <c r="BM6" s="461">
        <f t="shared" si="25"/>
        <v>0.89608011082265815</v>
      </c>
      <c r="BN6" s="467">
        <f t="shared" si="26"/>
        <v>76494.058103781063</v>
      </c>
      <c r="BO6" s="467"/>
      <c r="BP6" s="467"/>
      <c r="BQ6" s="468"/>
      <c r="BR6" s="465">
        <f t="shared" ref="BR6:BS12" si="30">SUM(M6,R6,W6,AB6,AG6,AL6,AQ6,AV6,BA6,BF6)</f>
        <v>781199</v>
      </c>
      <c r="BS6" s="466">
        <f t="shared" si="30"/>
        <v>780127</v>
      </c>
      <c r="BT6" s="461">
        <f t="shared" si="27"/>
        <v>0.89666229638712003</v>
      </c>
      <c r="BU6" s="467">
        <f t="shared" si="28"/>
        <v>89943.952356475289</v>
      </c>
      <c r="BV6" s="469"/>
      <c r="BW6" s="469"/>
    </row>
    <row r="7" spans="1:75" outlineLevel="2">
      <c r="A7" s="457" t="s">
        <v>342</v>
      </c>
      <c r="B7" s="458"/>
      <c r="C7" s="459"/>
      <c r="D7" s="460"/>
      <c r="E7" s="461" t="str">
        <f t="shared" si="0"/>
        <v/>
      </c>
      <c r="F7" s="462">
        <f t="shared" si="1"/>
        <v>0</v>
      </c>
      <c r="G7" s="470"/>
      <c r="H7" s="459"/>
      <c r="I7" s="460"/>
      <c r="J7" s="461" t="str">
        <f t="shared" si="2"/>
        <v/>
      </c>
      <c r="K7" s="462">
        <f t="shared" si="3"/>
        <v>0</v>
      </c>
      <c r="L7" s="458"/>
      <c r="M7" s="459"/>
      <c r="N7" s="460"/>
      <c r="O7" s="461" t="str">
        <f t="shared" si="4"/>
        <v/>
      </c>
      <c r="P7" s="462">
        <f t="shared" si="5"/>
        <v>0</v>
      </c>
      <c r="Q7" s="470"/>
      <c r="R7" s="459"/>
      <c r="S7" s="460"/>
      <c r="T7" s="461" t="str">
        <f t="shared" si="6"/>
        <v/>
      </c>
      <c r="U7" s="462">
        <f t="shared" si="7"/>
        <v>0</v>
      </c>
      <c r="V7" s="458"/>
      <c r="W7" s="459"/>
      <c r="X7" s="460"/>
      <c r="Y7" s="461" t="str">
        <f t="shared" si="8"/>
        <v/>
      </c>
      <c r="Z7" s="462">
        <f t="shared" si="9"/>
        <v>0</v>
      </c>
      <c r="AA7" s="470"/>
      <c r="AB7" s="459"/>
      <c r="AC7" s="460"/>
      <c r="AD7" s="461" t="str">
        <f t="shared" si="10"/>
        <v/>
      </c>
      <c r="AE7" s="462">
        <f t="shared" si="11"/>
        <v>0</v>
      </c>
      <c r="AF7" s="458"/>
      <c r="AG7" s="459"/>
      <c r="AH7" s="460"/>
      <c r="AI7" s="461" t="str">
        <f t="shared" si="12"/>
        <v/>
      </c>
      <c r="AJ7" s="462">
        <f t="shared" si="13"/>
        <v>0</v>
      </c>
      <c r="AK7" s="470"/>
      <c r="AL7" s="459"/>
      <c r="AM7" s="460"/>
      <c r="AN7" s="461" t="str">
        <f t="shared" si="14"/>
        <v/>
      </c>
      <c r="AO7" s="462">
        <f t="shared" si="15"/>
        <v>0</v>
      </c>
      <c r="AP7" s="458"/>
      <c r="AQ7" s="459"/>
      <c r="AR7" s="460"/>
      <c r="AS7" s="461" t="str">
        <f t="shared" si="16"/>
        <v/>
      </c>
      <c r="AT7" s="462">
        <f t="shared" si="17"/>
        <v>0</v>
      </c>
      <c r="AU7" s="470"/>
      <c r="AV7" s="459"/>
      <c r="AW7" s="460"/>
      <c r="AX7" s="461" t="str">
        <f t="shared" si="18"/>
        <v/>
      </c>
      <c r="AY7" s="462">
        <f t="shared" si="19"/>
        <v>0</v>
      </c>
      <c r="AZ7" s="458"/>
      <c r="BA7" s="459"/>
      <c r="BB7" s="460"/>
      <c r="BC7" s="461" t="str">
        <f t="shared" si="20"/>
        <v/>
      </c>
      <c r="BD7" s="462">
        <f t="shared" si="21"/>
        <v>0</v>
      </c>
      <c r="BE7" s="470"/>
      <c r="BF7" s="459"/>
      <c r="BG7" s="460"/>
      <c r="BH7" s="461" t="str">
        <f t="shared" si="22"/>
        <v/>
      </c>
      <c r="BI7" s="462">
        <f t="shared" si="23"/>
        <v>0</v>
      </c>
      <c r="BJ7" s="464"/>
      <c r="BK7" s="465">
        <f t="shared" si="24"/>
        <v>0</v>
      </c>
      <c r="BL7" s="466">
        <f t="shared" si="29"/>
        <v>0</v>
      </c>
      <c r="BM7" s="461" t="str">
        <f t="shared" si="25"/>
        <v/>
      </c>
      <c r="BN7" s="467">
        <f t="shared" si="26"/>
        <v>0</v>
      </c>
      <c r="BO7" s="467"/>
      <c r="BP7" s="467"/>
      <c r="BQ7" s="468"/>
      <c r="BR7" s="465">
        <f t="shared" si="30"/>
        <v>0</v>
      </c>
      <c r="BS7" s="466">
        <f t="shared" si="30"/>
        <v>0</v>
      </c>
      <c r="BT7" s="461" t="str">
        <f t="shared" si="27"/>
        <v/>
      </c>
      <c r="BU7" s="467">
        <f t="shared" si="28"/>
        <v>0</v>
      </c>
      <c r="BV7" s="469"/>
      <c r="BW7" s="469"/>
    </row>
    <row r="8" spans="1:75" outlineLevel="1">
      <c r="A8" s="457" t="s">
        <v>343</v>
      </c>
      <c r="B8" s="458"/>
      <c r="C8" s="459"/>
      <c r="D8" s="460"/>
      <c r="E8" s="461" t="str">
        <f t="shared" si="0"/>
        <v/>
      </c>
      <c r="F8" s="462">
        <f t="shared" si="1"/>
        <v>0</v>
      </c>
      <c r="G8" s="470"/>
      <c r="H8" s="459">
        <v>2103</v>
      </c>
      <c r="I8" s="460">
        <v>2103</v>
      </c>
      <c r="J8" s="461">
        <f t="shared" si="2"/>
        <v>0.8949427436655033</v>
      </c>
      <c r="K8" s="462">
        <f t="shared" si="3"/>
        <v>100340.68949120305</v>
      </c>
      <c r="L8" s="458"/>
      <c r="M8" s="459"/>
      <c r="N8" s="460"/>
      <c r="O8" s="461" t="str">
        <f t="shared" si="4"/>
        <v/>
      </c>
      <c r="P8" s="462">
        <f t="shared" si="5"/>
        <v>0</v>
      </c>
      <c r="Q8" s="470"/>
      <c r="R8" s="459">
        <v>2957</v>
      </c>
      <c r="S8" s="460">
        <v>2957</v>
      </c>
      <c r="T8" s="461">
        <f t="shared" si="6"/>
        <v>0.89551000309203821</v>
      </c>
      <c r="U8" s="462">
        <f t="shared" si="7"/>
        <v>90383.946567467035</v>
      </c>
      <c r="V8" s="458"/>
      <c r="W8" s="459">
        <v>1719</v>
      </c>
      <c r="X8" s="460">
        <v>1719</v>
      </c>
      <c r="Y8" s="461">
        <f t="shared" si="8"/>
        <v>0.88665011311365316</v>
      </c>
      <c r="Z8" s="462">
        <f t="shared" si="9"/>
        <v>90779.429901105294</v>
      </c>
      <c r="AA8" s="470"/>
      <c r="AB8" s="459"/>
      <c r="AC8" s="460"/>
      <c r="AD8" s="461" t="str">
        <f t="shared" si="10"/>
        <v/>
      </c>
      <c r="AE8" s="462">
        <f t="shared" si="11"/>
        <v>0</v>
      </c>
      <c r="AF8" s="458"/>
      <c r="AG8" s="459"/>
      <c r="AH8" s="460"/>
      <c r="AI8" s="461" t="str">
        <f t="shared" si="12"/>
        <v/>
      </c>
      <c r="AJ8" s="462">
        <f t="shared" si="13"/>
        <v>0</v>
      </c>
      <c r="AK8" s="470"/>
      <c r="AL8" s="459"/>
      <c r="AM8" s="460"/>
      <c r="AN8" s="461" t="str">
        <f t="shared" si="14"/>
        <v/>
      </c>
      <c r="AO8" s="462">
        <f t="shared" si="15"/>
        <v>0</v>
      </c>
      <c r="AP8" s="458"/>
      <c r="AQ8" s="459">
        <v>1223</v>
      </c>
      <c r="AR8" s="460">
        <v>1223</v>
      </c>
      <c r="AS8" s="461">
        <f t="shared" si="16"/>
        <v>0.90772928143170362</v>
      </c>
      <c r="AT8" s="462">
        <f t="shared" si="17"/>
        <v>88218.536385936226</v>
      </c>
      <c r="AU8" s="470"/>
      <c r="AV8" s="459"/>
      <c r="AW8" s="460"/>
      <c r="AX8" s="461" t="str">
        <f t="shared" si="18"/>
        <v/>
      </c>
      <c r="AY8" s="462">
        <f t="shared" si="19"/>
        <v>0</v>
      </c>
      <c r="AZ8" s="458"/>
      <c r="BA8" s="459"/>
      <c r="BB8" s="460"/>
      <c r="BC8" s="461" t="str">
        <f t="shared" si="20"/>
        <v/>
      </c>
      <c r="BD8" s="462">
        <f t="shared" si="21"/>
        <v>0</v>
      </c>
      <c r="BE8" s="470"/>
      <c r="BF8" s="459"/>
      <c r="BG8" s="460"/>
      <c r="BH8" s="461" t="str">
        <f t="shared" si="22"/>
        <v/>
      </c>
      <c r="BI8" s="462">
        <f t="shared" si="23"/>
        <v>0</v>
      </c>
      <c r="BJ8" s="464"/>
      <c r="BK8" s="465">
        <f t="shared" si="24"/>
        <v>8002</v>
      </c>
      <c r="BL8" s="466">
        <f t="shared" si="29"/>
        <v>8002</v>
      </c>
      <c r="BM8" s="461">
        <f t="shared" si="25"/>
        <v>0.8952809897900823</v>
      </c>
      <c r="BN8" s="467">
        <f t="shared" si="26"/>
        <v>92754.675081229696</v>
      </c>
      <c r="BO8" s="467"/>
      <c r="BP8" s="467"/>
      <c r="BQ8" s="468"/>
      <c r="BR8" s="465">
        <f t="shared" si="30"/>
        <v>5899</v>
      </c>
      <c r="BS8" s="466">
        <f t="shared" si="30"/>
        <v>5899</v>
      </c>
      <c r="BT8" s="461">
        <f t="shared" si="27"/>
        <v>0.89540163673772644</v>
      </c>
      <c r="BU8" s="467">
        <f t="shared" si="28"/>
        <v>90050.252585183945</v>
      </c>
      <c r="BV8" s="469"/>
      <c r="BW8" s="469"/>
    </row>
    <row r="9" spans="1:75" outlineLevel="2">
      <c r="A9" s="457" t="s">
        <v>344</v>
      </c>
      <c r="B9" s="458"/>
      <c r="C9" s="459"/>
      <c r="D9" s="460"/>
      <c r="E9" s="461" t="str">
        <f t="shared" si="0"/>
        <v/>
      </c>
      <c r="F9" s="462">
        <f t="shared" si="1"/>
        <v>0</v>
      </c>
      <c r="G9" s="470"/>
      <c r="H9" s="459"/>
      <c r="I9" s="460"/>
      <c r="J9" s="461" t="str">
        <f t="shared" si="2"/>
        <v/>
      </c>
      <c r="K9" s="462">
        <f t="shared" si="3"/>
        <v>0</v>
      </c>
      <c r="L9" s="458"/>
      <c r="M9" s="459"/>
      <c r="N9" s="460"/>
      <c r="O9" s="461" t="str">
        <f t="shared" si="4"/>
        <v/>
      </c>
      <c r="P9" s="462">
        <f t="shared" si="5"/>
        <v>0</v>
      </c>
      <c r="Q9" s="470"/>
      <c r="R9" s="459"/>
      <c r="S9" s="460"/>
      <c r="T9" s="461" t="str">
        <f t="shared" si="6"/>
        <v/>
      </c>
      <c r="U9" s="462">
        <f t="shared" si="7"/>
        <v>0</v>
      </c>
      <c r="V9" s="458"/>
      <c r="W9" s="459"/>
      <c r="X9" s="460"/>
      <c r="Y9" s="461" t="str">
        <f t="shared" si="8"/>
        <v/>
      </c>
      <c r="Z9" s="462">
        <f t="shared" si="9"/>
        <v>0</v>
      </c>
      <c r="AA9" s="470"/>
      <c r="AB9" s="459"/>
      <c r="AC9" s="460"/>
      <c r="AD9" s="461" t="str">
        <f t="shared" si="10"/>
        <v/>
      </c>
      <c r="AE9" s="462">
        <f t="shared" si="11"/>
        <v>0</v>
      </c>
      <c r="AF9" s="458"/>
      <c r="AG9" s="459"/>
      <c r="AH9" s="460"/>
      <c r="AI9" s="461" t="str">
        <f t="shared" si="12"/>
        <v/>
      </c>
      <c r="AJ9" s="462">
        <f t="shared" si="13"/>
        <v>0</v>
      </c>
      <c r="AK9" s="470"/>
      <c r="AL9" s="459"/>
      <c r="AM9" s="460"/>
      <c r="AN9" s="461" t="str">
        <f t="shared" si="14"/>
        <v/>
      </c>
      <c r="AO9" s="462">
        <f t="shared" si="15"/>
        <v>0</v>
      </c>
      <c r="AP9" s="458"/>
      <c r="AQ9" s="459"/>
      <c r="AR9" s="460"/>
      <c r="AS9" s="461" t="str">
        <f t="shared" si="16"/>
        <v/>
      </c>
      <c r="AT9" s="462">
        <f t="shared" si="17"/>
        <v>0</v>
      </c>
      <c r="AU9" s="470"/>
      <c r="AV9" s="459"/>
      <c r="AW9" s="460"/>
      <c r="AX9" s="461" t="str">
        <f t="shared" si="18"/>
        <v/>
      </c>
      <c r="AY9" s="462">
        <f t="shared" si="19"/>
        <v>0</v>
      </c>
      <c r="AZ9" s="458"/>
      <c r="BA9" s="459"/>
      <c r="BB9" s="460"/>
      <c r="BC9" s="461" t="str">
        <f t="shared" si="20"/>
        <v/>
      </c>
      <c r="BD9" s="462">
        <f t="shared" si="21"/>
        <v>0</v>
      </c>
      <c r="BE9" s="470"/>
      <c r="BF9" s="459"/>
      <c r="BG9" s="460"/>
      <c r="BH9" s="461" t="str">
        <f t="shared" si="22"/>
        <v/>
      </c>
      <c r="BI9" s="462">
        <f t="shared" si="23"/>
        <v>0</v>
      </c>
      <c r="BJ9" s="464"/>
      <c r="BK9" s="465">
        <f t="shared" si="24"/>
        <v>0</v>
      </c>
      <c r="BL9" s="466">
        <f t="shared" si="29"/>
        <v>0</v>
      </c>
      <c r="BM9" s="461" t="str">
        <f t="shared" si="25"/>
        <v/>
      </c>
      <c r="BN9" s="467">
        <f t="shared" si="26"/>
        <v>0</v>
      </c>
      <c r="BO9" s="467"/>
      <c r="BP9" s="467"/>
      <c r="BQ9" s="468"/>
      <c r="BR9" s="465">
        <f t="shared" si="30"/>
        <v>0</v>
      </c>
      <c r="BS9" s="466">
        <f t="shared" si="30"/>
        <v>0</v>
      </c>
      <c r="BT9" s="461" t="str">
        <f t="shared" si="27"/>
        <v/>
      </c>
      <c r="BU9" s="467">
        <f t="shared" si="28"/>
        <v>0</v>
      </c>
      <c r="BV9" s="469"/>
      <c r="BW9" s="469"/>
    </row>
    <row r="10" spans="1:75" outlineLevel="1">
      <c r="A10" s="457" t="s">
        <v>345</v>
      </c>
      <c r="B10" s="458"/>
      <c r="C10" s="459"/>
      <c r="D10" s="460"/>
      <c r="E10" s="461" t="str">
        <f t="shared" si="0"/>
        <v/>
      </c>
      <c r="F10" s="462">
        <f t="shared" si="1"/>
        <v>0</v>
      </c>
      <c r="G10" s="470"/>
      <c r="H10" s="459">
        <v>46338</v>
      </c>
      <c r="I10" s="460">
        <v>46338</v>
      </c>
      <c r="J10" s="461">
        <f t="shared" si="2"/>
        <v>0.89954186029053806</v>
      </c>
      <c r="K10" s="462">
        <f t="shared" si="3"/>
        <v>99505.188614096405</v>
      </c>
      <c r="L10" s="458"/>
      <c r="M10" s="459">
        <v>201106</v>
      </c>
      <c r="N10" s="460">
        <v>201106</v>
      </c>
      <c r="O10" s="461">
        <f t="shared" si="4"/>
        <v>0.89845708248380263</v>
      </c>
      <c r="P10" s="462">
        <f t="shared" si="5"/>
        <v>94308.974073374236</v>
      </c>
      <c r="Q10" s="470"/>
      <c r="R10" s="459">
        <v>438972</v>
      </c>
      <c r="S10" s="460">
        <v>438972</v>
      </c>
      <c r="T10" s="461">
        <f t="shared" si="6"/>
        <v>0.8918893717304861</v>
      </c>
      <c r="U10" s="462">
        <f t="shared" si="7"/>
        <v>90985.993024612049</v>
      </c>
      <c r="V10" s="458"/>
      <c r="W10" s="459">
        <v>377899</v>
      </c>
      <c r="X10" s="460">
        <v>377899</v>
      </c>
      <c r="Y10" s="461">
        <f t="shared" si="8"/>
        <v>0.89426827373308615</v>
      </c>
      <c r="Z10" s="462">
        <f t="shared" si="9"/>
        <v>89930.945490726343</v>
      </c>
      <c r="AA10" s="470"/>
      <c r="AB10" s="459">
        <v>439980</v>
      </c>
      <c r="AC10" s="460">
        <v>439980</v>
      </c>
      <c r="AD10" s="461">
        <f t="shared" si="10"/>
        <v>0.89572437640335856</v>
      </c>
      <c r="AE10" s="462">
        <f t="shared" si="11"/>
        <v>88468.467634892484</v>
      </c>
      <c r="AF10" s="458"/>
      <c r="AG10" s="459">
        <v>475127</v>
      </c>
      <c r="AH10" s="460">
        <v>475127</v>
      </c>
      <c r="AI10" s="461">
        <f t="shared" si="12"/>
        <v>0.89714608293035258</v>
      </c>
      <c r="AJ10" s="462">
        <f t="shared" si="13"/>
        <v>86164.592393191706</v>
      </c>
      <c r="AK10" s="470"/>
      <c r="AL10" s="459">
        <v>220217</v>
      </c>
      <c r="AM10" s="460">
        <v>220217</v>
      </c>
      <c r="AN10" s="461">
        <f t="shared" si="14"/>
        <v>0.89601590875906256</v>
      </c>
      <c r="AO10" s="462">
        <f t="shared" si="15"/>
        <v>87256.280078286421</v>
      </c>
      <c r="AP10" s="458"/>
      <c r="AQ10" s="459">
        <v>161752</v>
      </c>
      <c r="AR10" s="460">
        <v>161752</v>
      </c>
      <c r="AS10" s="461">
        <f t="shared" si="16"/>
        <v>0.90170857027860363</v>
      </c>
      <c r="AT10" s="462">
        <f t="shared" si="17"/>
        <v>88401.696115040308</v>
      </c>
      <c r="AU10" s="470"/>
      <c r="AV10" s="459"/>
      <c r="AW10" s="460"/>
      <c r="AX10" s="461" t="str">
        <f t="shared" si="18"/>
        <v/>
      </c>
      <c r="AY10" s="462">
        <f t="shared" si="19"/>
        <v>0</v>
      </c>
      <c r="AZ10" s="458"/>
      <c r="BA10" s="459"/>
      <c r="BB10" s="460"/>
      <c r="BC10" s="461" t="str">
        <f t="shared" si="20"/>
        <v/>
      </c>
      <c r="BD10" s="462">
        <f t="shared" si="21"/>
        <v>0</v>
      </c>
      <c r="BE10" s="470"/>
      <c r="BF10" s="459"/>
      <c r="BG10" s="460"/>
      <c r="BH10" s="461" t="str">
        <f t="shared" si="22"/>
        <v/>
      </c>
      <c r="BI10" s="462">
        <f t="shared" si="23"/>
        <v>0</v>
      </c>
      <c r="BJ10" s="464"/>
      <c r="BK10" s="465">
        <f t="shared" si="24"/>
        <v>2361391</v>
      </c>
      <c r="BL10" s="466">
        <f t="shared" si="29"/>
        <v>2361391</v>
      </c>
      <c r="BM10" s="461">
        <f t="shared" si="25"/>
        <v>0.89580158906862417</v>
      </c>
      <c r="BN10" s="467">
        <f t="shared" si="26"/>
        <v>89303.312213013429</v>
      </c>
      <c r="BO10" s="467"/>
      <c r="BP10" s="467"/>
      <c r="BQ10" s="468"/>
      <c r="BR10" s="465">
        <f t="shared" si="30"/>
        <v>2315053</v>
      </c>
      <c r="BS10" s="466">
        <f t="shared" si="30"/>
        <v>2315053</v>
      </c>
      <c r="BT10" s="461">
        <f t="shared" si="27"/>
        <v>0.89572704145419213</v>
      </c>
      <c r="BU10" s="467">
        <f t="shared" si="28"/>
        <v>89099.111899381998</v>
      </c>
      <c r="BV10" s="469"/>
      <c r="BW10" s="469"/>
    </row>
    <row r="11" spans="1:75" outlineLevel="2">
      <c r="A11" s="457" t="s">
        <v>346</v>
      </c>
      <c r="B11" s="458"/>
      <c r="C11" s="459"/>
      <c r="D11" s="460"/>
      <c r="E11" s="461" t="str">
        <f t="shared" si="0"/>
        <v/>
      </c>
      <c r="F11" s="462">
        <f t="shared" si="1"/>
        <v>0</v>
      </c>
      <c r="G11" s="470"/>
      <c r="H11" s="459"/>
      <c r="I11" s="460"/>
      <c r="J11" s="461" t="str">
        <f t="shared" si="2"/>
        <v/>
      </c>
      <c r="K11" s="462">
        <f t="shared" si="3"/>
        <v>0</v>
      </c>
      <c r="L11" s="458"/>
      <c r="M11" s="459"/>
      <c r="N11" s="460"/>
      <c r="O11" s="461" t="str">
        <f t="shared" si="4"/>
        <v/>
      </c>
      <c r="P11" s="462">
        <f t="shared" si="5"/>
        <v>0</v>
      </c>
      <c r="Q11" s="470"/>
      <c r="R11" s="459"/>
      <c r="S11" s="460"/>
      <c r="T11" s="461" t="str">
        <f t="shared" si="6"/>
        <v/>
      </c>
      <c r="U11" s="462">
        <f t="shared" si="7"/>
        <v>0</v>
      </c>
      <c r="V11" s="458"/>
      <c r="W11" s="459"/>
      <c r="X11" s="460"/>
      <c r="Y11" s="461" t="str">
        <f t="shared" si="8"/>
        <v/>
      </c>
      <c r="Z11" s="462">
        <f t="shared" si="9"/>
        <v>0</v>
      </c>
      <c r="AA11" s="470"/>
      <c r="AB11" s="459"/>
      <c r="AC11" s="460"/>
      <c r="AD11" s="461" t="str">
        <f t="shared" si="10"/>
        <v/>
      </c>
      <c r="AE11" s="462">
        <f t="shared" si="11"/>
        <v>0</v>
      </c>
      <c r="AF11" s="458"/>
      <c r="AG11" s="459"/>
      <c r="AH11" s="460"/>
      <c r="AI11" s="461" t="str">
        <f t="shared" si="12"/>
        <v/>
      </c>
      <c r="AJ11" s="462">
        <f t="shared" si="13"/>
        <v>0</v>
      </c>
      <c r="AK11" s="470"/>
      <c r="AL11" s="459"/>
      <c r="AM11" s="460"/>
      <c r="AN11" s="461" t="str">
        <f t="shared" si="14"/>
        <v/>
      </c>
      <c r="AO11" s="462">
        <f t="shared" si="15"/>
        <v>0</v>
      </c>
      <c r="AP11" s="458"/>
      <c r="AQ11" s="459"/>
      <c r="AR11" s="460"/>
      <c r="AS11" s="461" t="str">
        <f t="shared" si="16"/>
        <v/>
      </c>
      <c r="AT11" s="462">
        <f t="shared" si="17"/>
        <v>0</v>
      </c>
      <c r="AU11" s="470"/>
      <c r="AV11" s="459"/>
      <c r="AW11" s="460"/>
      <c r="AX11" s="461" t="str">
        <f t="shared" si="18"/>
        <v/>
      </c>
      <c r="AY11" s="462">
        <f t="shared" si="19"/>
        <v>0</v>
      </c>
      <c r="AZ11" s="458"/>
      <c r="BA11" s="459"/>
      <c r="BB11" s="460"/>
      <c r="BC11" s="461" t="str">
        <f t="shared" si="20"/>
        <v/>
      </c>
      <c r="BD11" s="462">
        <f t="shared" si="21"/>
        <v>0</v>
      </c>
      <c r="BE11" s="470"/>
      <c r="BF11" s="459"/>
      <c r="BG11" s="460"/>
      <c r="BH11" s="461" t="str">
        <f t="shared" si="22"/>
        <v/>
      </c>
      <c r="BI11" s="462">
        <f t="shared" si="23"/>
        <v>0</v>
      </c>
      <c r="BJ11" s="464"/>
      <c r="BK11" s="465">
        <f t="shared" si="24"/>
        <v>0</v>
      </c>
      <c r="BL11" s="466">
        <f t="shared" si="29"/>
        <v>0</v>
      </c>
      <c r="BM11" s="461" t="str">
        <f t="shared" si="25"/>
        <v/>
      </c>
      <c r="BN11" s="467">
        <f t="shared" si="26"/>
        <v>0</v>
      </c>
      <c r="BO11" s="467"/>
      <c r="BP11" s="467"/>
      <c r="BQ11" s="468"/>
      <c r="BR11" s="465">
        <f t="shared" si="30"/>
        <v>0</v>
      </c>
      <c r="BS11" s="466">
        <f t="shared" si="30"/>
        <v>0</v>
      </c>
      <c r="BT11" s="461" t="str">
        <f t="shared" si="27"/>
        <v/>
      </c>
      <c r="BU11" s="467">
        <f t="shared" si="28"/>
        <v>0</v>
      </c>
      <c r="BV11" s="469"/>
      <c r="BW11" s="469"/>
    </row>
    <row r="12" spans="1:75" outlineLevel="1">
      <c r="A12" s="471" t="s">
        <v>347</v>
      </c>
      <c r="B12" s="458"/>
      <c r="C12" s="472"/>
      <c r="D12" s="473"/>
      <c r="E12" s="461" t="str">
        <f t="shared" si="0"/>
        <v/>
      </c>
      <c r="F12" s="462">
        <f t="shared" si="1"/>
        <v>0</v>
      </c>
      <c r="G12" s="470"/>
      <c r="H12" s="472">
        <v>320</v>
      </c>
      <c r="I12" s="473">
        <v>320</v>
      </c>
      <c r="J12" s="461">
        <f t="shared" si="2"/>
        <v>0.89860127095917264</v>
      </c>
      <c r="K12" s="462">
        <f t="shared" si="3"/>
        <v>97086.53125</v>
      </c>
      <c r="L12" s="458"/>
      <c r="M12" s="472">
        <v>331.04</v>
      </c>
      <c r="N12" s="473">
        <v>331.04</v>
      </c>
      <c r="O12" s="461">
        <f t="shared" si="4"/>
        <v>0.89934038229573054</v>
      </c>
      <c r="P12" s="462">
        <f t="shared" si="5"/>
        <v>94118.324069598835</v>
      </c>
      <c r="Q12" s="470"/>
      <c r="R12" s="472"/>
      <c r="S12" s="473"/>
      <c r="T12" s="461" t="str">
        <f t="shared" si="6"/>
        <v/>
      </c>
      <c r="U12" s="462">
        <f t="shared" si="7"/>
        <v>0</v>
      </c>
      <c r="V12" s="458"/>
      <c r="W12" s="472"/>
      <c r="X12" s="473"/>
      <c r="Y12" s="461" t="str">
        <f t="shared" si="8"/>
        <v/>
      </c>
      <c r="Z12" s="462">
        <f t="shared" si="9"/>
        <v>0</v>
      </c>
      <c r="AA12" s="470"/>
      <c r="AB12" s="472"/>
      <c r="AC12" s="473"/>
      <c r="AD12" s="461" t="str">
        <f t="shared" si="10"/>
        <v/>
      </c>
      <c r="AE12" s="462">
        <f t="shared" si="11"/>
        <v>0</v>
      </c>
      <c r="AF12" s="458"/>
      <c r="AG12" s="472">
        <v>80</v>
      </c>
      <c r="AH12" s="473">
        <v>80</v>
      </c>
      <c r="AI12" s="461">
        <f t="shared" si="12"/>
        <v>0.89304651656043132</v>
      </c>
      <c r="AJ12" s="462">
        <f t="shared" si="13"/>
        <v>86737.75</v>
      </c>
      <c r="AK12" s="470"/>
      <c r="AL12" s="472">
        <v>112</v>
      </c>
      <c r="AM12" s="473">
        <v>112</v>
      </c>
      <c r="AN12" s="461" t="str">
        <f t="shared" si="14"/>
        <v/>
      </c>
      <c r="AO12" s="462">
        <f t="shared" si="15"/>
        <v>0</v>
      </c>
      <c r="AP12" s="458"/>
      <c r="AQ12" s="472"/>
      <c r="AR12" s="473"/>
      <c r="AS12" s="461" t="str">
        <f t="shared" si="16"/>
        <v/>
      </c>
      <c r="AT12" s="462">
        <f t="shared" si="17"/>
        <v>0</v>
      </c>
      <c r="AU12" s="470"/>
      <c r="AV12" s="472"/>
      <c r="AW12" s="473"/>
      <c r="AX12" s="461" t="str">
        <f t="shared" si="18"/>
        <v/>
      </c>
      <c r="AY12" s="462">
        <f t="shared" si="19"/>
        <v>0</v>
      </c>
      <c r="AZ12" s="458"/>
      <c r="BA12" s="472"/>
      <c r="BB12" s="473"/>
      <c r="BC12" s="461" t="str">
        <f t="shared" si="20"/>
        <v/>
      </c>
      <c r="BD12" s="462">
        <f t="shared" si="21"/>
        <v>0</v>
      </c>
      <c r="BE12" s="470"/>
      <c r="BF12" s="472"/>
      <c r="BG12" s="473"/>
      <c r="BH12" s="461" t="str">
        <f t="shared" si="22"/>
        <v/>
      </c>
      <c r="BI12" s="462">
        <f t="shared" si="23"/>
        <v>0</v>
      </c>
      <c r="BJ12" s="464"/>
      <c r="BK12" s="474">
        <f t="shared" si="24"/>
        <v>843.04</v>
      </c>
      <c r="BL12" s="475">
        <f t="shared" si="29"/>
        <v>843.04</v>
      </c>
      <c r="BM12" s="461">
        <f t="shared" si="25"/>
        <v>1.0359531176654189</v>
      </c>
      <c r="BN12" s="476">
        <f t="shared" si="26"/>
        <v>82040.75725944202</v>
      </c>
      <c r="BO12" s="476"/>
      <c r="BP12" s="476"/>
      <c r="BQ12" s="468"/>
      <c r="BR12" s="465">
        <f t="shared" si="30"/>
        <v>523.04</v>
      </c>
      <c r="BS12" s="466">
        <f t="shared" si="30"/>
        <v>523.04</v>
      </c>
      <c r="BT12" s="461">
        <f t="shared" si="27"/>
        <v>1.1428246805033286</v>
      </c>
      <c r="BU12" s="476">
        <f t="shared" si="28"/>
        <v>72835.63398592842</v>
      </c>
      <c r="BV12" s="477"/>
      <c r="BW12" s="477"/>
    </row>
    <row r="13" spans="1:75" s="442" customFormat="1" ht="45">
      <c r="A13" s="478"/>
      <c r="B13" s="429"/>
      <c r="C13" s="479" t="s">
        <v>348</v>
      </c>
      <c r="D13" s="480" t="s">
        <v>349</v>
      </c>
      <c r="E13" s="481" t="s">
        <v>350</v>
      </c>
      <c r="F13" s="482" t="s">
        <v>351</v>
      </c>
      <c r="G13" s="434"/>
      <c r="H13" s="479" t="s">
        <v>348</v>
      </c>
      <c r="I13" s="480" t="s">
        <v>349</v>
      </c>
      <c r="J13" s="481" t="s">
        <v>350</v>
      </c>
      <c r="K13" s="482" t="s">
        <v>351</v>
      </c>
      <c r="L13" s="429"/>
      <c r="M13" s="483" t="s">
        <v>348</v>
      </c>
      <c r="N13" s="480" t="s">
        <v>349</v>
      </c>
      <c r="O13" s="481" t="s">
        <v>350</v>
      </c>
      <c r="P13" s="482" t="s">
        <v>351</v>
      </c>
      <c r="Q13" s="434"/>
      <c r="R13" s="483" t="s">
        <v>348</v>
      </c>
      <c r="S13" s="480" t="s">
        <v>349</v>
      </c>
      <c r="T13" s="481" t="s">
        <v>350</v>
      </c>
      <c r="U13" s="482" t="s">
        <v>351</v>
      </c>
      <c r="V13" s="429"/>
      <c r="W13" s="483" t="s">
        <v>348</v>
      </c>
      <c r="X13" s="480" t="s">
        <v>349</v>
      </c>
      <c r="Y13" s="481" t="s">
        <v>350</v>
      </c>
      <c r="Z13" s="482" t="s">
        <v>351</v>
      </c>
      <c r="AA13" s="434"/>
      <c r="AB13" s="483" t="s">
        <v>348</v>
      </c>
      <c r="AC13" s="480" t="s">
        <v>349</v>
      </c>
      <c r="AD13" s="481" t="s">
        <v>350</v>
      </c>
      <c r="AE13" s="482" t="s">
        <v>351</v>
      </c>
      <c r="AF13" s="429"/>
      <c r="AG13" s="483" t="s">
        <v>348</v>
      </c>
      <c r="AH13" s="480" t="s">
        <v>349</v>
      </c>
      <c r="AI13" s="481" t="s">
        <v>350</v>
      </c>
      <c r="AJ13" s="482" t="s">
        <v>351</v>
      </c>
      <c r="AK13" s="434"/>
      <c r="AL13" s="483" t="s">
        <v>348</v>
      </c>
      <c r="AM13" s="480" t="s">
        <v>349</v>
      </c>
      <c r="AN13" s="481" t="s">
        <v>350</v>
      </c>
      <c r="AO13" s="482" t="s">
        <v>351</v>
      </c>
      <c r="AP13" s="429"/>
      <c r="AQ13" s="483" t="s">
        <v>348</v>
      </c>
      <c r="AR13" s="480" t="s">
        <v>349</v>
      </c>
      <c r="AS13" s="481" t="s">
        <v>350</v>
      </c>
      <c r="AT13" s="482" t="s">
        <v>351</v>
      </c>
      <c r="AU13" s="434"/>
      <c r="AV13" s="483" t="s">
        <v>348</v>
      </c>
      <c r="AW13" s="480" t="s">
        <v>349</v>
      </c>
      <c r="AX13" s="481" t="s">
        <v>350</v>
      </c>
      <c r="AY13" s="482" t="s">
        <v>351</v>
      </c>
      <c r="AZ13" s="429"/>
      <c r="BA13" s="483" t="s">
        <v>348</v>
      </c>
      <c r="BB13" s="480" t="s">
        <v>349</v>
      </c>
      <c r="BC13" s="481" t="s">
        <v>350</v>
      </c>
      <c r="BD13" s="482" t="s">
        <v>351</v>
      </c>
      <c r="BE13" s="434"/>
      <c r="BF13" s="483" t="s">
        <v>348</v>
      </c>
      <c r="BG13" s="480" t="s">
        <v>349</v>
      </c>
      <c r="BH13" s="481" t="s">
        <v>350</v>
      </c>
      <c r="BI13" s="482" t="s">
        <v>351</v>
      </c>
      <c r="BJ13" s="436"/>
      <c r="BK13" s="484" t="s">
        <v>348</v>
      </c>
      <c r="BL13" s="485" t="s">
        <v>349</v>
      </c>
      <c r="BM13" s="486" t="s">
        <v>350</v>
      </c>
      <c r="BN13" s="482" t="s">
        <v>351</v>
      </c>
      <c r="BO13" s="487"/>
      <c r="BP13" s="488"/>
      <c r="BQ13" s="440"/>
      <c r="BR13" s="484" t="s">
        <v>348</v>
      </c>
      <c r="BS13" s="485" t="s">
        <v>349</v>
      </c>
      <c r="BT13" s="486" t="s">
        <v>350</v>
      </c>
      <c r="BU13" s="482" t="s">
        <v>351</v>
      </c>
      <c r="BV13" s="487"/>
      <c r="BW13" s="488"/>
    </row>
    <row r="14" spans="1:75">
      <c r="A14" s="50" t="s">
        <v>352</v>
      </c>
      <c r="B14" s="489"/>
      <c r="C14" s="490">
        <f>SUM(C15:C21)</f>
        <v>214752</v>
      </c>
      <c r="D14" s="491">
        <f>SUM(D15:D21)</f>
        <v>18632976.57</v>
      </c>
      <c r="E14" s="492"/>
      <c r="F14" s="493">
        <f>SUM(F15:F21)</f>
        <v>214752</v>
      </c>
      <c r="G14" s="494"/>
      <c r="H14" s="490">
        <f>SUM(H15:H21)</f>
        <v>268024</v>
      </c>
      <c r="I14" s="491">
        <f>SUM(I15:I21)</f>
        <v>5063972.0600000005</v>
      </c>
      <c r="J14" s="492"/>
      <c r="K14" s="490">
        <f>SUM(K15:K21)</f>
        <v>268024</v>
      </c>
      <c r="L14" s="489"/>
      <c r="M14" s="490">
        <f>SUM(M15:M21)</f>
        <v>383203</v>
      </c>
      <c r="N14" s="491">
        <f>SUM(N15:N21)</f>
        <v>32441225.979999997</v>
      </c>
      <c r="O14" s="492"/>
      <c r="P14" s="490">
        <f>SUM(P15:P21)</f>
        <v>382323</v>
      </c>
      <c r="Q14" s="494"/>
      <c r="R14" s="490">
        <f>SUM(R15:R21)</f>
        <v>542274</v>
      </c>
      <c r="S14" s="491">
        <f>SUM(S15:S21)</f>
        <v>44030143.659999996</v>
      </c>
      <c r="T14" s="492"/>
      <c r="U14" s="490">
        <f>SUM(U15:U21)</f>
        <v>539756</v>
      </c>
      <c r="V14" s="489"/>
      <c r="W14" s="490">
        <f>SUM(W15:W21)</f>
        <v>560421</v>
      </c>
      <c r="X14" s="491">
        <f>SUM(X15:X21)</f>
        <v>45089106.43</v>
      </c>
      <c r="Y14" s="492"/>
      <c r="Z14" s="490">
        <f>SUM(Z15:Z21)</f>
        <v>560421</v>
      </c>
      <c r="AA14" s="494"/>
      <c r="AB14" s="490">
        <f>SUM(AB15:AB21)</f>
        <v>501208</v>
      </c>
      <c r="AC14" s="491">
        <f>SUM(AC15:AC21)</f>
        <v>39717279.579999998</v>
      </c>
      <c r="AD14" s="492"/>
      <c r="AE14" s="490">
        <f>SUM(AE15:AE21)</f>
        <v>501208</v>
      </c>
      <c r="AF14" s="489"/>
      <c r="AG14" s="490">
        <f>SUM(AG15:AG21)</f>
        <v>559258</v>
      </c>
      <c r="AH14" s="491">
        <f>SUM(AH15:AH21)</f>
        <v>43233087.770000003</v>
      </c>
      <c r="AI14" s="492"/>
      <c r="AJ14" s="490">
        <f>SUM(AJ15:AJ21)</f>
        <v>559178</v>
      </c>
      <c r="AK14" s="494"/>
      <c r="AL14" s="490">
        <f>SUM(AL15:AL21)</f>
        <v>487598</v>
      </c>
      <c r="AM14" s="491">
        <f>SUM(AM15:AM21)</f>
        <v>38093171.579999998</v>
      </c>
      <c r="AN14" s="492"/>
      <c r="AO14" s="490">
        <f>SUM(AO15:AO21)</f>
        <v>487598</v>
      </c>
      <c r="AP14" s="489"/>
      <c r="AQ14" s="490">
        <f>SUM(AQ15:AQ21)</f>
        <v>431148</v>
      </c>
      <c r="AR14" s="491">
        <f>SUM(AR15:AR21)</f>
        <v>34402159.409999996</v>
      </c>
      <c r="AS14" s="492"/>
      <c r="AT14" s="490">
        <f>SUM(AT15:AT21)</f>
        <v>431148</v>
      </c>
      <c r="AU14" s="494"/>
      <c r="AV14" s="490">
        <f>SUM(AV15:AV21)</f>
        <v>0</v>
      </c>
      <c r="AW14" s="491">
        <f>SUM(AW15:AW21)</f>
        <v>0</v>
      </c>
      <c r="AX14" s="492"/>
      <c r="AY14" s="490">
        <f>SUM(AY15:AY21)</f>
        <v>0</v>
      </c>
      <c r="AZ14" s="489"/>
      <c r="BA14" s="490">
        <f>SUM(BA15:BA21)</f>
        <v>0</v>
      </c>
      <c r="BB14" s="491">
        <f>SUM(BB15:BB21)</f>
        <v>0</v>
      </c>
      <c r="BC14" s="492"/>
      <c r="BD14" s="490">
        <f>SUM(BD15:BD21)</f>
        <v>0</v>
      </c>
      <c r="BE14" s="494"/>
      <c r="BF14" s="490">
        <f>SUM(BF15:BF21)</f>
        <v>0</v>
      </c>
      <c r="BG14" s="491">
        <f>SUM(BG15:BG21)</f>
        <v>0</v>
      </c>
      <c r="BH14" s="492"/>
      <c r="BI14" s="490">
        <f>SUM(BI15:BI21)</f>
        <v>0</v>
      </c>
      <c r="BJ14" s="495"/>
      <c r="BK14" s="496">
        <f>SUM(BK15:BK21)</f>
        <v>3947886.0000000005</v>
      </c>
      <c r="BL14" s="497"/>
      <c r="BM14" s="497"/>
      <c r="BN14" s="496">
        <f>SUM(BN15:BN21)</f>
        <v>3944408.0000000005</v>
      </c>
      <c r="BO14" s="498"/>
      <c r="BP14" s="499"/>
      <c r="BQ14" s="500"/>
      <c r="BR14" s="496">
        <f>SUM(BR15:BR21)</f>
        <v>3465110</v>
      </c>
      <c r="BS14" s="497"/>
      <c r="BT14" s="497"/>
      <c r="BU14" s="496">
        <f>SUM(BU15:BU21)</f>
        <v>3461632</v>
      </c>
      <c r="BV14" s="498"/>
      <c r="BW14" s="499"/>
    </row>
    <row r="15" spans="1:75" outlineLevel="1">
      <c r="A15" s="501" t="s">
        <v>353</v>
      </c>
      <c r="B15" s="502"/>
      <c r="C15" s="503">
        <v>214752</v>
      </c>
      <c r="D15" s="504">
        <v>18632976.57</v>
      </c>
      <c r="E15" s="505">
        <f t="shared" ref="E15:E21" si="31">IF(C15="",0,D15/C15)</f>
        <v>86.765089824541803</v>
      </c>
      <c r="F15" s="506">
        <v>214752</v>
      </c>
      <c r="G15" s="507"/>
      <c r="H15" s="503">
        <v>213805.13099999999</v>
      </c>
      <c r="I15" s="504">
        <v>211016.47</v>
      </c>
      <c r="J15" s="505">
        <f t="shared" ref="J15:J21" si="32">IF(H15="",0,I15/H15)</f>
        <v>0.98695699683652593</v>
      </c>
      <c r="K15" s="503">
        <v>213805.13099999999</v>
      </c>
      <c r="L15" s="502"/>
      <c r="M15" s="503">
        <v>159000.065</v>
      </c>
      <c r="N15" s="504">
        <v>13443968.51</v>
      </c>
      <c r="O15" s="505">
        <f t="shared" ref="O15:O21" si="33">IF(M15="",0,N15/M15)</f>
        <v>84.553226503397966</v>
      </c>
      <c r="P15" s="503">
        <v>158120.065</v>
      </c>
      <c r="Q15" s="507"/>
      <c r="R15" s="503">
        <f>46789.853</f>
        <v>46789.853000000003</v>
      </c>
      <c r="S15" s="504">
        <f>3822575</f>
        <v>3822575</v>
      </c>
      <c r="T15" s="505">
        <f t="shared" ref="T15:T21" si="34">IF(R15="",0,S15/R15)</f>
        <v>81.696666155373464</v>
      </c>
      <c r="U15" s="503">
        <f>46789.853-2518</f>
        <v>44271.853000000003</v>
      </c>
      <c r="V15" s="502"/>
      <c r="W15" s="503">
        <v>135903.234</v>
      </c>
      <c r="X15" s="504">
        <v>10948242.220000001</v>
      </c>
      <c r="Y15" s="505">
        <f t="shared" ref="Y15:Y21" si="35">IF(W15="",0,X15/W15)</f>
        <v>80.559100013764208</v>
      </c>
      <c r="Z15" s="503">
        <v>135903.234</v>
      </c>
      <c r="AA15" s="507"/>
      <c r="AB15" s="503">
        <v>10007.791999999999</v>
      </c>
      <c r="AC15" s="504">
        <v>792923.19</v>
      </c>
      <c r="AD15" s="505">
        <f t="shared" ref="AD15:AD21" si="36">IF(AB15="",0,AC15/AB15)</f>
        <v>79.230582530092548</v>
      </c>
      <c r="AE15" s="503">
        <v>10007.791999999999</v>
      </c>
      <c r="AF15" s="502"/>
      <c r="AG15" s="503">
        <v>29570.164000000001</v>
      </c>
      <c r="AH15" s="504">
        <v>2287024.46</v>
      </c>
      <c r="AI15" s="505">
        <f t="shared" ref="AI15:AI21" si="37">IF(AG15="",0,AH15/AG15)</f>
        <v>77.342298811734693</v>
      </c>
      <c r="AJ15" s="503">
        <v>29490.164000000001</v>
      </c>
      <c r="AK15" s="507"/>
      <c r="AL15" s="503">
        <v>241824.462</v>
      </c>
      <c r="AM15" s="504">
        <v>18877855.350000001</v>
      </c>
      <c r="AN15" s="505">
        <f t="shared" ref="AN15:AN21" si="38">IF(AL15="",0,AM15/AL15)</f>
        <v>78.064291734059566</v>
      </c>
      <c r="AO15" s="503">
        <v>241824.462</v>
      </c>
      <c r="AP15" s="502"/>
      <c r="AQ15" s="503">
        <v>250416.78200000001</v>
      </c>
      <c r="AR15" s="504">
        <v>19995116.989999998</v>
      </c>
      <c r="AS15" s="505">
        <f t="shared" ref="AS15:AS21" si="39">IF(AQ15="",0,AR15/AQ15)</f>
        <v>79.847352203415809</v>
      </c>
      <c r="AT15" s="503">
        <v>250416.78200000001</v>
      </c>
      <c r="AU15" s="507"/>
      <c r="AV15" s="503"/>
      <c r="AW15" s="504"/>
      <c r="AX15" s="505">
        <f t="shared" ref="AX15:AX21" si="40">IF(AV15="",0,AW15/AV15)</f>
        <v>0</v>
      </c>
      <c r="AY15" s="503"/>
      <c r="AZ15" s="502"/>
      <c r="BA15" s="503"/>
      <c r="BB15" s="504"/>
      <c r="BC15" s="505">
        <f t="shared" ref="BC15:BC21" si="41">IF(BA15="",0,BB15/BA15)</f>
        <v>0</v>
      </c>
      <c r="BD15" s="503"/>
      <c r="BE15" s="507"/>
      <c r="BF15" s="503"/>
      <c r="BG15" s="504"/>
      <c r="BH15" s="505">
        <f t="shared" ref="BH15:BH21" si="42">IF(BF15="",0,BG15/BF15)</f>
        <v>0</v>
      </c>
      <c r="BI15" s="503"/>
      <c r="BJ15" s="508"/>
      <c r="BK15" s="509">
        <f t="shared" ref="BK15:BL21" si="43">SUM(C15,H15,M15,R15,W15,AB15,AG15,AL15,AQ15,AV15,BA15,BF15)</f>
        <v>1302069.483</v>
      </c>
      <c r="BL15" s="510">
        <f t="shared" si="43"/>
        <v>89011698.75999999</v>
      </c>
      <c r="BM15" s="511">
        <f t="shared" ref="BM15:BM21" si="44">IF(BK15="",0,BL15/BK15)</f>
        <v>68.361711815036827</v>
      </c>
      <c r="BN15" s="509">
        <f t="shared" ref="BN15:BN21" si="45">SUM(F15,K15,P15,U15,Z15,AE15,AJ15,AO15,AT15,AY15,BD15,BI15)</f>
        <v>1298591.483</v>
      </c>
      <c r="BO15" s="512"/>
      <c r="BP15" s="513"/>
      <c r="BQ15" s="514"/>
      <c r="BR15" s="509">
        <f t="shared" ref="BR15:BS21" si="46">SUM(M15,R15,W15,AB15,AG15,AL15,AQ15,AV15,BA15,BF15)</f>
        <v>873512.35200000007</v>
      </c>
      <c r="BS15" s="510">
        <f t="shared" si="46"/>
        <v>70167705.719999999</v>
      </c>
      <c r="BT15" s="511">
        <f t="shared" ref="BT15:BT21" si="47">IF(BR15="",0,BS15/BR15)</f>
        <v>80.328235266900947</v>
      </c>
      <c r="BU15" s="509">
        <f t="shared" ref="BU15:BU21" si="48">SUM(P15,U15,Z15,AE15,AJ15,AO15,AT15,AY15,BD15,BI15)</f>
        <v>870034.35200000007</v>
      </c>
      <c r="BV15" s="512"/>
      <c r="BW15" s="513"/>
    </row>
    <row r="16" spans="1:75" outlineLevel="2">
      <c r="A16" s="501" t="s">
        <v>354</v>
      </c>
      <c r="B16" s="502"/>
      <c r="C16" s="503"/>
      <c r="D16" s="504"/>
      <c r="E16" s="505">
        <f t="shared" si="31"/>
        <v>0</v>
      </c>
      <c r="F16" s="506"/>
      <c r="G16" s="507"/>
      <c r="H16" s="503"/>
      <c r="I16" s="504"/>
      <c r="J16" s="505">
        <f t="shared" si="32"/>
        <v>0</v>
      </c>
      <c r="K16" s="503"/>
      <c r="L16" s="502"/>
      <c r="M16" s="503"/>
      <c r="N16" s="504"/>
      <c r="O16" s="505">
        <f t="shared" si="33"/>
        <v>0</v>
      </c>
      <c r="P16" s="503"/>
      <c r="Q16" s="507"/>
      <c r="R16" s="503"/>
      <c r="S16" s="504"/>
      <c r="T16" s="505">
        <f t="shared" si="34"/>
        <v>0</v>
      </c>
      <c r="U16" s="503"/>
      <c r="V16" s="502"/>
      <c r="W16" s="503"/>
      <c r="X16" s="504"/>
      <c r="Y16" s="505">
        <f t="shared" si="35"/>
        <v>0</v>
      </c>
      <c r="Z16" s="503"/>
      <c r="AA16" s="507"/>
      <c r="AB16" s="503"/>
      <c r="AC16" s="504"/>
      <c r="AD16" s="505">
        <f t="shared" si="36"/>
        <v>0</v>
      </c>
      <c r="AE16" s="503"/>
      <c r="AF16" s="502"/>
      <c r="AG16" s="503"/>
      <c r="AH16" s="504"/>
      <c r="AI16" s="505">
        <f t="shared" si="37"/>
        <v>0</v>
      </c>
      <c r="AJ16" s="503"/>
      <c r="AK16" s="507"/>
      <c r="AL16" s="503"/>
      <c r="AM16" s="504"/>
      <c r="AN16" s="505">
        <f t="shared" si="38"/>
        <v>0</v>
      </c>
      <c r="AO16" s="503"/>
      <c r="AP16" s="502"/>
      <c r="AQ16" s="503"/>
      <c r="AR16" s="504"/>
      <c r="AS16" s="505">
        <f t="shared" si="39"/>
        <v>0</v>
      </c>
      <c r="AT16" s="503"/>
      <c r="AU16" s="507"/>
      <c r="AV16" s="503"/>
      <c r="AW16" s="504"/>
      <c r="AX16" s="505">
        <f t="shared" si="40"/>
        <v>0</v>
      </c>
      <c r="AY16" s="503"/>
      <c r="AZ16" s="502"/>
      <c r="BA16" s="503"/>
      <c r="BB16" s="504"/>
      <c r="BC16" s="505">
        <f t="shared" si="41"/>
        <v>0</v>
      </c>
      <c r="BD16" s="503"/>
      <c r="BE16" s="507"/>
      <c r="BF16" s="503"/>
      <c r="BG16" s="504"/>
      <c r="BH16" s="505">
        <f t="shared" si="42"/>
        <v>0</v>
      </c>
      <c r="BI16" s="503"/>
      <c r="BJ16" s="508"/>
      <c r="BK16" s="509">
        <f t="shared" si="43"/>
        <v>0</v>
      </c>
      <c r="BL16" s="515">
        <f t="shared" si="43"/>
        <v>0</v>
      </c>
      <c r="BM16" s="511" t="e">
        <f t="shared" si="44"/>
        <v>#DIV/0!</v>
      </c>
      <c r="BN16" s="509">
        <f t="shared" si="45"/>
        <v>0</v>
      </c>
      <c r="BO16" s="512"/>
      <c r="BP16" s="513"/>
      <c r="BQ16" s="514"/>
      <c r="BR16" s="509">
        <f t="shared" si="46"/>
        <v>0</v>
      </c>
      <c r="BS16" s="515">
        <f t="shared" si="46"/>
        <v>0</v>
      </c>
      <c r="BT16" s="511" t="e">
        <f t="shared" si="47"/>
        <v>#DIV/0!</v>
      </c>
      <c r="BU16" s="509">
        <f t="shared" si="48"/>
        <v>0</v>
      </c>
      <c r="BV16" s="512"/>
      <c r="BW16" s="513"/>
    </row>
    <row r="17" spans="1:75" outlineLevel="1">
      <c r="A17" s="501" t="s">
        <v>355</v>
      </c>
      <c r="B17" s="502"/>
      <c r="C17" s="503"/>
      <c r="D17" s="504"/>
      <c r="E17" s="505">
        <f t="shared" si="31"/>
        <v>0</v>
      </c>
      <c r="F17" s="506"/>
      <c r="G17" s="507"/>
      <c r="H17" s="503">
        <v>2349.8710000000001</v>
      </c>
      <c r="I17" s="504">
        <v>211016.47</v>
      </c>
      <c r="J17" s="505">
        <f t="shared" si="32"/>
        <v>89.799171954545585</v>
      </c>
      <c r="K17" s="503">
        <v>2349.8710000000001</v>
      </c>
      <c r="L17" s="502"/>
      <c r="M17" s="503"/>
      <c r="N17" s="504"/>
      <c r="O17" s="505">
        <f t="shared" si="33"/>
        <v>0</v>
      </c>
      <c r="P17" s="503"/>
      <c r="Q17" s="507"/>
      <c r="R17" s="503">
        <v>3302.029</v>
      </c>
      <c r="S17" s="504">
        <v>267265.33</v>
      </c>
      <c r="T17" s="505">
        <f t="shared" si="34"/>
        <v>80.939728270103018</v>
      </c>
      <c r="U17" s="503">
        <v>3302.029</v>
      </c>
      <c r="V17" s="502"/>
      <c r="W17" s="503">
        <v>1938.758</v>
      </c>
      <c r="X17" s="504">
        <v>156049.84</v>
      </c>
      <c r="Y17" s="505">
        <f t="shared" si="35"/>
        <v>80.489591790207953</v>
      </c>
      <c r="Z17" s="503">
        <v>1938.758</v>
      </c>
      <c r="AA17" s="507"/>
      <c r="AB17" s="503"/>
      <c r="AC17" s="504"/>
      <c r="AD17" s="505">
        <f t="shared" si="36"/>
        <v>0</v>
      </c>
      <c r="AE17" s="503"/>
      <c r="AF17" s="502"/>
      <c r="AG17" s="503"/>
      <c r="AH17" s="504"/>
      <c r="AI17" s="505">
        <f t="shared" si="37"/>
        <v>0</v>
      </c>
      <c r="AJ17" s="503"/>
      <c r="AK17" s="507"/>
      <c r="AL17" s="503"/>
      <c r="AM17" s="504"/>
      <c r="AN17" s="505">
        <f t="shared" si="38"/>
        <v>0</v>
      </c>
      <c r="AO17" s="503"/>
      <c r="AP17" s="502"/>
      <c r="AQ17" s="503">
        <v>1347.318</v>
      </c>
      <c r="AR17" s="504">
        <v>107891.27</v>
      </c>
      <c r="AS17" s="505">
        <f t="shared" si="39"/>
        <v>80.078548642562481</v>
      </c>
      <c r="AT17" s="503">
        <v>1347.318</v>
      </c>
      <c r="AU17" s="507"/>
      <c r="AV17" s="503"/>
      <c r="AW17" s="504"/>
      <c r="AX17" s="505">
        <f t="shared" si="40"/>
        <v>0</v>
      </c>
      <c r="AY17" s="503"/>
      <c r="AZ17" s="502"/>
      <c r="BA17" s="503"/>
      <c r="BB17" s="504"/>
      <c r="BC17" s="505">
        <f t="shared" si="41"/>
        <v>0</v>
      </c>
      <c r="BD17" s="503"/>
      <c r="BE17" s="507"/>
      <c r="BF17" s="503"/>
      <c r="BG17" s="504"/>
      <c r="BH17" s="505">
        <f t="shared" si="42"/>
        <v>0</v>
      </c>
      <c r="BI17" s="503"/>
      <c r="BJ17" s="508"/>
      <c r="BK17" s="509">
        <f t="shared" si="43"/>
        <v>8937.9759999999987</v>
      </c>
      <c r="BL17" s="515">
        <f t="shared" si="43"/>
        <v>742222.91</v>
      </c>
      <c r="BM17" s="511">
        <f t="shared" si="44"/>
        <v>83.041497314380806</v>
      </c>
      <c r="BN17" s="509">
        <f t="shared" si="45"/>
        <v>8937.9759999999987</v>
      </c>
      <c r="BO17" s="512"/>
      <c r="BP17" s="513"/>
      <c r="BQ17" s="514"/>
      <c r="BR17" s="509">
        <f t="shared" si="46"/>
        <v>6588.1050000000005</v>
      </c>
      <c r="BS17" s="515">
        <f t="shared" si="46"/>
        <v>531206.44000000006</v>
      </c>
      <c r="BT17" s="511">
        <f t="shared" si="47"/>
        <v>80.631143553419392</v>
      </c>
      <c r="BU17" s="509">
        <f t="shared" si="48"/>
        <v>6588.1050000000005</v>
      </c>
      <c r="BV17" s="512"/>
      <c r="BW17" s="513"/>
    </row>
    <row r="18" spans="1:75" outlineLevel="2">
      <c r="A18" s="457" t="s">
        <v>344</v>
      </c>
      <c r="B18" s="502"/>
      <c r="C18" s="503"/>
      <c r="D18" s="504"/>
      <c r="E18" s="505">
        <f t="shared" si="31"/>
        <v>0</v>
      </c>
      <c r="F18" s="506"/>
      <c r="G18" s="507"/>
      <c r="H18" s="503"/>
      <c r="I18" s="504"/>
      <c r="J18" s="505">
        <f t="shared" si="32"/>
        <v>0</v>
      </c>
      <c r="K18" s="503"/>
      <c r="L18" s="502"/>
      <c r="M18" s="503"/>
      <c r="N18" s="504"/>
      <c r="O18" s="505">
        <f t="shared" si="33"/>
        <v>0</v>
      </c>
      <c r="P18" s="503"/>
      <c r="Q18" s="507"/>
      <c r="R18" s="503"/>
      <c r="S18" s="504"/>
      <c r="T18" s="505">
        <f t="shared" si="34"/>
        <v>0</v>
      </c>
      <c r="U18" s="503"/>
      <c r="V18" s="502"/>
      <c r="W18" s="503"/>
      <c r="X18" s="504"/>
      <c r="Y18" s="505">
        <f t="shared" si="35"/>
        <v>0</v>
      </c>
      <c r="Z18" s="503"/>
      <c r="AA18" s="507"/>
      <c r="AB18" s="503"/>
      <c r="AC18" s="504"/>
      <c r="AD18" s="505">
        <f t="shared" si="36"/>
        <v>0</v>
      </c>
      <c r="AE18" s="503"/>
      <c r="AF18" s="502"/>
      <c r="AG18" s="503"/>
      <c r="AH18" s="504"/>
      <c r="AI18" s="505">
        <f t="shared" si="37"/>
        <v>0</v>
      </c>
      <c r="AJ18" s="503"/>
      <c r="AK18" s="507"/>
      <c r="AL18" s="503"/>
      <c r="AM18" s="504"/>
      <c r="AN18" s="505">
        <f t="shared" si="38"/>
        <v>0</v>
      </c>
      <c r="AO18" s="503"/>
      <c r="AP18" s="502"/>
      <c r="AQ18" s="503"/>
      <c r="AR18" s="504"/>
      <c r="AS18" s="505">
        <f t="shared" si="39"/>
        <v>0</v>
      </c>
      <c r="AT18" s="503"/>
      <c r="AU18" s="507"/>
      <c r="AV18" s="503"/>
      <c r="AW18" s="504"/>
      <c r="AX18" s="505">
        <f t="shared" si="40"/>
        <v>0</v>
      </c>
      <c r="AY18" s="503"/>
      <c r="AZ18" s="502"/>
      <c r="BA18" s="503"/>
      <c r="BB18" s="504"/>
      <c r="BC18" s="505">
        <f t="shared" si="41"/>
        <v>0</v>
      </c>
      <c r="BD18" s="503"/>
      <c r="BE18" s="507"/>
      <c r="BF18" s="503"/>
      <c r="BG18" s="504"/>
      <c r="BH18" s="505">
        <f t="shared" si="42"/>
        <v>0</v>
      </c>
      <c r="BI18" s="503"/>
      <c r="BJ18" s="508"/>
      <c r="BK18" s="509">
        <f t="shared" si="43"/>
        <v>0</v>
      </c>
      <c r="BL18" s="515">
        <f t="shared" si="43"/>
        <v>0</v>
      </c>
      <c r="BM18" s="511" t="e">
        <f t="shared" si="44"/>
        <v>#DIV/0!</v>
      </c>
      <c r="BN18" s="509">
        <f t="shared" si="45"/>
        <v>0</v>
      </c>
      <c r="BO18" s="512"/>
      <c r="BP18" s="513"/>
      <c r="BQ18" s="514"/>
      <c r="BR18" s="509">
        <f t="shared" si="46"/>
        <v>0</v>
      </c>
      <c r="BS18" s="515">
        <f t="shared" si="46"/>
        <v>0</v>
      </c>
      <c r="BT18" s="511" t="e">
        <f t="shared" si="47"/>
        <v>#DIV/0!</v>
      </c>
      <c r="BU18" s="509">
        <f t="shared" si="48"/>
        <v>0</v>
      </c>
      <c r="BV18" s="512"/>
      <c r="BW18" s="513"/>
    </row>
    <row r="19" spans="1:75" outlineLevel="1">
      <c r="A19" s="501" t="s">
        <v>356</v>
      </c>
      <c r="B19" s="502"/>
      <c r="C19" s="503"/>
      <c r="D19" s="504"/>
      <c r="E19" s="505">
        <f t="shared" si="31"/>
        <v>0</v>
      </c>
      <c r="F19" s="506"/>
      <c r="G19" s="507"/>
      <c r="H19" s="503">
        <v>51512.889000000003</v>
      </c>
      <c r="I19" s="504">
        <v>4610871.43</v>
      </c>
      <c r="J19" s="505">
        <f t="shared" si="32"/>
        <v>89.509082474485155</v>
      </c>
      <c r="K19" s="503">
        <v>51512.889000000003</v>
      </c>
      <c r="L19" s="502"/>
      <c r="M19" s="503">
        <v>223834.84299999999</v>
      </c>
      <c r="N19" s="504">
        <v>18966100.539999999</v>
      </c>
      <c r="O19" s="505">
        <f t="shared" si="33"/>
        <v>84.732565698004393</v>
      </c>
      <c r="P19" s="503">
        <v>223834.84299999999</v>
      </c>
      <c r="Q19" s="507"/>
      <c r="R19" s="503">
        <v>492182.11800000002</v>
      </c>
      <c r="S19" s="504">
        <v>39940303.329999998</v>
      </c>
      <c r="T19" s="505">
        <f t="shared" si="34"/>
        <v>81.149440154995631</v>
      </c>
      <c r="U19" s="503">
        <v>492182.11800000002</v>
      </c>
      <c r="V19" s="502"/>
      <c r="W19" s="503">
        <v>422579.00799999997</v>
      </c>
      <c r="X19" s="504">
        <v>33984814.369999997</v>
      </c>
      <c r="Y19" s="505">
        <f t="shared" si="35"/>
        <v>80.422391379176133</v>
      </c>
      <c r="Z19" s="503">
        <v>422579.00799999997</v>
      </c>
      <c r="AA19" s="507"/>
      <c r="AB19" s="503">
        <v>491200.20799999998</v>
      </c>
      <c r="AC19" s="504">
        <v>38924356.390000001</v>
      </c>
      <c r="AD19" s="505">
        <f t="shared" si="36"/>
        <v>79.243363003624793</v>
      </c>
      <c r="AE19" s="503">
        <v>491200.20799999998</v>
      </c>
      <c r="AF19" s="502"/>
      <c r="AG19" s="503">
        <v>529598.255</v>
      </c>
      <c r="AH19" s="504">
        <v>40939124.289999999</v>
      </c>
      <c r="AI19" s="505">
        <f t="shared" si="37"/>
        <v>77.302226552842399</v>
      </c>
      <c r="AJ19" s="503">
        <v>529598.255</v>
      </c>
      <c r="AK19" s="507"/>
      <c r="AL19" s="503">
        <v>245773.538</v>
      </c>
      <c r="AM19" s="504">
        <v>19215316.23</v>
      </c>
      <c r="AN19" s="505">
        <f t="shared" si="38"/>
        <v>78.183015089281099</v>
      </c>
      <c r="AO19" s="503">
        <v>245773.538</v>
      </c>
      <c r="AP19" s="502"/>
      <c r="AQ19" s="503">
        <v>179383.9</v>
      </c>
      <c r="AR19" s="504">
        <v>14299151.15</v>
      </c>
      <c r="AS19" s="505">
        <f t="shared" si="39"/>
        <v>79.712567014096592</v>
      </c>
      <c r="AT19" s="503">
        <v>179383.9</v>
      </c>
      <c r="AU19" s="507"/>
      <c r="AV19" s="503"/>
      <c r="AW19" s="504"/>
      <c r="AX19" s="505">
        <f t="shared" si="40"/>
        <v>0</v>
      </c>
      <c r="AY19" s="503"/>
      <c r="AZ19" s="502"/>
      <c r="BA19" s="503"/>
      <c r="BB19" s="504"/>
      <c r="BC19" s="505">
        <f t="shared" si="41"/>
        <v>0</v>
      </c>
      <c r="BD19" s="503"/>
      <c r="BE19" s="507"/>
      <c r="BF19" s="503"/>
      <c r="BG19" s="504"/>
      <c r="BH19" s="505">
        <f t="shared" si="42"/>
        <v>0</v>
      </c>
      <c r="BI19" s="503"/>
      <c r="BJ19" s="508"/>
      <c r="BK19" s="509">
        <f t="shared" si="43"/>
        <v>2636064.7590000001</v>
      </c>
      <c r="BL19" s="515">
        <f t="shared" si="43"/>
        <v>210880037.72999999</v>
      </c>
      <c r="BM19" s="511">
        <f t="shared" si="44"/>
        <v>79.998048989508902</v>
      </c>
      <c r="BN19" s="509">
        <f t="shared" si="45"/>
        <v>2636064.7590000001</v>
      </c>
      <c r="BO19" s="512"/>
      <c r="BP19" s="513"/>
      <c r="BQ19" s="514"/>
      <c r="BR19" s="509">
        <f t="shared" si="46"/>
        <v>2584551.87</v>
      </c>
      <c r="BS19" s="515">
        <f t="shared" si="46"/>
        <v>206269166.29999998</v>
      </c>
      <c r="BT19" s="511">
        <f t="shared" si="47"/>
        <v>79.808483897829447</v>
      </c>
      <c r="BU19" s="509">
        <f t="shared" si="48"/>
        <v>2584551.87</v>
      </c>
      <c r="BV19" s="512"/>
      <c r="BW19" s="513"/>
    </row>
    <row r="20" spans="1:75" outlineLevel="2">
      <c r="A20" s="501" t="s">
        <v>346</v>
      </c>
      <c r="B20" s="502"/>
      <c r="C20" s="503"/>
      <c r="D20" s="504"/>
      <c r="E20" s="505">
        <f t="shared" si="31"/>
        <v>0</v>
      </c>
      <c r="F20" s="506"/>
      <c r="G20" s="507"/>
      <c r="H20" s="503"/>
      <c r="I20" s="504"/>
      <c r="J20" s="505">
        <f t="shared" si="32"/>
        <v>0</v>
      </c>
      <c r="K20" s="503"/>
      <c r="L20" s="502"/>
      <c r="M20" s="503"/>
      <c r="N20" s="504"/>
      <c r="O20" s="505">
        <f t="shared" si="33"/>
        <v>0</v>
      </c>
      <c r="P20" s="503"/>
      <c r="Q20" s="507"/>
      <c r="R20" s="503"/>
      <c r="S20" s="504"/>
      <c r="T20" s="505">
        <f t="shared" si="34"/>
        <v>0</v>
      </c>
      <c r="U20" s="503"/>
      <c r="V20" s="502"/>
      <c r="W20" s="503"/>
      <c r="X20" s="504"/>
      <c r="Y20" s="505">
        <f t="shared" si="35"/>
        <v>0</v>
      </c>
      <c r="Z20" s="503"/>
      <c r="AA20" s="507"/>
      <c r="AB20" s="503"/>
      <c r="AC20" s="504"/>
      <c r="AD20" s="505">
        <f t="shared" si="36"/>
        <v>0</v>
      </c>
      <c r="AE20" s="503"/>
      <c r="AF20" s="502"/>
      <c r="AG20" s="503"/>
      <c r="AH20" s="504"/>
      <c r="AI20" s="505">
        <f t="shared" si="37"/>
        <v>0</v>
      </c>
      <c r="AJ20" s="503"/>
      <c r="AK20" s="507"/>
      <c r="AL20" s="503"/>
      <c r="AM20" s="504"/>
      <c r="AN20" s="505">
        <f t="shared" si="38"/>
        <v>0</v>
      </c>
      <c r="AO20" s="503"/>
      <c r="AP20" s="502"/>
      <c r="AQ20" s="503"/>
      <c r="AR20" s="504"/>
      <c r="AS20" s="505">
        <f t="shared" si="39"/>
        <v>0</v>
      </c>
      <c r="AT20" s="503"/>
      <c r="AU20" s="507"/>
      <c r="AV20" s="503"/>
      <c r="AW20" s="504"/>
      <c r="AX20" s="505">
        <f t="shared" si="40"/>
        <v>0</v>
      </c>
      <c r="AY20" s="503"/>
      <c r="AZ20" s="502"/>
      <c r="BA20" s="503"/>
      <c r="BB20" s="504"/>
      <c r="BC20" s="505">
        <f t="shared" si="41"/>
        <v>0</v>
      </c>
      <c r="BD20" s="503"/>
      <c r="BE20" s="507"/>
      <c r="BF20" s="503"/>
      <c r="BG20" s="504"/>
      <c r="BH20" s="505">
        <f t="shared" si="42"/>
        <v>0</v>
      </c>
      <c r="BI20" s="503"/>
      <c r="BJ20" s="508"/>
      <c r="BK20" s="509">
        <f t="shared" si="43"/>
        <v>0</v>
      </c>
      <c r="BL20" s="515">
        <f t="shared" si="43"/>
        <v>0</v>
      </c>
      <c r="BM20" s="511" t="e">
        <f t="shared" si="44"/>
        <v>#DIV/0!</v>
      </c>
      <c r="BN20" s="509">
        <f t="shared" si="45"/>
        <v>0</v>
      </c>
      <c r="BO20" s="512"/>
      <c r="BP20" s="513"/>
      <c r="BQ20" s="514"/>
      <c r="BR20" s="509">
        <f t="shared" si="46"/>
        <v>0</v>
      </c>
      <c r="BS20" s="515">
        <f t="shared" si="46"/>
        <v>0</v>
      </c>
      <c r="BT20" s="511" t="e">
        <f t="shared" si="47"/>
        <v>#DIV/0!</v>
      </c>
      <c r="BU20" s="509">
        <f t="shared" si="48"/>
        <v>0</v>
      </c>
      <c r="BV20" s="512"/>
      <c r="BW20" s="513"/>
    </row>
    <row r="21" spans="1:75" outlineLevel="1">
      <c r="A21" s="516" t="s">
        <v>357</v>
      </c>
      <c r="B21" s="502"/>
      <c r="C21" s="517"/>
      <c r="D21" s="518"/>
      <c r="E21" s="519">
        <f t="shared" si="31"/>
        <v>0</v>
      </c>
      <c r="F21" s="520"/>
      <c r="G21" s="507"/>
      <c r="H21" s="517">
        <v>356.10899999999998</v>
      </c>
      <c r="I21" s="518">
        <v>31067.69</v>
      </c>
      <c r="J21" s="519">
        <f t="shared" si="32"/>
        <v>87.242080374267431</v>
      </c>
      <c r="K21" s="517">
        <v>356.10899999999998</v>
      </c>
      <c r="L21" s="502"/>
      <c r="M21" s="517">
        <v>368.09199999999998</v>
      </c>
      <c r="N21" s="518">
        <v>31156.93</v>
      </c>
      <c r="O21" s="519">
        <f t="shared" si="33"/>
        <v>84.644409549786474</v>
      </c>
      <c r="P21" s="517">
        <v>368.09199999999998</v>
      </c>
      <c r="Q21" s="507"/>
      <c r="R21" s="517"/>
      <c r="S21" s="518"/>
      <c r="T21" s="519">
        <f t="shared" si="34"/>
        <v>0</v>
      </c>
      <c r="U21" s="517"/>
      <c r="V21" s="502"/>
      <c r="W21" s="517"/>
      <c r="X21" s="518"/>
      <c r="Y21" s="519">
        <f t="shared" si="35"/>
        <v>0</v>
      </c>
      <c r="Z21" s="517"/>
      <c r="AA21" s="507"/>
      <c r="AB21" s="517"/>
      <c r="AC21" s="518"/>
      <c r="AD21" s="519">
        <f t="shared" si="36"/>
        <v>0</v>
      </c>
      <c r="AE21" s="517"/>
      <c r="AF21" s="502"/>
      <c r="AG21" s="517">
        <v>89.581000000000003</v>
      </c>
      <c r="AH21" s="518">
        <v>6939.02</v>
      </c>
      <c r="AI21" s="519">
        <f t="shared" si="37"/>
        <v>77.460845491789556</v>
      </c>
      <c r="AJ21" s="517">
        <v>89.581000000000003</v>
      </c>
      <c r="AK21" s="507"/>
      <c r="AL21" s="517"/>
      <c r="AM21" s="518"/>
      <c r="AN21" s="519">
        <f t="shared" si="38"/>
        <v>0</v>
      </c>
      <c r="AO21" s="517"/>
      <c r="AP21" s="502"/>
      <c r="AQ21" s="517"/>
      <c r="AR21" s="518"/>
      <c r="AS21" s="519">
        <f t="shared" si="39"/>
        <v>0</v>
      </c>
      <c r="AT21" s="517"/>
      <c r="AU21" s="507"/>
      <c r="AV21" s="517"/>
      <c r="AW21" s="518"/>
      <c r="AX21" s="519">
        <f t="shared" si="40"/>
        <v>0</v>
      </c>
      <c r="AY21" s="517"/>
      <c r="AZ21" s="502"/>
      <c r="BA21" s="517"/>
      <c r="BB21" s="518"/>
      <c r="BC21" s="519">
        <f t="shared" si="41"/>
        <v>0</v>
      </c>
      <c r="BD21" s="517"/>
      <c r="BE21" s="507"/>
      <c r="BF21" s="517"/>
      <c r="BG21" s="518"/>
      <c r="BH21" s="519">
        <f t="shared" si="42"/>
        <v>0</v>
      </c>
      <c r="BI21" s="517"/>
      <c r="BJ21" s="508"/>
      <c r="BK21" s="521">
        <f t="shared" si="43"/>
        <v>813.78200000000004</v>
      </c>
      <c r="BL21" s="522">
        <f t="shared" si="43"/>
        <v>69163.64</v>
      </c>
      <c r="BM21" s="523">
        <f t="shared" si="44"/>
        <v>84.990378258550805</v>
      </c>
      <c r="BN21" s="521">
        <f t="shared" si="45"/>
        <v>813.78200000000004</v>
      </c>
      <c r="BO21" s="524"/>
      <c r="BP21" s="525"/>
      <c r="BQ21" s="514"/>
      <c r="BR21" s="521">
        <f t="shared" si="46"/>
        <v>457.673</v>
      </c>
      <c r="BS21" s="522">
        <f t="shared" si="46"/>
        <v>38095.949999999997</v>
      </c>
      <c r="BT21" s="523">
        <f t="shared" si="47"/>
        <v>83.238360139226032</v>
      </c>
      <c r="BU21" s="521">
        <f t="shared" si="48"/>
        <v>457.673</v>
      </c>
      <c r="BV21" s="524"/>
      <c r="BW21" s="525"/>
    </row>
    <row r="22" spans="1:75" outlineLevel="1">
      <c r="A22" s="526" t="s">
        <v>358</v>
      </c>
      <c r="B22" s="527"/>
      <c r="C22" s="528">
        <f>IF(C14=0,0,C5/C14)</f>
        <v>0.89040381463269258</v>
      </c>
      <c r="D22" s="529"/>
      <c r="E22" s="530"/>
      <c r="F22" s="531"/>
      <c r="G22" s="434"/>
      <c r="H22" s="528">
        <f>IF(H14=0,0,H5/H14)</f>
        <v>0.89939706891920124</v>
      </c>
      <c r="I22" s="529"/>
      <c r="J22" s="530"/>
      <c r="K22" s="532"/>
      <c r="L22" s="527"/>
      <c r="M22" s="528">
        <f>IF(M14=0,0,M5/M14)</f>
        <v>0.89659277197725484</v>
      </c>
      <c r="N22" s="529"/>
      <c r="O22" s="530"/>
      <c r="P22" s="532"/>
      <c r="Q22" s="434"/>
      <c r="R22" s="528">
        <f>IF(R14=0,0,R5/R14)</f>
        <v>0.88755315578471405</v>
      </c>
      <c r="S22" s="529"/>
      <c r="T22" s="530"/>
      <c r="U22" s="532"/>
      <c r="V22" s="527"/>
      <c r="W22" s="528">
        <f>IF(W14=0,0,W5/W14)</f>
        <v>0.89522876551735209</v>
      </c>
      <c r="X22" s="529"/>
      <c r="Y22" s="530"/>
      <c r="Z22" s="532"/>
      <c r="AA22" s="434"/>
      <c r="AB22" s="528">
        <f>IF(AB14=0,0,AB5/AB14)</f>
        <v>0.89554635999425392</v>
      </c>
      <c r="AC22" s="529"/>
      <c r="AD22" s="530"/>
      <c r="AE22" s="532"/>
      <c r="AF22" s="527"/>
      <c r="AG22" s="528">
        <f>IF(AG14=0,0,AG5/AG14)</f>
        <v>0.89679539675784703</v>
      </c>
      <c r="AH22" s="529"/>
      <c r="AI22" s="530"/>
      <c r="AJ22" s="532"/>
      <c r="AK22" s="434"/>
      <c r="AL22" s="528">
        <f>IF(AL14=0,0,AL5/AL14)</f>
        <v>0.89700531995619337</v>
      </c>
      <c r="AM22" s="529"/>
      <c r="AN22" s="530"/>
      <c r="AO22" s="532"/>
      <c r="AP22" s="527"/>
      <c r="AQ22" s="528">
        <f>IF(AQ14=0,0,AQ5/AQ14)</f>
        <v>0.9006698395910453</v>
      </c>
      <c r="AR22" s="529"/>
      <c r="AS22" s="530"/>
      <c r="AT22" s="532"/>
      <c r="AU22" s="434"/>
      <c r="AV22" s="528">
        <f>IF(AV14=0,0,AV5/AV14)</f>
        <v>0</v>
      </c>
      <c r="AW22" s="529"/>
      <c r="AX22" s="530"/>
      <c r="AY22" s="532"/>
      <c r="AZ22" s="527"/>
      <c r="BA22" s="528">
        <f>IF(BA14=0,0,BA5/BA14)</f>
        <v>0</v>
      </c>
      <c r="BB22" s="529"/>
      <c r="BC22" s="530"/>
      <c r="BD22" s="532"/>
      <c r="BE22" s="434"/>
      <c r="BF22" s="528">
        <f>IF(BF14=0,0,BF5/BF14)</f>
        <v>0</v>
      </c>
      <c r="BG22" s="529"/>
      <c r="BH22" s="530"/>
      <c r="BI22" s="532"/>
      <c r="BJ22" s="533"/>
      <c r="BK22" s="534"/>
      <c r="BL22" s="535"/>
      <c r="BM22" s="536"/>
      <c r="BN22" s="531"/>
      <c r="BO22" s="537"/>
      <c r="BP22" s="538"/>
      <c r="BQ22" s="539"/>
      <c r="BR22" s="534"/>
      <c r="BS22" s="535"/>
      <c r="BT22" s="536"/>
      <c r="BU22" s="531"/>
      <c r="BV22" s="537"/>
      <c r="BW22" s="538"/>
    </row>
    <row r="23" spans="1:75" s="548" customFormat="1" outlineLevel="1">
      <c r="A23" s="540"/>
      <c r="B23" s="527"/>
      <c r="C23" s="541"/>
      <c r="D23" s="542"/>
      <c r="E23" s="543"/>
      <c r="F23" s="544"/>
      <c r="G23" s="434"/>
      <c r="H23" s="541"/>
      <c r="I23" s="542"/>
      <c r="J23" s="543"/>
      <c r="K23" s="544"/>
      <c r="L23" s="527"/>
      <c r="M23" s="541"/>
      <c r="N23" s="542"/>
      <c r="O23" s="543"/>
      <c r="P23" s="544"/>
      <c r="Q23" s="434"/>
      <c r="R23" s="541"/>
      <c r="S23" s="542"/>
      <c r="T23" s="543"/>
      <c r="U23" s="544"/>
      <c r="V23" s="527"/>
      <c r="W23" s="541"/>
      <c r="X23" s="542"/>
      <c r="Y23" s="543"/>
      <c r="Z23" s="544"/>
      <c r="AA23" s="434"/>
      <c r="AB23" s="541"/>
      <c r="AC23" s="542"/>
      <c r="AD23" s="543"/>
      <c r="AE23" s="544"/>
      <c r="AF23" s="527"/>
      <c r="AG23" s="541"/>
      <c r="AH23" s="542"/>
      <c r="AI23" s="543"/>
      <c r="AJ23" s="544"/>
      <c r="AK23" s="434"/>
      <c r="AL23" s="541"/>
      <c r="AM23" s="542"/>
      <c r="AN23" s="543"/>
      <c r="AO23" s="544"/>
      <c r="AP23" s="527"/>
      <c r="AQ23" s="541"/>
      <c r="AR23" s="542"/>
      <c r="AS23" s="543"/>
      <c r="AT23" s="544"/>
      <c r="AU23" s="434"/>
      <c r="AV23" s="541"/>
      <c r="AW23" s="542"/>
      <c r="AX23" s="543"/>
      <c r="AY23" s="544"/>
      <c r="AZ23" s="527"/>
      <c r="BA23" s="541"/>
      <c r="BB23" s="542"/>
      <c r="BC23" s="543"/>
      <c r="BD23" s="544"/>
      <c r="BE23" s="434"/>
      <c r="BF23" s="541"/>
      <c r="BG23" s="542"/>
      <c r="BH23" s="543"/>
      <c r="BI23" s="544"/>
      <c r="BJ23" s="533"/>
      <c r="BK23" s="545"/>
      <c r="BL23" s="546"/>
      <c r="BM23" s="547"/>
      <c r="BN23" s="545"/>
      <c r="BO23" s="545"/>
      <c r="BP23" s="545"/>
      <c r="BQ23" s="539"/>
      <c r="BR23" s="545"/>
      <c r="BS23" s="546"/>
      <c r="BT23" s="547"/>
      <c r="BU23" s="545"/>
      <c r="BV23" s="545"/>
      <c r="BW23" s="545"/>
    </row>
    <row r="24" spans="1:75" s="548" customFormat="1" outlineLevel="1">
      <c r="A24" s="540"/>
      <c r="B24" s="527"/>
      <c r="C24" s="541"/>
      <c r="D24" s="542"/>
      <c r="E24" s="543"/>
      <c r="F24" s="544"/>
      <c r="G24" s="434"/>
      <c r="H24" s="541"/>
      <c r="I24" s="542"/>
      <c r="J24" s="543"/>
      <c r="K24" s="544"/>
      <c r="L24" s="527"/>
      <c r="M24" s="541"/>
      <c r="N24" s="542"/>
      <c r="O24" s="543"/>
      <c r="P24" s="544"/>
      <c r="Q24" s="434"/>
      <c r="R24" s="541"/>
      <c r="S24" s="542"/>
      <c r="T24" s="543"/>
      <c r="U24" s="544"/>
      <c r="V24" s="527"/>
      <c r="W24" s="541"/>
      <c r="X24" s="542"/>
      <c r="Y24" s="543"/>
      <c r="Z24" s="544"/>
      <c r="AA24" s="434"/>
      <c r="AB24" s="541"/>
      <c r="AC24" s="542"/>
      <c r="AD24" s="543"/>
      <c r="AE24" s="544"/>
      <c r="AF24" s="527"/>
      <c r="AG24" s="541"/>
      <c r="AH24" s="542"/>
      <c r="AI24" s="543"/>
      <c r="AJ24" s="544"/>
      <c r="AK24" s="434"/>
      <c r="AL24" s="541"/>
      <c r="AM24" s="542"/>
      <c r="AN24" s="543"/>
      <c r="AO24" s="544"/>
      <c r="AP24" s="527"/>
      <c r="AQ24" s="541"/>
      <c r="AR24" s="542"/>
      <c r="AS24" s="543"/>
      <c r="AT24" s="544"/>
      <c r="AU24" s="434"/>
      <c r="AV24" s="541"/>
      <c r="AW24" s="542"/>
      <c r="AX24" s="543"/>
      <c r="AY24" s="544"/>
      <c r="AZ24" s="527"/>
      <c r="BA24" s="541"/>
      <c r="BB24" s="542"/>
      <c r="BC24" s="543"/>
      <c r="BD24" s="544"/>
      <c r="BE24" s="434"/>
      <c r="BF24" s="541"/>
      <c r="BG24" s="542"/>
      <c r="BH24" s="543"/>
      <c r="BI24" s="544"/>
      <c r="BJ24" s="533"/>
      <c r="BK24" s="545"/>
      <c r="BL24" s="546"/>
      <c r="BM24" s="547"/>
      <c r="BN24" s="545"/>
      <c r="BO24" s="545"/>
      <c r="BP24" s="545"/>
      <c r="BQ24" s="539"/>
      <c r="BR24" s="545"/>
      <c r="BS24" s="546"/>
      <c r="BT24" s="547"/>
      <c r="BU24" s="545"/>
      <c r="BV24" s="545"/>
      <c r="BW24" s="545"/>
    </row>
    <row r="25" spans="1:75" outlineLevel="1">
      <c r="A25" s="526"/>
      <c r="B25" s="527"/>
      <c r="C25" s="549" t="s">
        <v>335</v>
      </c>
      <c r="D25" s="550"/>
      <c r="E25" s="550"/>
      <c r="F25" s="551"/>
      <c r="G25" s="421"/>
      <c r="H25" s="549" t="s">
        <v>335</v>
      </c>
      <c r="I25" s="550"/>
      <c r="J25" s="550"/>
      <c r="K25" s="551"/>
      <c r="L25" s="527"/>
      <c r="M25" s="549" t="s">
        <v>335</v>
      </c>
      <c r="N25" s="550"/>
      <c r="O25" s="550"/>
      <c r="P25" s="551"/>
      <c r="Q25" s="421"/>
      <c r="R25" s="549" t="s">
        <v>335</v>
      </c>
      <c r="S25" s="550"/>
      <c r="T25" s="550"/>
      <c r="U25" s="551"/>
      <c r="V25" s="527"/>
      <c r="W25" s="549" t="s">
        <v>335</v>
      </c>
      <c r="X25" s="550"/>
      <c r="Y25" s="550"/>
      <c r="Z25" s="551"/>
      <c r="AA25" s="421"/>
      <c r="AB25" s="549" t="s">
        <v>335</v>
      </c>
      <c r="AC25" s="550"/>
      <c r="AD25" s="550"/>
      <c r="AE25" s="551"/>
      <c r="AF25" s="527"/>
      <c r="AG25" s="549" t="s">
        <v>335</v>
      </c>
      <c r="AH25" s="550"/>
      <c r="AI25" s="550"/>
      <c r="AJ25" s="551"/>
      <c r="AK25" s="421"/>
      <c r="AL25" s="549" t="s">
        <v>335</v>
      </c>
      <c r="AM25" s="550"/>
      <c r="AN25" s="550"/>
      <c r="AO25" s="551"/>
      <c r="AP25" s="527"/>
      <c r="AQ25" s="549" t="s">
        <v>335</v>
      </c>
      <c r="AR25" s="550"/>
      <c r="AS25" s="550"/>
      <c r="AT25" s="551"/>
      <c r="AU25" s="421"/>
      <c r="AV25" s="549" t="s">
        <v>335</v>
      </c>
      <c r="AW25" s="550"/>
      <c r="AX25" s="550"/>
      <c r="AY25" s="551"/>
      <c r="AZ25" s="527"/>
      <c r="BA25" s="549" t="s">
        <v>335</v>
      </c>
      <c r="BB25" s="550"/>
      <c r="BC25" s="550"/>
      <c r="BD25" s="551"/>
      <c r="BE25" s="421"/>
      <c r="BF25" s="549" t="s">
        <v>335</v>
      </c>
      <c r="BG25" s="550"/>
      <c r="BH25" s="550"/>
      <c r="BI25" s="551"/>
      <c r="BJ25" s="552"/>
      <c r="BK25" s="96" t="s">
        <v>335</v>
      </c>
      <c r="BL25" s="98"/>
      <c r="BM25" s="98"/>
      <c r="BN25" s="553"/>
      <c r="BO25" s="553"/>
      <c r="BP25" s="553"/>
      <c r="BQ25" s="554"/>
      <c r="BR25" s="96" t="s">
        <v>335</v>
      </c>
      <c r="BS25" s="98"/>
      <c r="BT25" s="98"/>
      <c r="BU25" s="553"/>
      <c r="BV25" s="553"/>
      <c r="BW25" s="553"/>
    </row>
    <row r="26" spans="1:75" ht="45">
      <c r="A26" s="555" t="s">
        <v>359</v>
      </c>
      <c r="B26" s="429"/>
      <c r="C26" s="556" t="s">
        <v>360</v>
      </c>
      <c r="D26" s="432" t="s">
        <v>349</v>
      </c>
      <c r="E26" s="557" t="s">
        <v>361</v>
      </c>
      <c r="F26" s="558" t="s">
        <v>362</v>
      </c>
      <c r="G26" s="434"/>
      <c r="H26" s="556" t="s">
        <v>360</v>
      </c>
      <c r="I26" s="432" t="s">
        <v>349</v>
      </c>
      <c r="J26" s="557" t="s">
        <v>361</v>
      </c>
      <c r="K26" s="559" t="s">
        <v>362</v>
      </c>
      <c r="L26" s="429"/>
      <c r="M26" s="560" t="s">
        <v>360</v>
      </c>
      <c r="N26" s="432" t="s">
        <v>349</v>
      </c>
      <c r="O26" s="557" t="s">
        <v>361</v>
      </c>
      <c r="P26" s="559" t="s">
        <v>362</v>
      </c>
      <c r="Q26" s="434"/>
      <c r="R26" s="560" t="s">
        <v>360</v>
      </c>
      <c r="S26" s="432" t="s">
        <v>349</v>
      </c>
      <c r="T26" s="557" t="s">
        <v>361</v>
      </c>
      <c r="U26" s="559" t="s">
        <v>362</v>
      </c>
      <c r="V26" s="429"/>
      <c r="W26" s="560" t="s">
        <v>360</v>
      </c>
      <c r="X26" s="432" t="s">
        <v>349</v>
      </c>
      <c r="Y26" s="557" t="s">
        <v>361</v>
      </c>
      <c r="Z26" s="559" t="s">
        <v>362</v>
      </c>
      <c r="AA26" s="434"/>
      <c r="AB26" s="560" t="s">
        <v>360</v>
      </c>
      <c r="AC26" s="432" t="s">
        <v>349</v>
      </c>
      <c r="AD26" s="557" t="s">
        <v>361</v>
      </c>
      <c r="AE26" s="559" t="s">
        <v>362</v>
      </c>
      <c r="AF26" s="429"/>
      <c r="AG26" s="560" t="s">
        <v>360</v>
      </c>
      <c r="AH26" s="432" t="s">
        <v>349</v>
      </c>
      <c r="AI26" s="557" t="s">
        <v>361</v>
      </c>
      <c r="AJ26" s="559" t="s">
        <v>362</v>
      </c>
      <c r="AK26" s="434"/>
      <c r="AL26" s="560" t="s">
        <v>360</v>
      </c>
      <c r="AM26" s="432" t="s">
        <v>349</v>
      </c>
      <c r="AN26" s="557" t="s">
        <v>361</v>
      </c>
      <c r="AO26" s="559" t="s">
        <v>362</v>
      </c>
      <c r="AP26" s="429"/>
      <c r="AQ26" s="560" t="s">
        <v>360</v>
      </c>
      <c r="AR26" s="432" t="s">
        <v>349</v>
      </c>
      <c r="AS26" s="557" t="s">
        <v>361</v>
      </c>
      <c r="AT26" s="559" t="s">
        <v>362</v>
      </c>
      <c r="AU26" s="434"/>
      <c r="AV26" s="560" t="s">
        <v>360</v>
      </c>
      <c r="AW26" s="432" t="s">
        <v>349</v>
      </c>
      <c r="AX26" s="557" t="s">
        <v>361</v>
      </c>
      <c r="AY26" s="559" t="s">
        <v>362</v>
      </c>
      <c r="AZ26" s="429"/>
      <c r="BA26" s="560" t="s">
        <v>360</v>
      </c>
      <c r="BB26" s="432" t="s">
        <v>349</v>
      </c>
      <c r="BC26" s="557" t="s">
        <v>361</v>
      </c>
      <c r="BD26" s="559" t="s">
        <v>362</v>
      </c>
      <c r="BE26" s="434"/>
      <c r="BF26" s="560" t="s">
        <v>360</v>
      </c>
      <c r="BG26" s="432" t="s">
        <v>349</v>
      </c>
      <c r="BH26" s="557" t="s">
        <v>361</v>
      </c>
      <c r="BI26" s="559" t="s">
        <v>362</v>
      </c>
      <c r="BJ26" s="561"/>
      <c r="BK26" s="562" t="s">
        <v>348</v>
      </c>
      <c r="BL26" s="432" t="s">
        <v>349</v>
      </c>
      <c r="BM26" s="557" t="s">
        <v>361</v>
      </c>
      <c r="BN26" s="559" t="s">
        <v>363</v>
      </c>
      <c r="BO26" s="563"/>
      <c r="BP26" s="563"/>
      <c r="BQ26" s="564"/>
      <c r="BR26" s="562" t="s">
        <v>348</v>
      </c>
      <c r="BS26" s="432" t="s">
        <v>349</v>
      </c>
      <c r="BT26" s="557" t="s">
        <v>361</v>
      </c>
      <c r="BU26" s="559" t="s">
        <v>363</v>
      </c>
      <c r="BV26" s="563"/>
      <c r="BW26" s="563"/>
    </row>
    <row r="27" spans="1:75">
      <c r="A27" s="139" t="s">
        <v>364</v>
      </c>
      <c r="B27" s="489"/>
      <c r="C27" s="565">
        <f>SUM(C28:C36)</f>
        <v>163215.55499999999</v>
      </c>
      <c r="D27" s="566">
        <f>SUM(D28:D36)</f>
        <v>18252239.640000001</v>
      </c>
      <c r="E27" s="567">
        <f>SUM(E28:E36)</f>
        <v>15328716.789999999</v>
      </c>
      <c r="F27" s="568">
        <f t="shared" ref="F27:F36" si="49">IF(OR(C27="",C27=0),0,D27/C27*1000)</f>
        <v>111829.04497062184</v>
      </c>
      <c r="G27" s="434"/>
      <c r="H27" s="565">
        <f>SUM(H28:H36)</f>
        <v>241505.9</v>
      </c>
      <c r="I27" s="566">
        <f>SUM(I28:I36)</f>
        <v>25056972.919999998</v>
      </c>
      <c r="J27" s="567">
        <f>SUM(J28:J36)</f>
        <v>21946078.199999999</v>
      </c>
      <c r="K27" s="569">
        <f t="shared" ref="K27:K36" si="50">IF(OR(H27="",H27=0),0,I27/H27*1000)</f>
        <v>103753.0466957536</v>
      </c>
      <c r="L27" s="489"/>
      <c r="M27" s="570">
        <f>SUM(M28:M36)</f>
        <v>330640.3</v>
      </c>
      <c r="N27" s="566">
        <f>SUM(N28:N36)</f>
        <v>33193753.030000001</v>
      </c>
      <c r="O27" s="567">
        <f>SUM(O28:O36)</f>
        <v>32325581.599999998</v>
      </c>
      <c r="P27" s="569">
        <f t="shared" ref="P27:P36" si="51">IF(OR(M27="",M27=0),0,N27/M27*1000)</f>
        <v>100392.33883467926</v>
      </c>
      <c r="Q27" s="434"/>
      <c r="R27" s="570">
        <f>SUM(R28:R36)</f>
        <v>677464.9</v>
      </c>
      <c r="S27" s="566">
        <f>SUM(S28:S36)</f>
        <v>57814819.199999996</v>
      </c>
      <c r="T27" s="567">
        <f>SUM(T28:T36)</f>
        <v>51294524.069999993</v>
      </c>
      <c r="U27" s="569">
        <f t="shared" ref="U27:U36" si="52">IF(OR(R27="",R27=0),0,S27/R27*1000)</f>
        <v>85339.947796557419</v>
      </c>
      <c r="V27" s="489"/>
      <c r="W27" s="570">
        <f>SUM(W28:W36)</f>
        <v>589609.80000000005</v>
      </c>
      <c r="X27" s="566">
        <f>SUM(X28:X36)</f>
        <v>56746357.240000002</v>
      </c>
      <c r="Y27" s="567">
        <f>SUM(Y28:Y36)</f>
        <v>50039667.719999991</v>
      </c>
      <c r="Z27" s="569">
        <f t="shared" ref="Z27:Z36" si="53">IF(OR(W27="",W27=0),0,X27/W27*1000)</f>
        <v>96243.917994578776</v>
      </c>
      <c r="AA27" s="434"/>
      <c r="AB27" s="570">
        <f>SUM(AB28:AB36)</f>
        <v>501953.2</v>
      </c>
      <c r="AC27" s="566">
        <f>SUM(AC28:AC36)</f>
        <v>44307548.309999995</v>
      </c>
      <c r="AD27" s="567">
        <f>SUM(AD28:AD36)</f>
        <v>39476077.490000002</v>
      </c>
      <c r="AE27" s="569">
        <f t="shared" ref="AE27:AE36" si="54">IF(OR(AB27="",AB27=0),0,AC27/AB27*1000)</f>
        <v>88270.277607553842</v>
      </c>
      <c r="AF27" s="489"/>
      <c r="AG27" s="570">
        <f>SUM(AG28:AG36)</f>
        <v>479826.75</v>
      </c>
      <c r="AH27" s="566">
        <f>SUM(AH28:AH36)</f>
        <v>44036856.410000004</v>
      </c>
      <c r="AI27" s="567">
        <f>SUM(AI28:AI36)</f>
        <v>38486120.869999997</v>
      </c>
      <c r="AJ27" s="569">
        <f t="shared" ref="AJ27:AJ36" si="55">IF(OR(AG27="",AG27=0),0,AH27/AG27*1000)</f>
        <v>91776.576462233512</v>
      </c>
      <c r="AK27" s="434"/>
      <c r="AL27" s="570">
        <f>SUM(AL28:AL36)</f>
        <v>542829.4</v>
      </c>
      <c r="AM27" s="566">
        <f>SUM(AM28:AM36)</f>
        <v>50436880.049999997</v>
      </c>
      <c r="AN27" s="567">
        <f>SUM(AN28:AN36)</f>
        <v>43868549.280000001</v>
      </c>
      <c r="AO27" s="569">
        <f t="shared" ref="AO27:AO36" si="56">IF(OR(AL27="",AL27=0),0,AM27/AL27*1000)</f>
        <v>92914.790632194941</v>
      </c>
      <c r="AP27" s="489"/>
      <c r="AQ27" s="570">
        <f>SUM(AQ28:AQ36)</f>
        <v>436295</v>
      </c>
      <c r="AR27" s="566">
        <f>SUM(AR28:AR36)</f>
        <v>38573584.620000005</v>
      </c>
      <c r="AS27" s="567">
        <f>SUM(AS28:AS36)</f>
        <v>34741130.409999996</v>
      </c>
      <c r="AT27" s="569">
        <f t="shared" ref="AT27:AT36" si="57">IF(OR(AQ27="",AQ27=0),0,AR27/AQ27*1000)</f>
        <v>88411.704511855525</v>
      </c>
      <c r="AU27" s="434"/>
      <c r="AV27" s="570">
        <f>SUM(AV28:AV36)</f>
        <v>0</v>
      </c>
      <c r="AW27" s="566">
        <f>SUM(AW28:AW36)</f>
        <v>0</v>
      </c>
      <c r="AX27" s="567">
        <f>SUM(AX28:AX36)</f>
        <v>0</v>
      </c>
      <c r="AY27" s="569">
        <f t="shared" ref="AY27:AY36" si="58">IF(OR(AV27="",AV27=0),0,AW27/AV27*1000)</f>
        <v>0</v>
      </c>
      <c r="AZ27" s="489"/>
      <c r="BA27" s="570">
        <f>SUM(BA28:BA36)</f>
        <v>0</v>
      </c>
      <c r="BB27" s="566">
        <f>SUM(BB28:BB36)</f>
        <v>0</v>
      </c>
      <c r="BC27" s="567">
        <f>SUM(BC28:BC36)</f>
        <v>0</v>
      </c>
      <c r="BD27" s="569">
        <f t="shared" ref="BD27:BD36" si="59">IF(OR(BA27="",BA27=0),0,BB27/BA27*1000)</f>
        <v>0</v>
      </c>
      <c r="BE27" s="434"/>
      <c r="BF27" s="570">
        <f>SUM(BF28:BF36)</f>
        <v>0</v>
      </c>
      <c r="BG27" s="566">
        <f>SUM(BG28:BG36)</f>
        <v>0</v>
      </c>
      <c r="BH27" s="567">
        <f>SUM(BH28:BH36)</f>
        <v>0</v>
      </c>
      <c r="BI27" s="569">
        <f t="shared" ref="BI27:BI36" si="60">IF(OR(BF27="",BF27=0),0,BG27/BF27*1000)</f>
        <v>0</v>
      </c>
      <c r="BJ27" s="571"/>
      <c r="BK27" s="572">
        <f>SUM(BK28:BK36)</f>
        <v>3963340.8050000002</v>
      </c>
      <c r="BL27" s="573">
        <f>SUM(BL28:BL36)</f>
        <v>368419011.42000002</v>
      </c>
      <c r="BM27" s="573">
        <f>SUM(BM28:BM36)</f>
        <v>327506446.42999995</v>
      </c>
      <c r="BN27" s="574"/>
      <c r="BO27" s="574"/>
      <c r="BP27" s="574"/>
      <c r="BQ27" s="575"/>
      <c r="BR27" s="572">
        <f>SUM(BR28:BR36)</f>
        <v>3558619.35</v>
      </c>
      <c r="BS27" s="573">
        <f>SUM(BS28:BS36)</f>
        <v>325109798.86000001</v>
      </c>
      <c r="BT27" s="573">
        <f>SUM(BT28:BT36)</f>
        <v>290231651.43999994</v>
      </c>
      <c r="BU27" s="574"/>
      <c r="BV27" s="574"/>
      <c r="BW27" s="574"/>
    </row>
    <row r="28" spans="1:75" outlineLevel="1">
      <c r="A28" s="576" t="s">
        <v>365</v>
      </c>
      <c r="B28" s="577"/>
      <c r="C28" s="578">
        <f>108781+54426</f>
        <v>163207</v>
      </c>
      <c r="D28" s="579">
        <v>18251195.890000001</v>
      </c>
      <c r="E28" s="580">
        <v>15327971.859999999</v>
      </c>
      <c r="F28" s="581">
        <f t="shared" si="49"/>
        <v>111828.51158344925</v>
      </c>
      <c r="G28" s="582"/>
      <c r="H28" s="578">
        <v>219016</v>
      </c>
      <c r="I28" s="579">
        <v>24078743.969999999</v>
      </c>
      <c r="J28" s="583">
        <v>21944029.719999999</v>
      </c>
      <c r="K28" s="584">
        <f t="shared" si="50"/>
        <v>109940.57041494685</v>
      </c>
      <c r="L28" s="577"/>
      <c r="M28" s="585">
        <v>163232</v>
      </c>
      <c r="N28" s="579">
        <v>16439906.449999999</v>
      </c>
      <c r="O28" s="580">
        <v>16064157.859999999</v>
      </c>
      <c r="P28" s="584">
        <f t="shared" si="51"/>
        <v>100714.97286071359</v>
      </c>
      <c r="Q28" s="582"/>
      <c r="R28" s="585">
        <v>108662</v>
      </c>
      <c r="S28" s="579">
        <v>10910797.050000001</v>
      </c>
      <c r="T28" s="583">
        <v>10318023.060000001</v>
      </c>
      <c r="U28" s="584">
        <f t="shared" si="52"/>
        <v>100410.4199260091</v>
      </c>
      <c r="V28" s="577"/>
      <c r="W28" s="585">
        <v>109065</v>
      </c>
      <c r="X28" s="579">
        <v>11027150.439999999</v>
      </c>
      <c r="Y28" s="580">
        <v>9929373.0099999998</v>
      </c>
      <c r="Z28" s="584">
        <f t="shared" si="53"/>
        <v>101106.22509512676</v>
      </c>
      <c r="AA28" s="582"/>
      <c r="AB28" s="585"/>
      <c r="AC28" s="579"/>
      <c r="AD28" s="580"/>
      <c r="AE28" s="584">
        <f t="shared" si="54"/>
        <v>0</v>
      </c>
      <c r="AF28" s="577"/>
      <c r="AG28" s="585">
        <v>54285</v>
      </c>
      <c r="AH28" s="579">
        <v>5183242.83</v>
      </c>
      <c r="AI28" s="580">
        <v>4864528.2</v>
      </c>
      <c r="AJ28" s="584">
        <f t="shared" si="55"/>
        <v>95482.045316385731</v>
      </c>
      <c r="AK28" s="582"/>
      <c r="AL28" s="585">
        <v>164681</v>
      </c>
      <c r="AM28" s="579">
        <v>15885927.199999999</v>
      </c>
      <c r="AN28" s="580">
        <v>14517243.25</v>
      </c>
      <c r="AO28" s="584">
        <f t="shared" si="56"/>
        <v>96464.845367710906</v>
      </c>
      <c r="AP28" s="577"/>
      <c r="AQ28" s="585">
        <v>273850</v>
      </c>
      <c r="AR28" s="579">
        <v>26758648.27</v>
      </c>
      <c r="AS28" s="580">
        <v>24600320.699999999</v>
      </c>
      <c r="AT28" s="584">
        <f t="shared" si="57"/>
        <v>97712.792660215448</v>
      </c>
      <c r="AU28" s="582"/>
      <c r="AV28" s="585"/>
      <c r="AW28" s="579"/>
      <c r="AX28" s="580"/>
      <c r="AY28" s="584">
        <f t="shared" si="58"/>
        <v>0</v>
      </c>
      <c r="AZ28" s="577"/>
      <c r="BA28" s="585"/>
      <c r="BB28" s="579"/>
      <c r="BC28" s="580"/>
      <c r="BD28" s="584">
        <f t="shared" si="59"/>
        <v>0</v>
      </c>
      <c r="BE28" s="582"/>
      <c r="BF28" s="585"/>
      <c r="BG28" s="579"/>
      <c r="BH28" s="580"/>
      <c r="BI28" s="584">
        <f t="shared" si="60"/>
        <v>0</v>
      </c>
      <c r="BJ28" s="586"/>
      <c r="BK28" s="509">
        <f t="shared" ref="BK28:BK36" si="61">SUM(C28,H28,M28,R28,W28,AB28,AG28,AL28,AQ28,AV28,BA28,BF28)</f>
        <v>1255998</v>
      </c>
      <c r="BL28" s="587">
        <f t="shared" ref="BL28:BL36" si="62">SUM(D28,I28,N28,S28,X28,AC28,AH28,AM28,AR28,AW28,BB28,BG28)</f>
        <v>128535612.09999999</v>
      </c>
      <c r="BM28" s="587">
        <f t="shared" ref="BM28:BM36" si="63">SUM(E28,J28,O28,T28,Y28,AD28,AI28,AN28,AS28,AX28,BC28,BH28)</f>
        <v>117565647.66000001</v>
      </c>
      <c r="BN28" s="588">
        <f t="shared" ref="BN28:BN36" si="64">BL28/BK28</f>
        <v>102.33743373795181</v>
      </c>
      <c r="BO28" s="588"/>
      <c r="BP28" s="588"/>
      <c r="BQ28" s="589"/>
      <c r="BR28" s="509">
        <f t="shared" ref="BR28:BR36" si="65">SUM(M28,R28,W28,AB28,AG28,AL28,AQ28,AV28,BA28,BF28)</f>
        <v>873775</v>
      </c>
      <c r="BS28" s="587">
        <f t="shared" ref="BS28:BS36" si="66">SUM(N28,S28,X28,AC28,AH28,AM28,AR28,AW28,BB28,BG28)</f>
        <v>86205672.239999995</v>
      </c>
      <c r="BT28" s="587">
        <f t="shared" ref="BT28:BT36" si="67">SUM(O28,T28,Y28,AD28,AI28,AN28,AS28,AX28,BC28,BH28)</f>
        <v>80293646.079999998</v>
      </c>
      <c r="BU28" s="588">
        <f t="shared" ref="BU28:BU36" si="68">BS28/BR28</f>
        <v>98.658890721295521</v>
      </c>
      <c r="BV28" s="588"/>
      <c r="BW28" s="588"/>
    </row>
    <row r="29" spans="1:75" outlineLevel="1">
      <c r="A29" s="576" t="s">
        <v>366</v>
      </c>
      <c r="B29" s="577"/>
      <c r="C29" s="578"/>
      <c r="D29" s="579"/>
      <c r="E29" s="583"/>
      <c r="F29" s="581">
        <f t="shared" si="49"/>
        <v>0</v>
      </c>
      <c r="G29" s="582"/>
      <c r="H29" s="578"/>
      <c r="I29" s="579"/>
      <c r="J29" s="583"/>
      <c r="K29" s="584">
        <f t="shared" si="50"/>
        <v>0</v>
      </c>
      <c r="L29" s="577"/>
      <c r="M29" s="585"/>
      <c r="N29" s="579"/>
      <c r="O29" s="583"/>
      <c r="P29" s="584">
        <f t="shared" si="51"/>
        <v>0</v>
      </c>
      <c r="Q29" s="582"/>
      <c r="R29" s="585"/>
      <c r="S29" s="579"/>
      <c r="T29" s="583"/>
      <c r="U29" s="584">
        <f t="shared" si="52"/>
        <v>0</v>
      </c>
      <c r="V29" s="577"/>
      <c r="W29" s="585"/>
      <c r="X29" s="579"/>
      <c r="Y29" s="583"/>
      <c r="Z29" s="584">
        <f t="shared" si="53"/>
        <v>0</v>
      </c>
      <c r="AA29" s="582"/>
      <c r="AB29" s="585"/>
      <c r="AC29" s="579"/>
      <c r="AD29" s="583"/>
      <c r="AE29" s="584">
        <f t="shared" si="54"/>
        <v>0</v>
      </c>
      <c r="AF29" s="577"/>
      <c r="AG29" s="585"/>
      <c r="AH29" s="579"/>
      <c r="AI29" s="583"/>
      <c r="AJ29" s="584">
        <f t="shared" si="55"/>
        <v>0</v>
      </c>
      <c r="AK29" s="582"/>
      <c r="AL29" s="585"/>
      <c r="AM29" s="579"/>
      <c r="AN29" s="583"/>
      <c r="AO29" s="584">
        <f t="shared" si="56"/>
        <v>0</v>
      </c>
      <c r="AP29" s="577"/>
      <c r="AQ29" s="585"/>
      <c r="AR29" s="579"/>
      <c r="AS29" s="583"/>
      <c r="AT29" s="584">
        <f t="shared" si="57"/>
        <v>0</v>
      </c>
      <c r="AU29" s="582"/>
      <c r="AV29" s="585"/>
      <c r="AW29" s="579"/>
      <c r="AX29" s="583"/>
      <c r="AY29" s="584">
        <f t="shared" si="58"/>
        <v>0</v>
      </c>
      <c r="AZ29" s="577"/>
      <c r="BA29" s="585"/>
      <c r="BB29" s="579"/>
      <c r="BC29" s="583"/>
      <c r="BD29" s="584">
        <f t="shared" si="59"/>
        <v>0</v>
      </c>
      <c r="BE29" s="582"/>
      <c r="BF29" s="585"/>
      <c r="BG29" s="579"/>
      <c r="BH29" s="583"/>
      <c r="BI29" s="584">
        <f t="shared" si="60"/>
        <v>0</v>
      </c>
      <c r="BJ29" s="586"/>
      <c r="BK29" s="590">
        <f t="shared" si="61"/>
        <v>0</v>
      </c>
      <c r="BL29" s="591">
        <f t="shared" si="62"/>
        <v>0</v>
      </c>
      <c r="BM29" s="591">
        <f t="shared" si="63"/>
        <v>0</v>
      </c>
      <c r="BN29" s="588" t="e">
        <f t="shared" si="64"/>
        <v>#DIV/0!</v>
      </c>
      <c r="BO29" s="588"/>
      <c r="BP29" s="588"/>
      <c r="BQ29" s="589"/>
      <c r="BR29" s="509">
        <f t="shared" si="65"/>
        <v>0</v>
      </c>
      <c r="BS29" s="591">
        <f t="shared" si="66"/>
        <v>0</v>
      </c>
      <c r="BT29" s="591">
        <f t="shared" si="67"/>
        <v>0</v>
      </c>
      <c r="BU29" s="588" t="e">
        <f t="shared" si="68"/>
        <v>#DIV/0!</v>
      </c>
      <c r="BV29" s="588"/>
      <c r="BW29" s="588"/>
    </row>
    <row r="30" spans="1:75" outlineLevel="1">
      <c r="A30" s="576" t="s">
        <v>367</v>
      </c>
      <c r="B30" s="577"/>
      <c r="C30" s="578"/>
      <c r="D30" s="579"/>
      <c r="E30" s="583"/>
      <c r="F30" s="581">
        <f t="shared" si="49"/>
        <v>0</v>
      </c>
      <c r="G30" s="582"/>
      <c r="H30" s="578"/>
      <c r="I30" s="579"/>
      <c r="J30" s="583"/>
      <c r="K30" s="584">
        <f t="shared" si="50"/>
        <v>0</v>
      </c>
      <c r="L30" s="577"/>
      <c r="M30" s="585"/>
      <c r="N30" s="579"/>
      <c r="O30" s="583"/>
      <c r="P30" s="584">
        <f t="shared" si="51"/>
        <v>0</v>
      </c>
      <c r="Q30" s="582"/>
      <c r="R30" s="585"/>
      <c r="S30" s="579"/>
      <c r="T30" s="583"/>
      <c r="U30" s="584">
        <f t="shared" si="52"/>
        <v>0</v>
      </c>
      <c r="V30" s="577"/>
      <c r="W30" s="585"/>
      <c r="X30" s="579"/>
      <c r="Y30" s="583"/>
      <c r="Z30" s="584">
        <f t="shared" si="53"/>
        <v>0</v>
      </c>
      <c r="AA30" s="582"/>
      <c r="AB30" s="585"/>
      <c r="AC30" s="579"/>
      <c r="AD30" s="583"/>
      <c r="AE30" s="584">
        <f t="shared" si="54"/>
        <v>0</v>
      </c>
      <c r="AF30" s="577"/>
      <c r="AG30" s="585"/>
      <c r="AH30" s="579"/>
      <c r="AI30" s="583"/>
      <c r="AJ30" s="584">
        <f t="shared" si="55"/>
        <v>0</v>
      </c>
      <c r="AK30" s="582"/>
      <c r="AL30" s="585"/>
      <c r="AM30" s="579"/>
      <c r="AN30" s="583"/>
      <c r="AO30" s="584">
        <f t="shared" si="56"/>
        <v>0</v>
      </c>
      <c r="AP30" s="577"/>
      <c r="AQ30" s="585"/>
      <c r="AR30" s="579"/>
      <c r="AS30" s="583"/>
      <c r="AT30" s="584">
        <f t="shared" si="57"/>
        <v>0</v>
      </c>
      <c r="AU30" s="582"/>
      <c r="AV30" s="585"/>
      <c r="AW30" s="579"/>
      <c r="AX30" s="583"/>
      <c r="AY30" s="584">
        <f t="shared" si="58"/>
        <v>0</v>
      </c>
      <c r="AZ30" s="577"/>
      <c r="BA30" s="585"/>
      <c r="BB30" s="579"/>
      <c r="BC30" s="583"/>
      <c r="BD30" s="584">
        <f t="shared" si="59"/>
        <v>0</v>
      </c>
      <c r="BE30" s="582"/>
      <c r="BF30" s="585"/>
      <c r="BG30" s="579"/>
      <c r="BH30" s="583"/>
      <c r="BI30" s="584">
        <f t="shared" si="60"/>
        <v>0</v>
      </c>
      <c r="BJ30" s="586"/>
      <c r="BK30" s="590">
        <f t="shared" si="61"/>
        <v>0</v>
      </c>
      <c r="BL30" s="591">
        <f t="shared" si="62"/>
        <v>0</v>
      </c>
      <c r="BM30" s="591">
        <f t="shared" si="63"/>
        <v>0</v>
      </c>
      <c r="BN30" s="588" t="e">
        <f t="shared" si="64"/>
        <v>#DIV/0!</v>
      </c>
      <c r="BO30" s="588"/>
      <c r="BP30" s="588"/>
      <c r="BQ30" s="589"/>
      <c r="BR30" s="509">
        <f t="shared" si="65"/>
        <v>0</v>
      </c>
      <c r="BS30" s="591">
        <f t="shared" si="66"/>
        <v>0</v>
      </c>
      <c r="BT30" s="591">
        <f t="shared" si="67"/>
        <v>0</v>
      </c>
      <c r="BU30" s="588" t="e">
        <f t="shared" si="68"/>
        <v>#DIV/0!</v>
      </c>
      <c r="BV30" s="588"/>
      <c r="BW30" s="588"/>
    </row>
    <row r="31" spans="1:75" outlineLevel="1">
      <c r="A31" s="576" t="s">
        <v>368</v>
      </c>
      <c r="B31" s="577"/>
      <c r="C31" s="578"/>
      <c r="D31" s="579"/>
      <c r="E31" s="583"/>
      <c r="F31" s="581">
        <f t="shared" si="49"/>
        <v>0</v>
      </c>
      <c r="G31" s="582"/>
      <c r="H31" s="578"/>
      <c r="I31" s="579"/>
      <c r="J31" s="583"/>
      <c r="K31" s="584">
        <f t="shared" si="50"/>
        <v>0</v>
      </c>
      <c r="L31" s="577"/>
      <c r="M31" s="585"/>
      <c r="N31" s="579"/>
      <c r="O31" s="583"/>
      <c r="P31" s="584">
        <f t="shared" si="51"/>
        <v>0</v>
      </c>
      <c r="Q31" s="582"/>
      <c r="R31" s="585"/>
      <c r="S31" s="579"/>
      <c r="T31" s="583"/>
      <c r="U31" s="584">
        <f t="shared" si="52"/>
        <v>0</v>
      </c>
      <c r="V31" s="577"/>
      <c r="W31" s="585"/>
      <c r="X31" s="579"/>
      <c r="Y31" s="583"/>
      <c r="Z31" s="584">
        <f t="shared" si="53"/>
        <v>0</v>
      </c>
      <c r="AA31" s="582"/>
      <c r="AB31" s="585"/>
      <c r="AC31" s="579"/>
      <c r="AD31" s="583"/>
      <c r="AE31" s="584">
        <f t="shared" si="54"/>
        <v>0</v>
      </c>
      <c r="AF31" s="577"/>
      <c r="AG31" s="585"/>
      <c r="AH31" s="579"/>
      <c r="AI31" s="583"/>
      <c r="AJ31" s="584">
        <f t="shared" si="55"/>
        <v>0</v>
      </c>
      <c r="AK31" s="582"/>
      <c r="AL31" s="585"/>
      <c r="AM31" s="579"/>
      <c r="AN31" s="583"/>
      <c r="AO31" s="584">
        <f t="shared" si="56"/>
        <v>0</v>
      </c>
      <c r="AP31" s="577"/>
      <c r="AQ31" s="585"/>
      <c r="AR31" s="579"/>
      <c r="AS31" s="583"/>
      <c r="AT31" s="584">
        <f t="shared" si="57"/>
        <v>0</v>
      </c>
      <c r="AU31" s="582"/>
      <c r="AV31" s="585"/>
      <c r="AW31" s="579"/>
      <c r="AX31" s="583"/>
      <c r="AY31" s="584">
        <f t="shared" si="58"/>
        <v>0</v>
      </c>
      <c r="AZ31" s="577"/>
      <c r="BA31" s="585"/>
      <c r="BB31" s="579"/>
      <c r="BC31" s="583"/>
      <c r="BD31" s="584">
        <f t="shared" si="59"/>
        <v>0</v>
      </c>
      <c r="BE31" s="582"/>
      <c r="BF31" s="585"/>
      <c r="BG31" s="579"/>
      <c r="BH31" s="583"/>
      <c r="BI31" s="584">
        <f t="shared" si="60"/>
        <v>0</v>
      </c>
      <c r="BJ31" s="586"/>
      <c r="BK31" s="590">
        <f t="shared" si="61"/>
        <v>0</v>
      </c>
      <c r="BL31" s="591">
        <f t="shared" si="62"/>
        <v>0</v>
      </c>
      <c r="BM31" s="591">
        <f t="shared" si="63"/>
        <v>0</v>
      </c>
      <c r="BN31" s="588" t="e">
        <f t="shared" si="64"/>
        <v>#DIV/0!</v>
      </c>
      <c r="BO31" s="588"/>
      <c r="BP31" s="588"/>
      <c r="BQ31" s="589"/>
      <c r="BR31" s="509">
        <f t="shared" si="65"/>
        <v>0</v>
      </c>
      <c r="BS31" s="591">
        <f t="shared" si="66"/>
        <v>0</v>
      </c>
      <c r="BT31" s="591">
        <f t="shared" si="67"/>
        <v>0</v>
      </c>
      <c r="BU31" s="588" t="e">
        <f t="shared" si="68"/>
        <v>#DIV/0!</v>
      </c>
      <c r="BV31" s="588"/>
      <c r="BW31" s="588"/>
    </row>
    <row r="32" spans="1:75" outlineLevel="1">
      <c r="A32" s="576" t="s">
        <v>369</v>
      </c>
      <c r="B32" s="577"/>
      <c r="C32" s="578"/>
      <c r="D32" s="579"/>
      <c r="E32" s="583"/>
      <c r="F32" s="581">
        <f t="shared" si="49"/>
        <v>0</v>
      </c>
      <c r="G32" s="582"/>
      <c r="H32" s="578"/>
      <c r="I32" s="579"/>
      <c r="J32" s="583"/>
      <c r="K32" s="584">
        <f t="shared" si="50"/>
        <v>0</v>
      </c>
      <c r="L32" s="577"/>
      <c r="M32" s="585">
        <v>164537</v>
      </c>
      <c r="N32" s="579">
        <v>16491461.08</v>
      </c>
      <c r="O32" s="583">
        <v>16003587.949999999</v>
      </c>
      <c r="P32" s="584">
        <f t="shared" si="51"/>
        <v>100229.49901845786</v>
      </c>
      <c r="Q32" s="582"/>
      <c r="R32" s="585">
        <v>436346</v>
      </c>
      <c r="S32" s="579">
        <v>43456504.969999999</v>
      </c>
      <c r="T32" s="583">
        <v>40640017.409999996</v>
      </c>
      <c r="U32" s="584">
        <f t="shared" si="52"/>
        <v>99591.849060149514</v>
      </c>
      <c r="V32" s="577"/>
      <c r="W32" s="585">
        <v>436247</v>
      </c>
      <c r="X32" s="579">
        <v>43729283.460000001</v>
      </c>
      <c r="Y32" s="583">
        <v>39945342.840000004</v>
      </c>
      <c r="Z32" s="584">
        <f t="shared" si="53"/>
        <v>100239.73450820294</v>
      </c>
      <c r="AA32" s="582"/>
      <c r="AB32" s="585">
        <v>436649</v>
      </c>
      <c r="AC32" s="579">
        <v>43008389.409999996</v>
      </c>
      <c r="AD32" s="583">
        <v>39325125.710000001</v>
      </c>
      <c r="AE32" s="584">
        <f t="shared" si="54"/>
        <v>98496.479804144736</v>
      </c>
      <c r="AF32" s="577"/>
      <c r="AG32" s="585">
        <v>382791</v>
      </c>
      <c r="AH32" s="579">
        <v>37130701.560000002</v>
      </c>
      <c r="AI32" s="583">
        <v>33542386.309999999</v>
      </c>
      <c r="AJ32" s="584">
        <f t="shared" si="55"/>
        <v>96999.933540757236</v>
      </c>
      <c r="AK32" s="582"/>
      <c r="AL32" s="585">
        <v>327669</v>
      </c>
      <c r="AM32" s="579">
        <v>32340903.350000001</v>
      </c>
      <c r="AN32" s="583">
        <v>28956217.48</v>
      </c>
      <c r="AO32" s="584">
        <f t="shared" si="56"/>
        <v>98699.91775236596</v>
      </c>
      <c r="AP32" s="577"/>
      <c r="AQ32" s="585">
        <v>109651</v>
      </c>
      <c r="AR32" s="579">
        <v>10527622.710000001</v>
      </c>
      <c r="AS32" s="583">
        <v>9862276.6999999993</v>
      </c>
      <c r="AT32" s="584">
        <f t="shared" si="57"/>
        <v>96010.275419284822</v>
      </c>
      <c r="AU32" s="582"/>
      <c r="AV32" s="585"/>
      <c r="AW32" s="579"/>
      <c r="AX32" s="583"/>
      <c r="AY32" s="584">
        <f t="shared" si="58"/>
        <v>0</v>
      </c>
      <c r="AZ32" s="577"/>
      <c r="BA32" s="585"/>
      <c r="BB32" s="579"/>
      <c r="BC32" s="583"/>
      <c r="BD32" s="584">
        <f t="shared" si="59"/>
        <v>0</v>
      </c>
      <c r="BE32" s="582"/>
      <c r="BF32" s="585"/>
      <c r="BG32" s="579"/>
      <c r="BH32" s="583"/>
      <c r="BI32" s="584">
        <f t="shared" si="60"/>
        <v>0</v>
      </c>
      <c r="BJ32" s="586"/>
      <c r="BK32" s="590">
        <f t="shared" si="61"/>
        <v>2293890</v>
      </c>
      <c r="BL32" s="591">
        <f t="shared" si="62"/>
        <v>226684866.53999999</v>
      </c>
      <c r="BM32" s="591">
        <f t="shared" si="63"/>
        <v>208274954.39999998</v>
      </c>
      <c r="BN32" s="588">
        <f t="shared" si="64"/>
        <v>98.821158181081046</v>
      </c>
      <c r="BO32" s="588"/>
      <c r="BP32" s="588"/>
      <c r="BQ32" s="589"/>
      <c r="BR32" s="509">
        <f t="shared" si="65"/>
        <v>2293890</v>
      </c>
      <c r="BS32" s="591">
        <f t="shared" si="66"/>
        <v>226684866.53999999</v>
      </c>
      <c r="BT32" s="591">
        <f t="shared" si="67"/>
        <v>208274954.39999998</v>
      </c>
      <c r="BU32" s="588">
        <f t="shared" si="68"/>
        <v>98.821158181081046</v>
      </c>
      <c r="BV32" s="588"/>
      <c r="BW32" s="588"/>
    </row>
    <row r="33" spans="1:75" outlineLevel="1">
      <c r="A33" s="576" t="s">
        <v>370</v>
      </c>
      <c r="B33" s="577"/>
      <c r="C33" s="578"/>
      <c r="D33" s="579"/>
      <c r="E33" s="583"/>
      <c r="F33" s="581">
        <f t="shared" si="49"/>
        <v>0</v>
      </c>
      <c r="G33" s="582"/>
      <c r="H33" s="578"/>
      <c r="I33" s="579"/>
      <c r="J33" s="583"/>
      <c r="K33" s="584">
        <f t="shared" si="50"/>
        <v>0</v>
      </c>
      <c r="L33" s="577"/>
      <c r="M33" s="585"/>
      <c r="N33" s="579"/>
      <c r="O33" s="583"/>
      <c r="P33" s="584">
        <f t="shared" si="51"/>
        <v>0</v>
      </c>
      <c r="Q33" s="582"/>
      <c r="R33" s="585"/>
      <c r="S33" s="579"/>
      <c r="T33" s="583"/>
      <c r="U33" s="584">
        <f t="shared" si="52"/>
        <v>0</v>
      </c>
      <c r="V33" s="577"/>
      <c r="W33" s="585"/>
      <c r="X33" s="579"/>
      <c r="Y33" s="583"/>
      <c r="Z33" s="584">
        <f t="shared" si="53"/>
        <v>0</v>
      </c>
      <c r="AA33" s="582"/>
      <c r="AB33" s="585"/>
      <c r="AC33" s="579"/>
      <c r="AD33" s="583"/>
      <c r="AE33" s="584">
        <f t="shared" si="54"/>
        <v>0</v>
      </c>
      <c r="AF33" s="577"/>
      <c r="AG33" s="585"/>
      <c r="AH33" s="579"/>
      <c r="AI33" s="583"/>
      <c r="AJ33" s="584">
        <f t="shared" si="55"/>
        <v>0</v>
      </c>
      <c r="AK33" s="582"/>
      <c r="AL33" s="585"/>
      <c r="AM33" s="579"/>
      <c r="AN33" s="583"/>
      <c r="AO33" s="584">
        <f t="shared" si="56"/>
        <v>0</v>
      </c>
      <c r="AP33" s="577"/>
      <c r="AQ33" s="585"/>
      <c r="AR33" s="579"/>
      <c r="AS33" s="583"/>
      <c r="AT33" s="584">
        <f t="shared" si="57"/>
        <v>0</v>
      </c>
      <c r="AU33" s="582"/>
      <c r="AV33" s="585"/>
      <c r="AW33" s="579"/>
      <c r="AX33" s="583"/>
      <c r="AY33" s="584">
        <f t="shared" si="58"/>
        <v>0</v>
      </c>
      <c r="AZ33" s="577"/>
      <c r="BA33" s="585"/>
      <c r="BB33" s="579"/>
      <c r="BC33" s="583"/>
      <c r="BD33" s="584">
        <f t="shared" si="59"/>
        <v>0</v>
      </c>
      <c r="BE33" s="582"/>
      <c r="BF33" s="585"/>
      <c r="BG33" s="579"/>
      <c r="BH33" s="583"/>
      <c r="BI33" s="584">
        <f t="shared" si="60"/>
        <v>0</v>
      </c>
      <c r="BJ33" s="586"/>
      <c r="BK33" s="590">
        <f t="shared" si="61"/>
        <v>0</v>
      </c>
      <c r="BL33" s="591">
        <f t="shared" si="62"/>
        <v>0</v>
      </c>
      <c r="BM33" s="591">
        <f t="shared" si="63"/>
        <v>0</v>
      </c>
      <c r="BN33" s="588" t="e">
        <f t="shared" si="64"/>
        <v>#DIV/0!</v>
      </c>
      <c r="BO33" s="588"/>
      <c r="BP33" s="588"/>
      <c r="BQ33" s="589"/>
      <c r="BR33" s="509">
        <f t="shared" si="65"/>
        <v>0</v>
      </c>
      <c r="BS33" s="591">
        <f t="shared" si="66"/>
        <v>0</v>
      </c>
      <c r="BT33" s="591">
        <f t="shared" si="67"/>
        <v>0</v>
      </c>
      <c r="BU33" s="588" t="e">
        <f t="shared" si="68"/>
        <v>#DIV/0!</v>
      </c>
      <c r="BV33" s="588"/>
      <c r="BW33" s="588"/>
    </row>
    <row r="34" spans="1:75" outlineLevel="1">
      <c r="A34" s="576" t="s">
        <v>371</v>
      </c>
      <c r="B34" s="577"/>
      <c r="C34" s="592"/>
      <c r="D34" s="579"/>
      <c r="E34" s="583"/>
      <c r="F34" s="581">
        <f t="shared" si="49"/>
        <v>0</v>
      </c>
      <c r="G34" s="582"/>
      <c r="H34" s="592">
        <v>22480</v>
      </c>
      <c r="I34" s="579">
        <v>976991.45</v>
      </c>
      <c r="J34" s="583">
        <v>1154.21</v>
      </c>
      <c r="K34" s="584">
        <f t="shared" si="50"/>
        <v>43460.473754448394</v>
      </c>
      <c r="L34" s="577"/>
      <c r="M34" s="593"/>
      <c r="N34" s="579"/>
      <c r="O34" s="583"/>
      <c r="P34" s="584">
        <f t="shared" si="51"/>
        <v>0</v>
      </c>
      <c r="Q34" s="582"/>
      <c r="R34" s="593">
        <v>63250</v>
      </c>
      <c r="S34" s="579">
        <v>2570130.6800000002</v>
      </c>
      <c r="T34" s="583">
        <v>3688.01</v>
      </c>
      <c r="U34" s="584">
        <f t="shared" si="52"/>
        <v>40634.477154150198</v>
      </c>
      <c r="V34" s="577"/>
      <c r="W34" s="593">
        <v>42248</v>
      </c>
      <c r="X34" s="579">
        <v>1708167.34</v>
      </c>
      <c r="Y34" s="583">
        <v>928.16</v>
      </c>
      <c r="Z34" s="584">
        <f t="shared" si="53"/>
        <v>40431.910149592877</v>
      </c>
      <c r="AA34" s="582"/>
      <c r="AB34" s="593">
        <v>21237</v>
      </c>
      <c r="AC34" s="579">
        <v>824021.8</v>
      </c>
      <c r="AD34" s="583">
        <v>16641.05</v>
      </c>
      <c r="AE34" s="584">
        <f t="shared" si="54"/>
        <v>38801.233695908086</v>
      </c>
      <c r="AF34" s="577"/>
      <c r="AG34" s="593">
        <v>41763</v>
      </c>
      <c r="AH34" s="579">
        <v>1638240.27</v>
      </c>
      <c r="AI34" s="583">
        <v>13157.92</v>
      </c>
      <c r="AJ34" s="584">
        <f t="shared" si="55"/>
        <v>39227.07348610014</v>
      </c>
      <c r="AK34" s="582"/>
      <c r="AL34" s="593">
        <v>40680</v>
      </c>
      <c r="AM34" s="579">
        <v>1608098.5</v>
      </c>
      <c r="AN34" s="583">
        <v>13703.26</v>
      </c>
      <c r="AO34" s="584">
        <f t="shared" si="56"/>
        <v>39530.444936086533</v>
      </c>
      <c r="AP34" s="577"/>
      <c r="AQ34" s="593">
        <v>20227</v>
      </c>
      <c r="AR34" s="579">
        <v>775098.64</v>
      </c>
      <c r="AS34" s="583">
        <v>903.92</v>
      </c>
      <c r="AT34" s="584">
        <f t="shared" si="57"/>
        <v>38320</v>
      </c>
      <c r="AU34" s="582"/>
      <c r="AV34" s="593"/>
      <c r="AW34" s="579"/>
      <c r="AX34" s="583"/>
      <c r="AY34" s="584">
        <f t="shared" si="58"/>
        <v>0</v>
      </c>
      <c r="AZ34" s="577"/>
      <c r="BA34" s="593"/>
      <c r="BB34" s="579"/>
      <c r="BC34" s="583"/>
      <c r="BD34" s="584">
        <f t="shared" si="59"/>
        <v>0</v>
      </c>
      <c r="BE34" s="582"/>
      <c r="BF34" s="593"/>
      <c r="BG34" s="579"/>
      <c r="BH34" s="583"/>
      <c r="BI34" s="584">
        <f t="shared" si="60"/>
        <v>0</v>
      </c>
      <c r="BJ34" s="586"/>
      <c r="BK34" s="594">
        <f t="shared" si="61"/>
        <v>251885</v>
      </c>
      <c r="BL34" s="591">
        <f t="shared" si="62"/>
        <v>10100748.68</v>
      </c>
      <c r="BM34" s="591">
        <f t="shared" si="63"/>
        <v>50176.53</v>
      </c>
      <c r="BN34" s="588">
        <f t="shared" si="64"/>
        <v>40.100635925124557</v>
      </c>
      <c r="BO34" s="588"/>
      <c r="BP34" s="588"/>
      <c r="BQ34" s="589"/>
      <c r="BR34" s="509">
        <f t="shared" si="65"/>
        <v>229405</v>
      </c>
      <c r="BS34" s="591">
        <f t="shared" si="66"/>
        <v>9123757.2300000004</v>
      </c>
      <c r="BT34" s="591">
        <f t="shared" si="67"/>
        <v>49022.32</v>
      </c>
      <c r="BU34" s="588">
        <f t="shared" si="68"/>
        <v>39.77139656938602</v>
      </c>
      <c r="BV34" s="588"/>
      <c r="BW34" s="588"/>
    </row>
    <row r="35" spans="1:75" outlineLevel="1">
      <c r="A35" s="576" t="s">
        <v>372</v>
      </c>
      <c r="B35" s="577"/>
      <c r="C35" s="592"/>
      <c r="D35" s="579"/>
      <c r="E35" s="583"/>
      <c r="F35" s="581">
        <f t="shared" si="49"/>
        <v>0</v>
      </c>
      <c r="G35" s="582"/>
      <c r="H35" s="592"/>
      <c r="I35" s="579"/>
      <c r="J35" s="583"/>
      <c r="K35" s="584">
        <f t="shared" si="50"/>
        <v>0</v>
      </c>
      <c r="L35" s="577"/>
      <c r="M35" s="593"/>
      <c r="N35" s="579"/>
      <c r="O35" s="583"/>
      <c r="P35" s="584">
        <f t="shared" si="51"/>
        <v>0</v>
      </c>
      <c r="Q35" s="582"/>
      <c r="R35" s="593">
        <v>65600</v>
      </c>
      <c r="S35" s="579">
        <v>522060</v>
      </c>
      <c r="T35" s="583">
        <v>79285.119999999995</v>
      </c>
      <c r="U35" s="584">
        <f t="shared" si="52"/>
        <v>7958.2317073170734</v>
      </c>
      <c r="V35" s="577"/>
      <c r="W35" s="593">
        <v>11</v>
      </c>
      <c r="X35" s="579">
        <v>110</v>
      </c>
      <c r="Y35" s="583">
        <v>8.5500000000000007</v>
      </c>
      <c r="Z35" s="584">
        <f t="shared" si="53"/>
        <v>10000</v>
      </c>
      <c r="AA35" s="582"/>
      <c r="AB35" s="593">
        <v>42951</v>
      </c>
      <c r="AC35" s="579">
        <v>364001.1</v>
      </c>
      <c r="AD35" s="583">
        <v>41829.769999999997</v>
      </c>
      <c r="AE35" s="584">
        <f t="shared" si="54"/>
        <v>8474.7991897743941</v>
      </c>
      <c r="AF35" s="577"/>
      <c r="AG35" s="593"/>
      <c r="AH35" s="579"/>
      <c r="AI35" s="583"/>
      <c r="AJ35" s="584">
        <f t="shared" si="55"/>
        <v>0</v>
      </c>
      <c r="AK35" s="582"/>
      <c r="AL35" s="593">
        <v>5298</v>
      </c>
      <c r="AM35" s="579">
        <v>41400</v>
      </c>
      <c r="AN35" s="583">
        <v>8751.91</v>
      </c>
      <c r="AO35" s="584">
        <f t="shared" si="56"/>
        <v>7814.2695356738386</v>
      </c>
      <c r="AP35" s="577"/>
      <c r="AQ35" s="593">
        <v>29755</v>
      </c>
      <c r="AR35" s="579">
        <v>252153</v>
      </c>
      <c r="AS35" s="583">
        <v>40245.65</v>
      </c>
      <c r="AT35" s="584">
        <f t="shared" si="57"/>
        <v>8474.3068391866927</v>
      </c>
      <c r="AU35" s="582"/>
      <c r="AV35" s="593"/>
      <c r="AW35" s="579"/>
      <c r="AX35" s="583"/>
      <c r="AY35" s="584">
        <f t="shared" si="58"/>
        <v>0</v>
      </c>
      <c r="AZ35" s="577"/>
      <c r="BA35" s="593"/>
      <c r="BB35" s="579"/>
      <c r="BC35" s="583"/>
      <c r="BD35" s="584">
        <f t="shared" si="59"/>
        <v>0</v>
      </c>
      <c r="BE35" s="582"/>
      <c r="BF35" s="593"/>
      <c r="BG35" s="579"/>
      <c r="BH35" s="583"/>
      <c r="BI35" s="584">
        <f t="shared" si="60"/>
        <v>0</v>
      </c>
      <c r="BJ35" s="586"/>
      <c r="BK35" s="594">
        <f t="shared" si="61"/>
        <v>143615</v>
      </c>
      <c r="BL35" s="591">
        <f t="shared" si="62"/>
        <v>1179724.1000000001</v>
      </c>
      <c r="BM35" s="591">
        <f t="shared" si="63"/>
        <v>170121</v>
      </c>
      <c r="BN35" s="588">
        <f t="shared" si="64"/>
        <v>8.2144908261671841</v>
      </c>
      <c r="BO35" s="588"/>
      <c r="BP35" s="588"/>
      <c r="BQ35" s="589"/>
      <c r="BR35" s="509">
        <f t="shared" si="65"/>
        <v>143615</v>
      </c>
      <c r="BS35" s="591">
        <f t="shared" si="66"/>
        <v>1179724.1000000001</v>
      </c>
      <c r="BT35" s="591">
        <f t="shared" si="67"/>
        <v>170121</v>
      </c>
      <c r="BU35" s="588">
        <f t="shared" si="68"/>
        <v>8.2144908261671841</v>
      </c>
      <c r="BV35" s="588"/>
      <c r="BW35" s="588"/>
    </row>
    <row r="36" spans="1:75" outlineLevel="1">
      <c r="A36" s="595" t="s">
        <v>373</v>
      </c>
      <c r="B36" s="577"/>
      <c r="C36" s="596">
        <v>8.5549999999999997</v>
      </c>
      <c r="D36" s="597">
        <v>1043.75</v>
      </c>
      <c r="E36" s="598">
        <v>744.93</v>
      </c>
      <c r="F36" s="599">
        <f t="shared" si="49"/>
        <v>122004.67562828756</v>
      </c>
      <c r="G36" s="582"/>
      <c r="H36" s="596">
        <v>9.9</v>
      </c>
      <c r="I36" s="597">
        <v>1237.5</v>
      </c>
      <c r="J36" s="598">
        <v>894.27</v>
      </c>
      <c r="K36" s="600">
        <f t="shared" si="50"/>
        <v>125000</v>
      </c>
      <c r="L36" s="577"/>
      <c r="M36" s="601">
        <f>40.3+2831</f>
        <v>2871.3</v>
      </c>
      <c r="N36" s="597">
        <f>5037.5+257348</f>
        <v>262385.5</v>
      </c>
      <c r="O36" s="598">
        <f>3429.33+254406.46</f>
        <v>257835.78999999998</v>
      </c>
      <c r="P36" s="600">
        <f t="shared" si="51"/>
        <v>91382.12656288092</v>
      </c>
      <c r="Q36" s="582"/>
      <c r="R36" s="601">
        <f>806+450+55.9+837+1458</f>
        <v>3606.9</v>
      </c>
      <c r="S36" s="597">
        <f>124264+34804+5486.5+58590+132182</f>
        <v>355326.5</v>
      </c>
      <c r="T36" s="598">
        <v>253510.47</v>
      </c>
      <c r="U36" s="600">
        <f t="shared" si="52"/>
        <v>98512.988993318359</v>
      </c>
      <c r="V36" s="577"/>
      <c r="W36" s="601">
        <f>11+598+33.8+1396</f>
        <v>2038.8</v>
      </c>
      <c r="X36" s="597">
        <v>281646</v>
      </c>
      <c r="Y36" s="598">
        <v>164015.16</v>
      </c>
      <c r="Z36" s="600">
        <f t="shared" si="53"/>
        <v>138143.02530900532</v>
      </c>
      <c r="AA36" s="582"/>
      <c r="AB36" s="601">
        <f>16+49+76.2+975</f>
        <v>1116.2</v>
      </c>
      <c r="AC36" s="597">
        <f>2376.06+12584.94+9505+86670</f>
        <v>111136</v>
      </c>
      <c r="AD36" s="598">
        <v>92480.960000000006</v>
      </c>
      <c r="AE36" s="600">
        <f t="shared" si="54"/>
        <v>99566.385952338285</v>
      </c>
      <c r="AF36" s="577"/>
      <c r="AG36" s="601">
        <v>987.75</v>
      </c>
      <c r="AH36" s="597">
        <v>84671.75</v>
      </c>
      <c r="AI36" s="598">
        <v>66048.44</v>
      </c>
      <c r="AJ36" s="600">
        <f t="shared" si="55"/>
        <v>85721.842571500893</v>
      </c>
      <c r="AK36" s="582"/>
      <c r="AL36" s="601">
        <f>1103+352+24.4+3022</f>
        <v>4501.3999999999996</v>
      </c>
      <c r="AM36" s="597">
        <f>177498+99128+3050+280875</f>
        <v>560551</v>
      </c>
      <c r="AN36" s="598">
        <v>372633.38</v>
      </c>
      <c r="AO36" s="600">
        <f t="shared" si="56"/>
        <v>124528.14679877371</v>
      </c>
      <c r="AP36" s="577"/>
      <c r="AQ36" s="601">
        <v>2812</v>
      </c>
      <c r="AR36" s="597">
        <v>260062</v>
      </c>
      <c r="AS36" s="598">
        <v>237383.44</v>
      </c>
      <c r="AT36" s="600">
        <f t="shared" si="57"/>
        <v>92482.930298719773</v>
      </c>
      <c r="AU36" s="582"/>
      <c r="AV36" s="601"/>
      <c r="AW36" s="597"/>
      <c r="AX36" s="598"/>
      <c r="AY36" s="600">
        <f t="shared" si="58"/>
        <v>0</v>
      </c>
      <c r="AZ36" s="577"/>
      <c r="BA36" s="601"/>
      <c r="BB36" s="597"/>
      <c r="BC36" s="598"/>
      <c r="BD36" s="600">
        <f t="shared" si="59"/>
        <v>0</v>
      </c>
      <c r="BE36" s="582"/>
      <c r="BF36" s="601"/>
      <c r="BG36" s="597"/>
      <c r="BH36" s="598"/>
      <c r="BI36" s="600">
        <f t="shared" si="60"/>
        <v>0</v>
      </c>
      <c r="BJ36" s="586"/>
      <c r="BK36" s="602">
        <f t="shared" si="61"/>
        <v>17952.805</v>
      </c>
      <c r="BL36" s="603">
        <f t="shared" si="62"/>
        <v>1918060</v>
      </c>
      <c r="BM36" s="603">
        <f t="shared" si="63"/>
        <v>1445546.8399999999</v>
      </c>
      <c r="BN36" s="604">
        <f t="shared" si="64"/>
        <v>106.83901485032561</v>
      </c>
      <c r="BO36" s="604"/>
      <c r="BP36" s="604"/>
      <c r="BQ36" s="589"/>
      <c r="BR36" s="509">
        <f t="shared" si="65"/>
        <v>17934.349999999999</v>
      </c>
      <c r="BS36" s="603">
        <f t="shared" si="66"/>
        <v>1915778.75</v>
      </c>
      <c r="BT36" s="603">
        <f t="shared" si="67"/>
        <v>1443907.6400000001</v>
      </c>
      <c r="BU36" s="604">
        <f t="shared" si="68"/>
        <v>106.82175545810136</v>
      </c>
      <c r="BV36" s="604"/>
      <c r="BW36" s="604"/>
    </row>
    <row r="37" spans="1:75">
      <c r="A37" s="605"/>
      <c r="B37" s="606"/>
      <c r="C37" s="607"/>
      <c r="D37" s="608"/>
      <c r="E37" s="609"/>
      <c r="F37" s="609"/>
      <c r="G37" s="610"/>
      <c r="H37" s="607"/>
      <c r="I37" s="608"/>
      <c r="J37" s="609"/>
      <c r="K37" s="609"/>
      <c r="L37" s="606"/>
      <c r="M37" s="607"/>
      <c r="N37" s="608"/>
      <c r="O37" s="609"/>
      <c r="P37" s="609"/>
      <c r="Q37" s="610"/>
      <c r="R37" s="607"/>
      <c r="S37" s="608"/>
      <c r="T37" s="609"/>
      <c r="U37" s="609"/>
      <c r="V37" s="606"/>
      <c r="W37" s="607"/>
      <c r="X37" s="608"/>
      <c r="Y37" s="609"/>
      <c r="Z37" s="609"/>
      <c r="AA37" s="610"/>
      <c r="AB37" s="607"/>
      <c r="AC37" s="608"/>
      <c r="AD37" s="609"/>
      <c r="AE37" s="609"/>
      <c r="AF37" s="606"/>
      <c r="AG37" s="607"/>
      <c r="AH37" s="608"/>
      <c r="AI37" s="609"/>
      <c r="AJ37" s="609"/>
      <c r="AK37" s="610"/>
      <c r="AL37" s="607"/>
      <c r="AM37" s="608"/>
      <c r="AN37" s="609"/>
      <c r="AO37" s="609"/>
      <c r="AP37" s="606"/>
      <c r="AQ37" s="607"/>
      <c r="AR37" s="608"/>
      <c r="AS37" s="609"/>
      <c r="AT37" s="609"/>
      <c r="AU37" s="610"/>
      <c r="AV37" s="607"/>
      <c r="AW37" s="608"/>
      <c r="AX37" s="609"/>
      <c r="AY37" s="609"/>
      <c r="AZ37" s="606"/>
      <c r="BA37" s="607"/>
      <c r="BB37" s="608"/>
      <c r="BC37" s="609"/>
      <c r="BD37" s="609"/>
      <c r="BE37" s="610"/>
      <c r="BF37" s="607"/>
      <c r="BG37" s="608"/>
      <c r="BH37" s="609"/>
      <c r="BI37" s="609"/>
      <c r="BJ37" s="611"/>
      <c r="BK37" s="612"/>
      <c r="BL37" s="613"/>
      <c r="BM37" s="614"/>
      <c r="BN37" s="615"/>
      <c r="BO37" s="615"/>
      <c r="BP37" s="615"/>
      <c r="BQ37" s="616"/>
      <c r="BR37" s="612"/>
      <c r="BS37" s="613"/>
      <c r="BT37" s="614"/>
      <c r="BU37" s="615"/>
      <c r="BV37" s="615"/>
      <c r="BW37" s="615"/>
    </row>
    <row r="38" spans="1:75" ht="15.75" outlineLevel="1">
      <c r="A38" s="617" t="s">
        <v>374</v>
      </c>
      <c r="B38" s="606"/>
      <c r="C38" s="618"/>
      <c r="D38" s="619"/>
      <c r="E38" s="620"/>
      <c r="F38" s="620"/>
      <c r="G38" s="610"/>
      <c r="H38" s="618"/>
      <c r="I38" s="619"/>
      <c r="J38" s="620"/>
      <c r="K38" s="620"/>
      <c r="L38" s="606"/>
      <c r="M38" s="618"/>
      <c r="N38" s="619"/>
      <c r="O38" s="620"/>
      <c r="P38" s="620"/>
      <c r="Q38" s="610"/>
      <c r="R38" s="618"/>
      <c r="S38" s="619"/>
      <c r="T38" s="620"/>
      <c r="U38" s="620"/>
      <c r="V38" s="606"/>
      <c r="W38" s="618"/>
      <c r="X38" s="619"/>
      <c r="Y38" s="620"/>
      <c r="Z38" s="620"/>
      <c r="AA38" s="610"/>
      <c r="AB38" s="618"/>
      <c r="AC38" s="619"/>
      <c r="AD38" s="620"/>
      <c r="AE38" s="620"/>
      <c r="AF38" s="606"/>
      <c r="AG38" s="618"/>
      <c r="AH38" s="619"/>
      <c r="AI38" s="620"/>
      <c r="AJ38" s="620"/>
      <c r="AK38" s="610"/>
      <c r="AL38" s="618"/>
      <c r="AM38" s="619"/>
      <c r="AN38" s="620"/>
      <c r="AO38" s="620"/>
      <c r="AP38" s="606"/>
      <c r="AQ38" s="618"/>
      <c r="AR38" s="619"/>
      <c r="AS38" s="620"/>
      <c r="AT38" s="620"/>
      <c r="AU38" s="610"/>
      <c r="AV38" s="618"/>
      <c r="AW38" s="619"/>
      <c r="AX38" s="620"/>
      <c r="AY38" s="620"/>
      <c r="AZ38" s="606"/>
      <c r="BA38" s="618"/>
      <c r="BB38" s="619"/>
      <c r="BC38" s="620"/>
      <c r="BD38" s="620"/>
      <c r="BE38" s="610"/>
      <c r="BF38" s="618"/>
      <c r="BG38" s="619"/>
      <c r="BH38" s="620"/>
      <c r="BI38" s="620"/>
      <c r="BJ38" s="611"/>
      <c r="BK38" s="621"/>
      <c r="BL38" s="622"/>
      <c r="BM38" s="623"/>
      <c r="BN38" s="624"/>
      <c r="BO38" s="624"/>
      <c r="BP38" s="624"/>
      <c r="BQ38" s="616"/>
      <c r="BR38" s="621"/>
      <c r="BS38" s="622"/>
      <c r="BT38" s="623"/>
      <c r="BU38" s="624"/>
      <c r="BV38" s="624"/>
      <c r="BW38" s="624"/>
    </row>
    <row r="39" spans="1:75" outlineLevel="1">
      <c r="A39" s="625" t="s">
        <v>375</v>
      </c>
      <c r="B39" s="626"/>
      <c r="C39" s="627"/>
      <c r="D39" s="628"/>
      <c r="E39" s="629"/>
      <c r="F39" s="630"/>
      <c r="G39" s="631"/>
      <c r="H39" s="627"/>
      <c r="I39" s="628"/>
      <c r="J39" s="629"/>
      <c r="K39" s="629"/>
      <c r="L39" s="626"/>
      <c r="M39" s="632"/>
      <c r="N39" s="628"/>
      <c r="O39" s="629"/>
      <c r="P39" s="629"/>
      <c r="Q39" s="631"/>
      <c r="R39" s="632"/>
      <c r="S39" s="628"/>
      <c r="T39" s="629"/>
      <c r="U39" s="629"/>
      <c r="V39" s="626"/>
      <c r="W39" s="632"/>
      <c r="X39" s="628"/>
      <c r="Y39" s="629"/>
      <c r="Z39" s="629"/>
      <c r="AA39" s="631"/>
      <c r="AB39" s="632"/>
      <c r="AC39" s="628"/>
      <c r="AD39" s="629"/>
      <c r="AE39" s="629"/>
      <c r="AF39" s="626"/>
      <c r="AG39" s="632"/>
      <c r="AH39" s="628"/>
      <c r="AI39" s="629"/>
      <c r="AJ39" s="629"/>
      <c r="AK39" s="631"/>
      <c r="AL39" s="632"/>
      <c r="AM39" s="628"/>
      <c r="AN39" s="629"/>
      <c r="AO39" s="629"/>
      <c r="AP39" s="626"/>
      <c r="AQ39" s="632"/>
      <c r="AR39" s="628"/>
      <c r="AS39" s="629"/>
      <c r="AT39" s="629"/>
      <c r="AU39" s="631"/>
      <c r="AV39" s="632"/>
      <c r="AW39" s="628"/>
      <c r="AX39" s="629"/>
      <c r="AY39" s="629"/>
      <c r="AZ39" s="626"/>
      <c r="BA39" s="632"/>
      <c r="BB39" s="628"/>
      <c r="BC39" s="629"/>
      <c r="BD39" s="629"/>
      <c r="BE39" s="631"/>
      <c r="BF39" s="632"/>
      <c r="BG39" s="628"/>
      <c r="BH39" s="629"/>
      <c r="BI39" s="629"/>
      <c r="BJ39" s="633"/>
      <c r="BK39" s="634"/>
      <c r="BL39" s="635"/>
      <c r="BM39" s="636"/>
      <c r="BN39" s="637"/>
      <c r="BO39" s="637"/>
      <c r="BP39" s="637"/>
      <c r="BQ39" s="638"/>
      <c r="BR39" s="634"/>
      <c r="BS39" s="635"/>
      <c r="BT39" s="636"/>
      <c r="BU39" s="637"/>
      <c r="BV39" s="637"/>
      <c r="BW39" s="637"/>
    </row>
    <row r="40" spans="1:75" outlineLevel="1">
      <c r="A40" s="639" t="s">
        <v>376</v>
      </c>
      <c r="B40" s="640"/>
      <c r="C40" s="641">
        <v>18.167000000000002</v>
      </c>
      <c r="D40" s="642"/>
      <c r="E40" s="642"/>
      <c r="F40" s="643"/>
      <c r="G40" s="644"/>
      <c r="H40" s="641">
        <v>23.53</v>
      </c>
      <c r="I40" s="642"/>
      <c r="J40" s="642"/>
      <c r="K40" s="642"/>
      <c r="L40" s="640"/>
      <c r="M40" s="645">
        <v>30.518999999999998</v>
      </c>
      <c r="N40" s="642"/>
      <c r="O40" s="642"/>
      <c r="P40" s="642"/>
      <c r="Q40" s="644"/>
      <c r="R40" s="645">
        <v>39.658000000000001</v>
      </c>
      <c r="S40" s="642"/>
      <c r="T40" s="642"/>
      <c r="U40" s="642"/>
      <c r="V40" s="640"/>
      <c r="W40" s="645">
        <v>41.575000000000003</v>
      </c>
      <c r="X40" s="642"/>
      <c r="Y40" s="642"/>
      <c r="Z40" s="642"/>
      <c r="AA40" s="644"/>
      <c r="AB40" s="645">
        <v>36.719000000000001</v>
      </c>
      <c r="AC40" s="642"/>
      <c r="AD40" s="642"/>
      <c r="AE40" s="642"/>
      <c r="AF40" s="640"/>
      <c r="AG40" s="645">
        <v>40.845999999999997</v>
      </c>
      <c r="AH40" s="642"/>
      <c r="AI40" s="642"/>
      <c r="AJ40" s="642"/>
      <c r="AK40" s="644"/>
      <c r="AL40" s="645">
        <v>38.204999999999998</v>
      </c>
      <c r="AM40" s="642"/>
      <c r="AN40" s="642"/>
      <c r="AO40" s="642"/>
      <c r="AP40" s="640"/>
      <c r="AQ40" s="645"/>
      <c r="AR40" s="642"/>
      <c r="AS40" s="642"/>
      <c r="AT40" s="642"/>
      <c r="AU40" s="644"/>
      <c r="AV40" s="645"/>
      <c r="AW40" s="642"/>
      <c r="AX40" s="642"/>
      <c r="AY40" s="642"/>
      <c r="AZ40" s="640"/>
      <c r="BA40" s="645"/>
      <c r="BB40" s="642"/>
      <c r="BC40" s="642"/>
      <c r="BD40" s="642"/>
      <c r="BE40" s="644"/>
      <c r="BF40" s="645"/>
      <c r="BG40" s="642"/>
      <c r="BH40" s="642"/>
      <c r="BI40" s="642"/>
      <c r="BJ40" s="646"/>
      <c r="BK40" s="647"/>
      <c r="BL40" s="648"/>
      <c r="BM40" s="648"/>
      <c r="BN40" s="649"/>
      <c r="BO40" s="649"/>
      <c r="BP40" s="649"/>
      <c r="BQ40" s="650"/>
      <c r="BR40" s="647"/>
      <c r="BS40" s="648"/>
      <c r="BT40" s="648"/>
      <c r="BU40" s="649"/>
      <c r="BV40" s="649"/>
      <c r="BW40" s="649"/>
    </row>
    <row r="41" spans="1:75" outlineLevel="1">
      <c r="A41" s="639" t="s">
        <v>377</v>
      </c>
      <c r="B41" s="640"/>
      <c r="C41" s="641">
        <v>18.420999999999999</v>
      </c>
      <c r="D41" s="642"/>
      <c r="E41" s="642"/>
      <c r="F41" s="643"/>
      <c r="G41" s="644"/>
      <c r="H41" s="641">
        <v>25.943000000000001</v>
      </c>
      <c r="I41" s="642"/>
      <c r="J41" s="642"/>
      <c r="K41" s="642"/>
      <c r="L41" s="640"/>
      <c r="M41" s="645">
        <v>25.798999999999999</v>
      </c>
      <c r="N41" s="642"/>
      <c r="O41" s="642"/>
      <c r="P41" s="642"/>
      <c r="Q41" s="644"/>
      <c r="R41" s="645">
        <v>39.448</v>
      </c>
      <c r="S41" s="642"/>
      <c r="T41" s="642"/>
      <c r="U41" s="642"/>
      <c r="V41" s="640"/>
      <c r="W41" s="645">
        <v>41.543999999999997</v>
      </c>
      <c r="X41" s="642"/>
      <c r="Y41" s="642"/>
      <c r="Z41" s="642"/>
      <c r="AA41" s="644"/>
      <c r="AB41" s="645">
        <v>38.031999999999996</v>
      </c>
      <c r="AC41" s="642"/>
      <c r="AD41" s="642"/>
      <c r="AE41" s="642"/>
      <c r="AF41" s="640"/>
      <c r="AG41" s="645">
        <v>39.363</v>
      </c>
      <c r="AH41" s="642"/>
      <c r="AI41" s="642"/>
      <c r="AJ41" s="642"/>
      <c r="AK41" s="644"/>
      <c r="AL41" s="645">
        <v>40.359000000000002</v>
      </c>
      <c r="AM41" s="642"/>
      <c r="AN41" s="642"/>
      <c r="AO41" s="642"/>
      <c r="AP41" s="640"/>
      <c r="AQ41" s="645">
        <v>35.939</v>
      </c>
      <c r="AR41" s="642"/>
      <c r="AS41" s="642"/>
      <c r="AT41" s="642"/>
      <c r="AU41" s="644"/>
      <c r="AV41" s="645"/>
      <c r="AW41" s="642"/>
      <c r="AX41" s="642"/>
      <c r="AY41" s="642"/>
      <c r="AZ41" s="640"/>
      <c r="BA41" s="645"/>
      <c r="BB41" s="642"/>
      <c r="BC41" s="642"/>
      <c r="BD41" s="642"/>
      <c r="BE41" s="644"/>
      <c r="BF41" s="645"/>
      <c r="BG41" s="642"/>
      <c r="BH41" s="642"/>
      <c r="BI41" s="642"/>
      <c r="BJ41" s="646"/>
      <c r="BK41" s="647"/>
      <c r="BL41" s="648"/>
      <c r="BM41" s="648"/>
      <c r="BN41" s="649"/>
      <c r="BO41" s="649"/>
      <c r="BP41" s="649"/>
      <c r="BQ41" s="650"/>
      <c r="BR41" s="647"/>
      <c r="BS41" s="648"/>
      <c r="BT41" s="648"/>
      <c r="BU41" s="649"/>
      <c r="BV41" s="649"/>
      <c r="BW41" s="649"/>
    </row>
    <row r="42" spans="1:75" outlineLevel="1">
      <c r="A42" s="651" t="s">
        <v>378</v>
      </c>
      <c r="B42" s="652"/>
      <c r="C42" s="653">
        <v>4456.92</v>
      </c>
      <c r="D42" s="654"/>
      <c r="E42" s="655"/>
      <c r="F42" s="656"/>
      <c r="G42" s="657"/>
      <c r="H42" s="653">
        <v>4456.92</v>
      </c>
      <c r="I42" s="654"/>
      <c r="J42" s="655"/>
      <c r="K42" s="655"/>
      <c r="L42" s="652"/>
      <c r="M42" s="658">
        <v>4456.92</v>
      </c>
      <c r="N42" s="654"/>
      <c r="O42" s="655"/>
      <c r="P42" s="655"/>
      <c r="Q42" s="657"/>
      <c r="R42" s="658">
        <v>4407.8900000000003</v>
      </c>
      <c r="S42" s="654"/>
      <c r="T42" s="655"/>
      <c r="U42" s="655"/>
      <c r="V42" s="652"/>
      <c r="W42" s="658">
        <v>4407.8900000000003</v>
      </c>
      <c r="X42" s="654"/>
      <c r="Y42" s="655"/>
      <c r="Z42" s="655"/>
      <c r="AA42" s="657"/>
      <c r="AB42" s="658">
        <v>4407.8900000000003</v>
      </c>
      <c r="AC42" s="654"/>
      <c r="AD42" s="655"/>
      <c r="AE42" s="655"/>
      <c r="AF42" s="652"/>
      <c r="AG42" s="658">
        <v>4456.92</v>
      </c>
      <c r="AH42" s="654"/>
      <c r="AI42" s="655"/>
      <c r="AJ42" s="655"/>
      <c r="AK42" s="657"/>
      <c r="AL42" s="658">
        <v>4456.92</v>
      </c>
      <c r="AM42" s="654"/>
      <c r="AN42" s="655"/>
      <c r="AO42" s="655"/>
      <c r="AP42" s="652"/>
      <c r="AQ42" s="658">
        <v>4456.92</v>
      </c>
      <c r="AR42" s="654"/>
      <c r="AS42" s="655"/>
      <c r="AT42" s="655"/>
      <c r="AU42" s="657"/>
      <c r="AV42" s="658"/>
      <c r="AW42" s="654"/>
      <c r="AX42" s="655"/>
      <c r="AY42" s="655"/>
      <c r="AZ42" s="652"/>
      <c r="BA42" s="658"/>
      <c r="BB42" s="654"/>
      <c r="BC42" s="655"/>
      <c r="BD42" s="655"/>
      <c r="BE42" s="657"/>
      <c r="BF42" s="658"/>
      <c r="BG42" s="654"/>
      <c r="BH42" s="655"/>
      <c r="BI42" s="655"/>
      <c r="BJ42" s="659"/>
      <c r="BK42" s="660"/>
      <c r="BL42" s="661"/>
      <c r="BM42" s="662"/>
      <c r="BN42" s="663"/>
      <c r="BO42" s="663"/>
      <c r="BP42" s="663"/>
      <c r="BQ42" s="664"/>
      <c r="BR42" s="660"/>
      <c r="BS42" s="661"/>
      <c r="BT42" s="662"/>
      <c r="BU42" s="663"/>
      <c r="BV42" s="663"/>
      <c r="BW42" s="663"/>
    </row>
    <row r="43" spans="1:75" outlineLevel="1">
      <c r="A43" s="651" t="s">
        <v>379</v>
      </c>
      <c r="B43" s="652"/>
      <c r="C43" s="665">
        <v>437.39</v>
      </c>
      <c r="D43" s="654"/>
      <c r="E43" s="655"/>
      <c r="F43" s="656"/>
      <c r="G43" s="657"/>
      <c r="H43" s="665">
        <v>437.39</v>
      </c>
      <c r="I43" s="654"/>
      <c r="J43" s="655"/>
      <c r="K43" s="655"/>
      <c r="L43" s="652"/>
      <c r="M43" s="666">
        <v>437.39</v>
      </c>
      <c r="N43" s="654"/>
      <c r="O43" s="655"/>
      <c r="P43" s="655"/>
      <c r="Q43" s="657"/>
      <c r="R43" s="666">
        <v>437.39</v>
      </c>
      <c r="S43" s="654"/>
      <c r="T43" s="655"/>
      <c r="U43" s="655"/>
      <c r="V43" s="652"/>
      <c r="W43" s="666">
        <v>437.39</v>
      </c>
      <c r="X43" s="654"/>
      <c r="Y43" s="655"/>
      <c r="Z43" s="655"/>
      <c r="AA43" s="657"/>
      <c r="AB43" s="666">
        <v>437.39</v>
      </c>
      <c r="AC43" s="654"/>
      <c r="AD43" s="655"/>
      <c r="AE43" s="655"/>
      <c r="AF43" s="652"/>
      <c r="AG43" s="666">
        <v>459.59</v>
      </c>
      <c r="AH43" s="654"/>
      <c r="AI43" s="655"/>
      <c r="AJ43" s="655"/>
      <c r="AK43" s="657"/>
      <c r="AL43" s="666">
        <v>459.59</v>
      </c>
      <c r="AM43" s="654"/>
      <c r="AN43" s="655"/>
      <c r="AO43" s="655"/>
      <c r="AP43" s="652"/>
      <c r="AQ43" s="666">
        <v>459.59</v>
      </c>
      <c r="AR43" s="654"/>
      <c r="AS43" s="655"/>
      <c r="AT43" s="655"/>
      <c r="AU43" s="657"/>
      <c r="AV43" s="666"/>
      <c r="AW43" s="654"/>
      <c r="AX43" s="655"/>
      <c r="AY43" s="655"/>
      <c r="AZ43" s="652"/>
      <c r="BA43" s="666"/>
      <c r="BB43" s="654"/>
      <c r="BC43" s="655"/>
      <c r="BD43" s="655"/>
      <c r="BE43" s="657"/>
      <c r="BF43" s="666"/>
      <c r="BG43" s="654"/>
      <c r="BH43" s="655"/>
      <c r="BI43" s="655"/>
      <c r="BJ43" s="659"/>
      <c r="BK43" s="660"/>
      <c r="BL43" s="661"/>
      <c r="BM43" s="662"/>
      <c r="BN43" s="663"/>
      <c r="BO43" s="663"/>
      <c r="BP43" s="663"/>
      <c r="BQ43" s="664"/>
      <c r="BR43" s="660"/>
      <c r="BS43" s="661"/>
      <c r="BT43" s="662"/>
      <c r="BU43" s="663"/>
      <c r="BV43" s="663"/>
      <c r="BW43" s="663"/>
    </row>
    <row r="44" spans="1:75" outlineLevel="1">
      <c r="A44" s="667" t="s">
        <v>380</v>
      </c>
      <c r="B44" s="668"/>
      <c r="C44" s="669">
        <f>C41*C42+C41*C43</f>
        <v>90158.084510000001</v>
      </c>
      <c r="D44" s="670"/>
      <c r="E44" s="670"/>
      <c r="F44" s="671"/>
      <c r="G44" s="672"/>
      <c r="H44" s="669">
        <f>H41*H42+H41*H43</f>
        <v>126973.08433000001</v>
      </c>
      <c r="I44" s="670"/>
      <c r="J44" s="670"/>
      <c r="K44" s="670"/>
      <c r="L44" s="668"/>
      <c r="M44" s="673">
        <f>M41*M42+M41*M43</f>
        <v>126268.30369</v>
      </c>
      <c r="N44" s="670"/>
      <c r="O44" s="670"/>
      <c r="P44" s="670"/>
      <c r="Q44" s="672"/>
      <c r="R44" s="673">
        <f>R41*R42+R41*R43</f>
        <v>191136.60544000001</v>
      </c>
      <c r="S44" s="670"/>
      <c r="T44" s="670"/>
      <c r="U44" s="670"/>
      <c r="V44" s="668"/>
      <c r="W44" s="673">
        <f>W41*W42+W41*W43</f>
        <v>201292.31232</v>
      </c>
      <c r="X44" s="670"/>
      <c r="Y44" s="670"/>
      <c r="Z44" s="670"/>
      <c r="AA44" s="672"/>
      <c r="AB44" s="673">
        <f>AB41*AB42+AB41*AB43</f>
        <v>184275.68896</v>
      </c>
      <c r="AC44" s="670"/>
      <c r="AD44" s="670"/>
      <c r="AE44" s="670"/>
      <c r="AF44" s="668"/>
      <c r="AG44" s="673">
        <f>AG41*AG42+AG41*AG43</f>
        <v>193528.58313000001</v>
      </c>
      <c r="AH44" s="670"/>
      <c r="AI44" s="670"/>
      <c r="AJ44" s="670"/>
      <c r="AK44" s="672"/>
      <c r="AL44" s="673">
        <f>AL41*AL42+AL41*AL43</f>
        <v>198425.42709000001</v>
      </c>
      <c r="AM44" s="670"/>
      <c r="AN44" s="670"/>
      <c r="AO44" s="670"/>
      <c r="AP44" s="668"/>
      <c r="AQ44" s="673">
        <f>AQ41*AQ42+AQ41*AQ43</f>
        <v>176694.45289000002</v>
      </c>
      <c r="AR44" s="670"/>
      <c r="AS44" s="670"/>
      <c r="AT44" s="670"/>
      <c r="AU44" s="672"/>
      <c r="AV44" s="673">
        <f>AV41*AV42+AV41*AV43</f>
        <v>0</v>
      </c>
      <c r="AW44" s="670"/>
      <c r="AX44" s="670"/>
      <c r="AY44" s="670"/>
      <c r="AZ44" s="668"/>
      <c r="BA44" s="673">
        <f>BA41*BA42+BA41*BA43</f>
        <v>0</v>
      </c>
      <c r="BB44" s="670"/>
      <c r="BC44" s="670"/>
      <c r="BD44" s="670"/>
      <c r="BE44" s="672"/>
      <c r="BF44" s="673">
        <f>BF41*BF42+BF41*BF43</f>
        <v>0</v>
      </c>
      <c r="BG44" s="670"/>
      <c r="BH44" s="670"/>
      <c r="BI44" s="670"/>
      <c r="BJ44" s="674"/>
      <c r="BK44" s="675">
        <f>SUM(C44,H44,M44,R44,W44,AB44,AG44,AL44,AQ44,AV44,BA44,BF44)/$BL$56</f>
        <v>165416.94915111113</v>
      </c>
      <c r="BL44" s="676"/>
      <c r="BM44" s="676"/>
      <c r="BN44" s="677"/>
      <c r="BO44" s="677"/>
      <c r="BP44" s="677"/>
      <c r="BQ44" s="678"/>
      <c r="BR44" s="675">
        <f>SUM(M44,R44,W44,AB44,AG44,AL44,AQ44,AV44,BA44,BF44)/$BL$56</f>
        <v>141291.26372444446</v>
      </c>
      <c r="BS44" s="676"/>
      <c r="BT44" s="676"/>
      <c r="BU44" s="677"/>
      <c r="BV44" s="677"/>
      <c r="BW44" s="677"/>
    </row>
    <row r="45" spans="1:75" outlineLevel="1">
      <c r="A45" s="679" t="s">
        <v>381</v>
      </c>
      <c r="B45" s="444"/>
      <c r="C45" s="680">
        <f>IF(C5=0,0,C41/C5*1000*1000)</f>
        <v>96.336080662706053</v>
      </c>
      <c r="D45" s="681"/>
      <c r="E45" s="681"/>
      <c r="F45" s="682"/>
      <c r="G45" s="672"/>
      <c r="H45" s="680">
        <f>IF(H5=0,0,H41/H5*1000*1000)</f>
        <v>107.62050941674271</v>
      </c>
      <c r="I45" s="681"/>
      <c r="J45" s="681"/>
      <c r="K45" s="681"/>
      <c r="L45" s="444"/>
      <c r="M45" s="683">
        <f>IF(M5=0,0,M41/M5*1000*1000)</f>
        <v>75.089418082186171</v>
      </c>
      <c r="N45" s="681"/>
      <c r="O45" s="681"/>
      <c r="P45" s="681"/>
      <c r="Q45" s="672"/>
      <c r="R45" s="683">
        <f>IF(R5=0,0,R41/R5*1000*1000)</f>
        <v>81.961865542482087</v>
      </c>
      <c r="S45" s="681"/>
      <c r="T45" s="681"/>
      <c r="U45" s="681"/>
      <c r="V45" s="444"/>
      <c r="W45" s="683">
        <f>IF(W5=0,0,W41/W5*1000*1000)</f>
        <v>82.805632792178656</v>
      </c>
      <c r="X45" s="681"/>
      <c r="Y45" s="681"/>
      <c r="Z45" s="681"/>
      <c r="AA45" s="672"/>
      <c r="AB45" s="683">
        <f>IF(AB5=0,0,AB41/AB5*1000*1000)</f>
        <v>84.73114925755533</v>
      </c>
      <c r="AC45" s="681"/>
      <c r="AD45" s="681"/>
      <c r="AE45" s="681"/>
      <c r="AF45" s="444"/>
      <c r="AG45" s="683">
        <f>IF(AG5=0,0,AG41/AG5*1000*1000)</f>
        <v>78.484268453164248</v>
      </c>
      <c r="AH45" s="681"/>
      <c r="AI45" s="681"/>
      <c r="AJ45" s="681"/>
      <c r="AK45" s="672"/>
      <c r="AL45" s="683">
        <f>IF(AL5=0,0,AL41/AL5*1000*1000)</f>
        <v>92.274874364965783</v>
      </c>
      <c r="AM45" s="681"/>
      <c r="AN45" s="681"/>
      <c r="AO45" s="681"/>
      <c r="AP45" s="444"/>
      <c r="AQ45" s="683">
        <f>IF(AQ5=0,0,AQ41/AQ5*1000*1000)</f>
        <v>92.549482130808983</v>
      </c>
      <c r="AR45" s="681"/>
      <c r="AS45" s="681"/>
      <c r="AT45" s="681"/>
      <c r="AU45" s="672"/>
      <c r="AV45" s="683">
        <f>IF(AV5=0,0,AV41/AV5*1000*1000)</f>
        <v>0</v>
      </c>
      <c r="AW45" s="681"/>
      <c r="AX45" s="681"/>
      <c r="AY45" s="681"/>
      <c r="AZ45" s="444"/>
      <c r="BA45" s="683">
        <f>IF(BA5=0,0,BA41/BA5*1000*1000)</f>
        <v>0</v>
      </c>
      <c r="BB45" s="681"/>
      <c r="BC45" s="681"/>
      <c r="BD45" s="681"/>
      <c r="BE45" s="672"/>
      <c r="BF45" s="683">
        <f>IF(BF5=0,0,BF41/BF5*1000*1000)</f>
        <v>0</v>
      </c>
      <c r="BG45" s="681"/>
      <c r="BH45" s="681"/>
      <c r="BI45" s="681"/>
      <c r="BJ45" s="684"/>
      <c r="BK45" s="685">
        <f>SUM(C45,H45,M45,R45,W45,AB45,AG45,AL45,AQ45,AV45,BA45,BF45)/$BL$56</f>
        <v>87.983697855865557</v>
      </c>
      <c r="BL45" s="686"/>
      <c r="BM45" s="686"/>
      <c r="BN45" s="687"/>
      <c r="BO45" s="687"/>
      <c r="BP45" s="687"/>
      <c r="BQ45" s="688"/>
      <c r="BR45" s="685">
        <f>SUM(M45,R45,W45,AB45,AG45,AL45,AQ45,AV45,BA45,BF45)/$BL$56</f>
        <v>65.321854513704579</v>
      </c>
      <c r="BS45" s="686"/>
      <c r="BT45" s="686"/>
      <c r="BU45" s="687"/>
      <c r="BV45" s="687"/>
      <c r="BW45" s="687"/>
    </row>
    <row r="46" spans="1:75" outlineLevel="1">
      <c r="A46" s="689" t="s">
        <v>382</v>
      </c>
      <c r="B46" s="690"/>
      <c r="C46" s="691">
        <f>IF(C5=0,0,C44/C5*1000)</f>
        <v>471.49864294828888</v>
      </c>
      <c r="D46" s="692"/>
      <c r="E46" s="693"/>
      <c r="F46" s="694"/>
      <c r="G46" s="695"/>
      <c r="H46" s="691">
        <f>IF(H5=0,0,H44/H5*1000)</f>
        <v>526.72813544345809</v>
      </c>
      <c r="I46" s="692"/>
      <c r="J46" s="693"/>
      <c r="K46" s="693"/>
      <c r="L46" s="690"/>
      <c r="M46" s="696">
        <f>IF(M5=0,0,M44/M5*1000)</f>
        <v>367.51088981382463</v>
      </c>
      <c r="N46" s="692"/>
      <c r="O46" s="693"/>
      <c r="P46" s="693"/>
      <c r="Q46" s="695"/>
      <c r="R46" s="696">
        <f>IF(R5=0,0,R44/R5*1000)</f>
        <v>397.12818787567761</v>
      </c>
      <c r="S46" s="692"/>
      <c r="T46" s="693"/>
      <c r="U46" s="693"/>
      <c r="V46" s="690"/>
      <c r="W46" s="696">
        <f>IF(W5=0,0,W44/W5*1000)</f>
        <v>401.21647645528748</v>
      </c>
      <c r="X46" s="692"/>
      <c r="Y46" s="693"/>
      <c r="Z46" s="693"/>
      <c r="AA46" s="695"/>
      <c r="AB46" s="696">
        <f>IF(AB5=0,0,AB44/AB5*1000)</f>
        <v>410.54614287464767</v>
      </c>
      <c r="AC46" s="692"/>
      <c r="AD46" s="693"/>
      <c r="AE46" s="693"/>
      <c r="AF46" s="690"/>
      <c r="AG46" s="696">
        <f>IF(AG5=0,0,AG44/AG5*1000)</f>
        <v>385.86869069266663</v>
      </c>
      <c r="AH46" s="692"/>
      <c r="AI46" s="693"/>
      <c r="AJ46" s="693"/>
      <c r="AK46" s="695"/>
      <c r="AL46" s="696">
        <f>IF(AL5=0,0,AL44/AL5*1000)</f>
        <v>453.67034256409789</v>
      </c>
      <c r="AM46" s="692"/>
      <c r="AN46" s="693"/>
      <c r="AO46" s="693"/>
      <c r="AP46" s="690"/>
      <c r="AQ46" s="696">
        <f>IF(AQ5=0,0,AQ44/AQ5*1000)</f>
        <v>455.02045439094366</v>
      </c>
      <c r="AR46" s="692"/>
      <c r="AS46" s="693"/>
      <c r="AT46" s="693"/>
      <c r="AU46" s="695"/>
      <c r="AV46" s="696">
        <f>IF(AV5=0,0,AV44/AV5*1000)</f>
        <v>0</v>
      </c>
      <c r="AW46" s="692"/>
      <c r="AX46" s="693"/>
      <c r="AY46" s="693"/>
      <c r="AZ46" s="690"/>
      <c r="BA46" s="696">
        <f>IF(BA5=0,0,BA44/BA5*1000)</f>
        <v>0</v>
      </c>
      <c r="BB46" s="692"/>
      <c r="BC46" s="693"/>
      <c r="BD46" s="693"/>
      <c r="BE46" s="695"/>
      <c r="BF46" s="696">
        <f>IF(BF5=0,0,BF44/BF5*1000)</f>
        <v>0</v>
      </c>
      <c r="BG46" s="692"/>
      <c r="BH46" s="693"/>
      <c r="BI46" s="693"/>
      <c r="BJ46" s="697"/>
      <c r="BK46" s="698">
        <f>SUM(C46,H46,M46,R46,W46,AB46,AG46,AL46,AQ46,AV46,BA46,BF46)/$BL$56</f>
        <v>429.90977367321028</v>
      </c>
      <c r="BL46" s="699"/>
      <c r="BM46" s="699"/>
      <c r="BN46" s="700"/>
      <c r="BO46" s="700"/>
      <c r="BP46" s="700"/>
      <c r="BQ46" s="701"/>
      <c r="BR46" s="698">
        <f>SUM(M46,R46,W46,AB46,AG46,AL46,AQ46,AV46,BA46,BF46)/$BL$56</f>
        <v>318.99568718523841</v>
      </c>
      <c r="BS46" s="699"/>
      <c r="BT46" s="699"/>
      <c r="BU46" s="700"/>
      <c r="BV46" s="700"/>
      <c r="BW46" s="700"/>
    </row>
    <row r="47" spans="1:75" outlineLevel="1">
      <c r="A47" s="702" t="s">
        <v>383</v>
      </c>
      <c r="B47" s="626"/>
      <c r="C47" s="703"/>
      <c r="D47" s="704"/>
      <c r="E47" s="705"/>
      <c r="F47" s="706"/>
      <c r="G47" s="657"/>
      <c r="H47" s="703"/>
      <c r="I47" s="704"/>
      <c r="J47" s="705"/>
      <c r="K47" s="705"/>
      <c r="L47" s="626"/>
      <c r="M47" s="707"/>
      <c r="N47" s="704"/>
      <c r="O47" s="705"/>
      <c r="P47" s="705"/>
      <c r="Q47" s="657"/>
      <c r="R47" s="707"/>
      <c r="S47" s="704"/>
      <c r="T47" s="705"/>
      <c r="U47" s="705"/>
      <c r="V47" s="626"/>
      <c r="W47" s="707"/>
      <c r="X47" s="704"/>
      <c r="Y47" s="705"/>
      <c r="Z47" s="705"/>
      <c r="AA47" s="657"/>
      <c r="AB47" s="707"/>
      <c r="AC47" s="704"/>
      <c r="AD47" s="705"/>
      <c r="AE47" s="705"/>
      <c r="AF47" s="626"/>
      <c r="AG47" s="707"/>
      <c r="AH47" s="704"/>
      <c r="AI47" s="705"/>
      <c r="AJ47" s="705"/>
      <c r="AK47" s="657"/>
      <c r="AL47" s="707"/>
      <c r="AM47" s="704"/>
      <c r="AN47" s="705"/>
      <c r="AO47" s="705"/>
      <c r="AP47" s="626"/>
      <c r="AQ47" s="707"/>
      <c r="AR47" s="704"/>
      <c r="AS47" s="705"/>
      <c r="AT47" s="705"/>
      <c r="AU47" s="657"/>
      <c r="AV47" s="707"/>
      <c r="AW47" s="704"/>
      <c r="AX47" s="705"/>
      <c r="AY47" s="705"/>
      <c r="AZ47" s="626"/>
      <c r="BA47" s="707"/>
      <c r="BB47" s="704"/>
      <c r="BC47" s="705"/>
      <c r="BD47" s="705"/>
      <c r="BE47" s="657"/>
      <c r="BF47" s="707"/>
      <c r="BG47" s="704"/>
      <c r="BH47" s="705"/>
      <c r="BI47" s="705"/>
      <c r="BJ47" s="633"/>
      <c r="BK47" s="708"/>
      <c r="BL47" s="709"/>
      <c r="BM47" s="710"/>
      <c r="BN47" s="711"/>
      <c r="BO47" s="711"/>
      <c r="BP47" s="711"/>
      <c r="BQ47" s="638"/>
      <c r="BR47" s="708"/>
      <c r="BS47" s="709"/>
      <c r="BT47" s="710"/>
      <c r="BU47" s="711"/>
      <c r="BV47" s="711"/>
      <c r="BW47" s="711"/>
    </row>
    <row r="48" spans="1:75" outlineLevel="1">
      <c r="A48" s="712" t="s">
        <v>384</v>
      </c>
      <c r="B48" s="444"/>
      <c r="C48" s="713">
        <v>6724</v>
      </c>
      <c r="D48" s="714"/>
      <c r="E48" s="715"/>
      <c r="F48" s="716"/>
      <c r="G48" s="717"/>
      <c r="H48" s="713">
        <v>5598</v>
      </c>
      <c r="I48" s="714"/>
      <c r="J48" s="715"/>
      <c r="K48" s="715"/>
      <c r="L48" s="444"/>
      <c r="M48" s="718">
        <v>2924</v>
      </c>
      <c r="N48" s="714"/>
      <c r="O48" s="715"/>
      <c r="P48" s="715"/>
      <c r="Q48" s="717"/>
      <c r="R48" s="718">
        <v>7016</v>
      </c>
      <c r="S48" s="714"/>
      <c r="T48" s="715"/>
      <c r="U48" s="715"/>
      <c r="V48" s="444"/>
      <c r="W48" s="718">
        <v>6870</v>
      </c>
      <c r="X48" s="714"/>
      <c r="Y48" s="715"/>
      <c r="Z48" s="715"/>
      <c r="AA48" s="717"/>
      <c r="AB48" s="718">
        <v>6060</v>
      </c>
      <c r="AC48" s="714"/>
      <c r="AD48" s="715"/>
      <c r="AE48" s="715"/>
      <c r="AF48" s="444"/>
      <c r="AG48" s="718">
        <v>7232</v>
      </c>
      <c r="AH48" s="714"/>
      <c r="AI48" s="715"/>
      <c r="AJ48" s="715"/>
      <c r="AK48" s="717"/>
      <c r="AL48" s="718">
        <v>6644.8</v>
      </c>
      <c r="AM48" s="714"/>
      <c r="AN48" s="715"/>
      <c r="AO48" s="715"/>
      <c r="AP48" s="444"/>
      <c r="AQ48" s="718">
        <v>5014</v>
      </c>
      <c r="AR48" s="714"/>
      <c r="AS48" s="715"/>
      <c r="AT48" s="715"/>
      <c r="AU48" s="717"/>
      <c r="AV48" s="718"/>
      <c r="AW48" s="714"/>
      <c r="AX48" s="715"/>
      <c r="AY48" s="715"/>
      <c r="AZ48" s="444"/>
      <c r="BA48" s="718"/>
      <c r="BB48" s="714"/>
      <c r="BC48" s="715"/>
      <c r="BD48" s="715"/>
      <c r="BE48" s="717"/>
      <c r="BF48" s="718"/>
      <c r="BG48" s="714"/>
      <c r="BH48" s="715"/>
      <c r="BI48" s="715"/>
      <c r="BJ48" s="684"/>
      <c r="BK48" s="719"/>
      <c r="BL48" s="720"/>
      <c r="BM48" s="721"/>
      <c r="BN48" s="722"/>
      <c r="BO48" s="722"/>
      <c r="BP48" s="722"/>
      <c r="BQ48" s="688"/>
      <c r="BR48" s="719"/>
      <c r="BS48" s="720"/>
      <c r="BT48" s="721"/>
      <c r="BU48" s="722"/>
      <c r="BV48" s="722"/>
      <c r="BW48" s="722"/>
    </row>
    <row r="49" spans="1:75" outlineLevel="1">
      <c r="A49" s="723" t="s">
        <v>385</v>
      </c>
      <c r="B49" s="724"/>
      <c r="C49" s="665">
        <v>5.44</v>
      </c>
      <c r="D49" s="579"/>
      <c r="E49" s="579"/>
      <c r="F49" s="725"/>
      <c r="G49" s="726"/>
      <c r="H49" s="665">
        <v>5.44</v>
      </c>
      <c r="I49" s="579"/>
      <c r="J49" s="579"/>
      <c r="K49" s="579"/>
      <c r="L49" s="724"/>
      <c r="M49" s="666">
        <v>5.44</v>
      </c>
      <c r="N49" s="579"/>
      <c r="O49" s="579"/>
      <c r="P49" s="579"/>
      <c r="Q49" s="726"/>
      <c r="R49" s="666">
        <v>5.44</v>
      </c>
      <c r="S49" s="579"/>
      <c r="T49" s="579"/>
      <c r="U49" s="579"/>
      <c r="V49" s="724"/>
      <c r="W49" s="666">
        <v>5.44</v>
      </c>
      <c r="X49" s="579"/>
      <c r="Y49" s="579"/>
      <c r="Z49" s="579"/>
      <c r="AA49" s="726"/>
      <c r="AB49" s="666">
        <v>5.44</v>
      </c>
      <c r="AC49" s="579"/>
      <c r="AD49" s="579"/>
      <c r="AE49" s="579"/>
      <c r="AF49" s="724"/>
      <c r="AG49" s="666">
        <v>5.44</v>
      </c>
      <c r="AH49" s="579"/>
      <c r="AI49" s="579"/>
      <c r="AJ49" s="579"/>
      <c r="AK49" s="726"/>
      <c r="AL49" s="666">
        <v>5.44</v>
      </c>
      <c r="AM49" s="579"/>
      <c r="AN49" s="579"/>
      <c r="AO49" s="579"/>
      <c r="AP49" s="724"/>
      <c r="AQ49" s="666">
        <v>5.44</v>
      </c>
      <c r="AR49" s="579"/>
      <c r="AS49" s="579"/>
      <c r="AT49" s="579"/>
      <c r="AU49" s="726"/>
      <c r="AV49" s="666">
        <v>5.44</v>
      </c>
      <c r="AW49" s="579"/>
      <c r="AX49" s="579"/>
      <c r="AY49" s="579"/>
      <c r="AZ49" s="724"/>
      <c r="BA49" s="666">
        <v>5.44</v>
      </c>
      <c r="BB49" s="579"/>
      <c r="BC49" s="579"/>
      <c r="BD49" s="579"/>
      <c r="BE49" s="726"/>
      <c r="BF49" s="666">
        <v>5.44</v>
      </c>
      <c r="BG49" s="579"/>
      <c r="BH49" s="579"/>
      <c r="BI49" s="579"/>
      <c r="BJ49" s="727"/>
      <c r="BK49" s="728"/>
      <c r="BL49" s="729"/>
      <c r="BM49" s="729"/>
      <c r="BN49" s="588"/>
      <c r="BO49" s="588"/>
      <c r="BP49" s="588"/>
      <c r="BQ49" s="730"/>
      <c r="BR49" s="728"/>
      <c r="BS49" s="729"/>
      <c r="BT49" s="729"/>
      <c r="BU49" s="588"/>
      <c r="BV49" s="588"/>
      <c r="BW49" s="588"/>
    </row>
    <row r="50" spans="1:75" outlineLevel="1">
      <c r="A50" s="651" t="s">
        <v>386</v>
      </c>
      <c r="B50" s="652"/>
      <c r="C50" s="731">
        <f>C48*C49</f>
        <v>36578.560000000005</v>
      </c>
      <c r="D50" s="654"/>
      <c r="E50" s="655"/>
      <c r="F50" s="656"/>
      <c r="G50" s="657"/>
      <c r="H50" s="731">
        <f>H48*H49</f>
        <v>30453.120000000003</v>
      </c>
      <c r="I50" s="654"/>
      <c r="J50" s="655"/>
      <c r="K50" s="655"/>
      <c r="L50" s="652"/>
      <c r="M50" s="732">
        <f>M48*M49</f>
        <v>15906.560000000001</v>
      </c>
      <c r="N50" s="654"/>
      <c r="O50" s="655"/>
      <c r="P50" s="655"/>
      <c r="Q50" s="657"/>
      <c r="R50" s="732">
        <f>R48*R49</f>
        <v>38167.040000000001</v>
      </c>
      <c r="S50" s="654"/>
      <c r="T50" s="655"/>
      <c r="U50" s="655"/>
      <c r="V50" s="652"/>
      <c r="W50" s="732">
        <f>W48*W49</f>
        <v>37372.800000000003</v>
      </c>
      <c r="X50" s="654"/>
      <c r="Y50" s="655"/>
      <c r="Z50" s="655"/>
      <c r="AA50" s="657"/>
      <c r="AB50" s="732">
        <f>AB48*AB49</f>
        <v>32966.400000000001</v>
      </c>
      <c r="AC50" s="654"/>
      <c r="AD50" s="655"/>
      <c r="AE50" s="655"/>
      <c r="AF50" s="652"/>
      <c r="AG50" s="732">
        <f>AG48*AG49</f>
        <v>39342.080000000002</v>
      </c>
      <c r="AH50" s="654"/>
      <c r="AI50" s="655"/>
      <c r="AJ50" s="655"/>
      <c r="AK50" s="657"/>
      <c r="AL50" s="732">
        <f>AL48*AL49</f>
        <v>36147.712000000007</v>
      </c>
      <c r="AM50" s="654"/>
      <c r="AN50" s="655"/>
      <c r="AO50" s="655"/>
      <c r="AP50" s="652"/>
      <c r="AQ50" s="732">
        <f>AQ48*AQ49</f>
        <v>27276.160000000003</v>
      </c>
      <c r="AR50" s="654"/>
      <c r="AS50" s="655"/>
      <c r="AT50" s="655"/>
      <c r="AU50" s="657"/>
      <c r="AV50" s="732">
        <f>AV48*AV49</f>
        <v>0</v>
      </c>
      <c r="AW50" s="654"/>
      <c r="AX50" s="655"/>
      <c r="AY50" s="655"/>
      <c r="AZ50" s="652"/>
      <c r="BA50" s="732">
        <f>BA48*BA49</f>
        <v>0</v>
      </c>
      <c r="BB50" s="654"/>
      <c r="BC50" s="655"/>
      <c r="BD50" s="655"/>
      <c r="BE50" s="657"/>
      <c r="BF50" s="732">
        <f>BF48*BF49</f>
        <v>0</v>
      </c>
      <c r="BG50" s="654"/>
      <c r="BH50" s="655"/>
      <c r="BI50" s="655"/>
      <c r="BJ50" s="659"/>
      <c r="BK50" s="733"/>
      <c r="BL50" s="661"/>
      <c r="BM50" s="662"/>
      <c r="BN50" s="663"/>
      <c r="BO50" s="663"/>
      <c r="BP50" s="663"/>
      <c r="BQ50" s="664"/>
      <c r="BR50" s="733"/>
      <c r="BS50" s="661"/>
      <c r="BT50" s="662"/>
      <c r="BU50" s="663"/>
      <c r="BV50" s="663"/>
      <c r="BW50" s="663"/>
    </row>
    <row r="51" spans="1:75" outlineLevel="1">
      <c r="A51" s="734" t="s">
        <v>387</v>
      </c>
      <c r="B51" s="735"/>
      <c r="C51" s="736">
        <f>IF(C5=0,0,C48/C5*1000)</f>
        <v>35.164421387331608</v>
      </c>
      <c r="D51" s="737"/>
      <c r="E51" s="737"/>
      <c r="F51" s="738"/>
      <c r="G51" s="739"/>
      <c r="H51" s="736">
        <f>IF(H5=0,0,H48/H5*1000)</f>
        <v>23.222434248734753</v>
      </c>
      <c r="I51" s="737"/>
      <c r="J51" s="737"/>
      <c r="K51" s="737"/>
      <c r="L51" s="735"/>
      <c r="M51" s="740">
        <f>IF(M5=0,0,M48/M5*1000)</f>
        <v>8.5104639122567676</v>
      </c>
      <c r="N51" s="737"/>
      <c r="O51" s="737"/>
      <c r="P51" s="737"/>
      <c r="Q51" s="739"/>
      <c r="R51" s="740">
        <f>IF(R5=0,0,R48/R5*1000)</f>
        <v>14.577277647689472</v>
      </c>
      <c r="S51" s="737"/>
      <c r="T51" s="737"/>
      <c r="U51" s="737"/>
      <c r="V51" s="735"/>
      <c r="W51" s="740">
        <f>IF(W5=0,0,W48/W5*1000)</f>
        <v>13.693305827129489</v>
      </c>
      <c r="X51" s="737"/>
      <c r="Y51" s="737"/>
      <c r="Z51" s="737"/>
      <c r="AA51" s="739"/>
      <c r="AB51" s="740">
        <f>IF(AB5=0,0,AB48/AB5*1000)</f>
        <v>13.50101926011741</v>
      </c>
      <c r="AC51" s="737"/>
      <c r="AD51" s="737"/>
      <c r="AE51" s="737"/>
      <c r="AF51" s="735"/>
      <c r="AG51" s="740">
        <f>IF(AG5=0,0,AG48/AG5*1000)</f>
        <v>14.419587669976472</v>
      </c>
      <c r="AH51" s="737"/>
      <c r="AI51" s="737"/>
      <c r="AJ51" s="737"/>
      <c r="AK51" s="739"/>
      <c r="AL51" s="740">
        <f>IF(AL5=0,0,AL48/AL5*1000)</f>
        <v>15.192350781246427</v>
      </c>
      <c r="AM51" s="737"/>
      <c r="AN51" s="737"/>
      <c r="AO51" s="737"/>
      <c r="AP51" s="735"/>
      <c r="AQ51" s="740">
        <f>IF(AQ5=0,0,AQ48/AQ5*1000)</f>
        <v>12.91196481270698</v>
      </c>
      <c r="AR51" s="737"/>
      <c r="AS51" s="737"/>
      <c r="AT51" s="737"/>
      <c r="AU51" s="739"/>
      <c r="AV51" s="740">
        <f>IF(AV5=0,0,AV48/AV5*1000)</f>
        <v>0</v>
      </c>
      <c r="AW51" s="737"/>
      <c r="AX51" s="737"/>
      <c r="AY51" s="737"/>
      <c r="AZ51" s="735"/>
      <c r="BA51" s="740">
        <f>IF(BA5=0,0,BA48/BA5*1000)</f>
        <v>0</v>
      </c>
      <c r="BB51" s="737"/>
      <c r="BC51" s="737"/>
      <c r="BD51" s="737"/>
      <c r="BE51" s="739"/>
      <c r="BF51" s="740">
        <f>IF(BF5=0,0,BF48/BF5*1000)</f>
        <v>0</v>
      </c>
      <c r="BG51" s="737"/>
      <c r="BH51" s="737"/>
      <c r="BI51" s="737"/>
      <c r="BJ51" s="741"/>
      <c r="BK51" s="742"/>
      <c r="BL51" s="743"/>
      <c r="BM51" s="743"/>
      <c r="BN51" s="744"/>
      <c r="BO51" s="744"/>
      <c r="BP51" s="744"/>
      <c r="BQ51" s="745"/>
      <c r="BR51" s="742"/>
      <c r="BS51" s="743"/>
      <c r="BT51" s="743"/>
      <c r="BU51" s="744"/>
      <c r="BV51" s="744"/>
      <c r="BW51" s="744"/>
    </row>
    <row r="52" spans="1:75" outlineLevel="1">
      <c r="A52" s="746" t="s">
        <v>388</v>
      </c>
      <c r="B52" s="652"/>
      <c r="C52" s="747">
        <f>IF(C5=0,0,C50/C5*1000)</f>
        <v>191.29445234708396</v>
      </c>
      <c r="D52" s="748"/>
      <c r="E52" s="749"/>
      <c r="F52" s="750"/>
      <c r="G52" s="751"/>
      <c r="H52" s="747">
        <f>IF(H5=0,0,H50/H5*1000)</f>
        <v>126.33004231311706</v>
      </c>
      <c r="I52" s="748"/>
      <c r="J52" s="749"/>
      <c r="K52" s="749"/>
      <c r="L52" s="652"/>
      <c r="M52" s="752">
        <f>IF(M5=0,0,M50/M5*1000)</f>
        <v>46.29692368267682</v>
      </c>
      <c r="N52" s="748"/>
      <c r="O52" s="749"/>
      <c r="P52" s="749"/>
      <c r="Q52" s="751"/>
      <c r="R52" s="752">
        <f>IF(R5=0,0,R50/R5*1000)</f>
        <v>79.300390403430725</v>
      </c>
      <c r="S52" s="748"/>
      <c r="T52" s="749"/>
      <c r="U52" s="749"/>
      <c r="V52" s="652"/>
      <c r="W52" s="752">
        <f>IF(W5=0,0,W50/W5*1000)</f>
        <v>74.491583699584424</v>
      </c>
      <c r="X52" s="748"/>
      <c r="Y52" s="749"/>
      <c r="Z52" s="749"/>
      <c r="AA52" s="751"/>
      <c r="AB52" s="752">
        <f>IF(AB5=0,0,AB50/AB5*1000)</f>
        <v>73.445544775038712</v>
      </c>
      <c r="AC52" s="748"/>
      <c r="AD52" s="749"/>
      <c r="AE52" s="749"/>
      <c r="AF52" s="652"/>
      <c r="AG52" s="752">
        <f>IF(AG5=0,0,AG50/AG5*1000)</f>
        <v>78.442556924672019</v>
      </c>
      <c r="AH52" s="748"/>
      <c r="AI52" s="749"/>
      <c r="AJ52" s="749"/>
      <c r="AK52" s="751"/>
      <c r="AL52" s="752">
        <f>IF(AL5=0,0,AL50/AL5*1000)</f>
        <v>82.646388249980575</v>
      </c>
      <c r="AM52" s="748"/>
      <c r="AN52" s="749"/>
      <c r="AO52" s="749"/>
      <c r="AP52" s="652"/>
      <c r="AQ52" s="752">
        <f>IF(AQ5=0,0,AQ50/AQ5*1000)</f>
        <v>70.241088581125993</v>
      </c>
      <c r="AR52" s="748"/>
      <c r="AS52" s="749"/>
      <c r="AT52" s="749"/>
      <c r="AU52" s="751"/>
      <c r="AV52" s="752">
        <f>IF(AV5=0,0,AV50/AV5*1000)</f>
        <v>0</v>
      </c>
      <c r="AW52" s="748"/>
      <c r="AX52" s="749"/>
      <c r="AY52" s="749"/>
      <c r="AZ52" s="652"/>
      <c r="BA52" s="752">
        <f>IF(BA5=0,0,BA50/BA5*1000)</f>
        <v>0</v>
      </c>
      <c r="BB52" s="748"/>
      <c r="BC52" s="749"/>
      <c r="BD52" s="749"/>
      <c r="BE52" s="751"/>
      <c r="BF52" s="752">
        <f>IF(BF5=0,0,BF50/BF5*1000)</f>
        <v>0</v>
      </c>
      <c r="BG52" s="748"/>
      <c r="BH52" s="749"/>
      <c r="BI52" s="749"/>
      <c r="BJ52" s="659"/>
      <c r="BK52" s="753"/>
      <c r="BL52" s="754"/>
      <c r="BM52" s="755"/>
      <c r="BN52" s="756"/>
      <c r="BO52" s="756"/>
      <c r="BP52" s="756"/>
      <c r="BQ52" s="664"/>
      <c r="BR52" s="753"/>
      <c r="BS52" s="754"/>
      <c r="BT52" s="755"/>
      <c r="BU52" s="756"/>
      <c r="BV52" s="756"/>
      <c r="BW52" s="756"/>
    </row>
    <row r="53" spans="1:75" outlineLevel="1">
      <c r="A53" s="757"/>
      <c r="B53" s="606"/>
      <c r="C53" s="758"/>
      <c r="D53" s="759"/>
      <c r="E53" s="760"/>
      <c r="F53" s="761"/>
      <c r="G53" s="610"/>
      <c r="H53" s="758"/>
      <c r="I53" s="759"/>
      <c r="J53" s="760"/>
      <c r="K53" s="760"/>
      <c r="L53" s="606"/>
      <c r="M53" s="762"/>
      <c r="N53" s="759"/>
      <c r="O53" s="760"/>
      <c r="P53" s="760"/>
      <c r="Q53" s="610"/>
      <c r="R53" s="762"/>
      <c r="S53" s="759"/>
      <c r="T53" s="760"/>
      <c r="U53" s="760"/>
      <c r="V53" s="606"/>
      <c r="W53" s="762"/>
      <c r="X53" s="759"/>
      <c r="Y53" s="760"/>
      <c r="Z53" s="760"/>
      <c r="AA53" s="610"/>
      <c r="AB53" s="762"/>
      <c r="AC53" s="759"/>
      <c r="AD53" s="760"/>
      <c r="AE53" s="760"/>
      <c r="AF53" s="606"/>
      <c r="AG53" s="762"/>
      <c r="AH53" s="759"/>
      <c r="AI53" s="760"/>
      <c r="AJ53" s="760"/>
      <c r="AK53" s="610"/>
      <c r="AL53" s="762"/>
      <c r="AM53" s="759"/>
      <c r="AN53" s="760"/>
      <c r="AO53" s="760"/>
      <c r="AP53" s="606"/>
      <c r="AQ53" s="762"/>
      <c r="AR53" s="759"/>
      <c r="AS53" s="760"/>
      <c r="AT53" s="760"/>
      <c r="AU53" s="610"/>
      <c r="AV53" s="762"/>
      <c r="AW53" s="759"/>
      <c r="AX53" s="760"/>
      <c r="AY53" s="760"/>
      <c r="AZ53" s="606"/>
      <c r="BA53" s="762"/>
      <c r="BB53" s="759"/>
      <c r="BC53" s="760"/>
      <c r="BD53" s="760"/>
      <c r="BE53" s="610"/>
      <c r="BF53" s="762"/>
      <c r="BG53" s="759"/>
      <c r="BH53" s="760"/>
      <c r="BI53" s="760"/>
      <c r="BJ53" s="611"/>
      <c r="BK53" s="763"/>
      <c r="BL53" s="764"/>
      <c r="BM53" s="765"/>
      <c r="BN53" s="766"/>
      <c r="BO53" s="766"/>
      <c r="BP53" s="766"/>
      <c r="BQ53" s="616"/>
      <c r="BR53" s="763"/>
      <c r="BS53" s="764"/>
      <c r="BT53" s="765"/>
      <c r="BU53" s="766"/>
      <c r="BV53" s="766"/>
      <c r="BW53" s="766"/>
    </row>
    <row r="54" spans="1:75" outlineLevel="1">
      <c r="A54" s="767"/>
      <c r="B54" s="606"/>
      <c r="C54" s="768"/>
      <c r="D54" s="769"/>
      <c r="E54" s="770"/>
      <c r="F54" s="771"/>
      <c r="G54" s="610"/>
      <c r="H54" s="768"/>
      <c r="I54" s="769"/>
      <c r="J54" s="770"/>
      <c r="K54" s="771"/>
      <c r="L54" s="606"/>
      <c r="M54" s="772"/>
      <c r="N54" s="769"/>
      <c r="O54" s="770"/>
      <c r="P54" s="771"/>
      <c r="Q54" s="610"/>
      <c r="R54" s="772"/>
      <c r="S54" s="769"/>
      <c r="T54" s="770"/>
      <c r="U54" s="771"/>
      <c r="V54" s="606"/>
      <c r="W54" s="772"/>
      <c r="X54" s="769"/>
      <c r="Y54" s="770"/>
      <c r="Z54" s="771"/>
      <c r="AA54" s="610"/>
      <c r="AB54" s="772"/>
      <c r="AC54" s="769"/>
      <c r="AD54" s="770"/>
      <c r="AE54" s="771"/>
      <c r="AF54" s="606"/>
      <c r="AG54" s="772"/>
      <c r="AH54" s="769"/>
      <c r="AI54" s="770"/>
      <c r="AJ54" s="771"/>
      <c r="AK54" s="610"/>
      <c r="AL54" s="772"/>
      <c r="AM54" s="769"/>
      <c r="AN54" s="770"/>
      <c r="AO54" s="771"/>
      <c r="AP54" s="606"/>
      <c r="AQ54" s="772"/>
      <c r="AR54" s="769"/>
      <c r="AS54" s="770"/>
      <c r="AT54" s="771"/>
      <c r="AU54" s="610"/>
      <c r="AV54" s="772"/>
      <c r="AW54" s="769"/>
      <c r="AX54" s="770"/>
      <c r="AY54" s="771"/>
      <c r="AZ54" s="606"/>
      <c r="BA54" s="772"/>
      <c r="BB54" s="769"/>
      <c r="BC54" s="770"/>
      <c r="BD54" s="771"/>
      <c r="BE54" s="610"/>
      <c r="BF54" s="772"/>
      <c r="BG54" s="769"/>
      <c r="BH54" s="770"/>
      <c r="BI54" s="771"/>
      <c r="BJ54" s="611"/>
      <c r="BK54" s="773"/>
      <c r="BL54" s="774"/>
      <c r="BM54" s="775"/>
      <c r="BN54" s="776"/>
      <c r="BO54" s="776"/>
      <c r="BP54" s="776"/>
      <c r="BQ54" s="616"/>
      <c r="BR54" s="773"/>
      <c r="BS54" s="774"/>
      <c r="BT54" s="775"/>
      <c r="BU54" s="776"/>
      <c r="BV54" s="776"/>
      <c r="BW54" s="776"/>
    </row>
    <row r="55" spans="1:75" outlineLevel="1">
      <c r="A55" s="767"/>
      <c r="B55" s="606"/>
      <c r="C55" s="777">
        <f>C60/(C28+C32)*1000</f>
        <v>1672.1777252201191</v>
      </c>
      <c r="D55" s="778">
        <f>C60/(D28+D32)</f>
        <v>1.4953053577685314E-2</v>
      </c>
      <c r="E55" s="770"/>
      <c r="F55" s="771"/>
      <c r="G55" s="610"/>
      <c r="H55" s="777">
        <f>H60/(H28+H32)*1000</f>
        <v>1639.9498210176425</v>
      </c>
      <c r="I55" s="778">
        <f>H60/(I28+I32)</f>
        <v>1.4916693763075882E-2</v>
      </c>
      <c r="J55" s="770"/>
      <c r="K55" s="771"/>
      <c r="L55" s="606"/>
      <c r="M55" s="779">
        <f>M60/(M28+M32)*1000</f>
        <v>1578.7752044885272</v>
      </c>
      <c r="N55" s="778">
        <f>M60/(N28+N32)</f>
        <v>1.5713698179360122E-2</v>
      </c>
      <c r="O55" s="770"/>
      <c r="P55" s="771"/>
      <c r="Q55" s="610"/>
      <c r="R55" s="779">
        <f>R60/(R28+R32)*1000</f>
        <v>1546.9337697795263</v>
      </c>
      <c r="S55" s="778">
        <f>R60/(S28+S32)</f>
        <v>1.550732239186439E-2</v>
      </c>
      <c r="T55" s="770"/>
      <c r="U55" s="771"/>
      <c r="V55" s="606"/>
      <c r="W55" s="779">
        <f>W60/(W28+W32)*1000</f>
        <v>1218.9388643565517</v>
      </c>
      <c r="X55" s="778">
        <f>W60/(X28+X32)</f>
        <v>1.2139249082837004E-2</v>
      </c>
      <c r="Y55" s="770"/>
      <c r="Z55" s="771"/>
      <c r="AA55" s="610"/>
      <c r="AB55" s="779">
        <f>AB60/(AB28+AB32)*1000</f>
        <v>1919.6886286239062</v>
      </c>
      <c r="AC55" s="769"/>
      <c r="AD55" s="770"/>
      <c r="AE55" s="771"/>
      <c r="AF55" s="606"/>
      <c r="AG55" s="772"/>
      <c r="AH55" s="769"/>
      <c r="AI55" s="770"/>
      <c r="AJ55" s="771"/>
      <c r="AK55" s="610"/>
      <c r="AL55" s="772"/>
      <c r="AM55" s="769"/>
      <c r="AN55" s="770"/>
      <c r="AO55" s="771"/>
      <c r="AP55" s="606"/>
      <c r="AQ55" s="772"/>
      <c r="AR55" s="769"/>
      <c r="AS55" s="770"/>
      <c r="AT55" s="771"/>
      <c r="AU55" s="610"/>
      <c r="AV55" s="772"/>
      <c r="AW55" s="769"/>
      <c r="AX55" s="770"/>
      <c r="AY55" s="771"/>
      <c r="AZ55" s="606"/>
      <c r="BA55" s="772"/>
      <c r="BB55" s="769"/>
      <c r="BC55" s="770"/>
      <c r="BD55" s="771"/>
      <c r="BE55" s="610"/>
      <c r="BF55" s="772"/>
      <c r="BG55" s="769"/>
      <c r="BH55" s="770"/>
      <c r="BI55" s="771"/>
      <c r="BJ55" s="611"/>
      <c r="BK55" s="773"/>
      <c r="BL55" s="774"/>
      <c r="BM55" s="775"/>
      <c r="BN55" s="776"/>
      <c r="BO55" s="776"/>
      <c r="BP55" s="776"/>
      <c r="BQ55" s="616"/>
      <c r="BR55" s="773"/>
      <c r="BS55" s="774"/>
      <c r="BT55" s="775"/>
      <c r="BU55" s="776"/>
      <c r="BV55" s="776"/>
      <c r="BW55" s="776"/>
    </row>
    <row r="56" spans="1:75">
      <c r="A56" s="101"/>
      <c r="B56" s="606"/>
      <c r="C56" s="549" t="s">
        <v>335</v>
      </c>
      <c r="D56" s="550"/>
      <c r="E56" s="550"/>
      <c r="F56" s="550"/>
      <c r="G56" s="421"/>
      <c r="H56" s="549" t="s">
        <v>335</v>
      </c>
      <c r="I56" s="550"/>
      <c r="J56" s="550"/>
      <c r="K56" s="550"/>
      <c r="L56" s="606"/>
      <c r="M56" s="549" t="s">
        <v>335</v>
      </c>
      <c r="N56" s="550"/>
      <c r="O56" s="550"/>
      <c r="P56" s="550"/>
      <c r="Q56" s="421"/>
      <c r="R56" s="549" t="s">
        <v>335</v>
      </c>
      <c r="S56" s="550"/>
      <c r="T56" s="550"/>
      <c r="U56" s="550"/>
      <c r="V56" s="606"/>
      <c r="W56" s="549" t="s">
        <v>335</v>
      </c>
      <c r="X56" s="550"/>
      <c r="Y56" s="550"/>
      <c r="Z56" s="550"/>
      <c r="AA56" s="421"/>
      <c r="AB56" s="549" t="s">
        <v>335</v>
      </c>
      <c r="AC56" s="550"/>
      <c r="AD56" s="550"/>
      <c r="AE56" s="550"/>
      <c r="AF56" s="606"/>
      <c r="AG56" s="549" t="s">
        <v>335</v>
      </c>
      <c r="AH56" s="550"/>
      <c r="AI56" s="550"/>
      <c r="AJ56" s="550"/>
      <c r="AK56" s="421"/>
      <c r="AL56" s="549" t="s">
        <v>335</v>
      </c>
      <c r="AM56" s="550"/>
      <c r="AN56" s="550"/>
      <c r="AO56" s="550"/>
      <c r="AP56" s="606"/>
      <c r="AQ56" s="549" t="s">
        <v>335</v>
      </c>
      <c r="AR56" s="550"/>
      <c r="AS56" s="550"/>
      <c r="AT56" s="550"/>
      <c r="AU56" s="421"/>
      <c r="AV56" s="549" t="s">
        <v>335</v>
      </c>
      <c r="AW56" s="550"/>
      <c r="AX56" s="550"/>
      <c r="AY56" s="550"/>
      <c r="AZ56" s="606"/>
      <c r="BA56" s="549" t="s">
        <v>335</v>
      </c>
      <c r="BB56" s="550"/>
      <c r="BC56" s="550"/>
      <c r="BD56" s="550"/>
      <c r="BE56" s="421"/>
      <c r="BF56" s="549" t="s">
        <v>335</v>
      </c>
      <c r="BG56" s="550"/>
      <c r="BH56" s="550"/>
      <c r="BI56" s="550"/>
      <c r="BJ56" s="611"/>
      <c r="BK56" s="96" t="s">
        <v>65</v>
      </c>
      <c r="BL56" s="780">
        <v>9</v>
      </c>
      <c r="BM56" s="98"/>
      <c r="BN56" s="99"/>
      <c r="BO56" s="99"/>
      <c r="BP56" s="99"/>
      <c r="BQ56" s="616"/>
      <c r="BR56" s="96" t="s">
        <v>65</v>
      </c>
      <c r="BS56" s="97">
        <f>BL56-2</f>
        <v>7</v>
      </c>
      <c r="BT56" s="98"/>
      <c r="BU56" s="99"/>
      <c r="BV56" s="99"/>
      <c r="BW56" s="99"/>
    </row>
    <row r="57" spans="1:75" s="787" customFormat="1" ht="36.75" customHeight="1">
      <c r="A57" s="109" t="s">
        <v>27</v>
      </c>
      <c r="B57" s="781"/>
      <c r="C57" s="782" t="s">
        <v>13</v>
      </c>
      <c r="D57" s="783" t="s">
        <v>389</v>
      </c>
      <c r="E57" s="784" t="s">
        <v>69</v>
      </c>
      <c r="F57" s="784" t="s">
        <v>70</v>
      </c>
      <c r="G57" s="434"/>
      <c r="H57" s="782" t="s">
        <v>13</v>
      </c>
      <c r="I57" s="783" t="s">
        <v>389</v>
      </c>
      <c r="J57" s="784" t="s">
        <v>69</v>
      </c>
      <c r="K57" s="784" t="s">
        <v>70</v>
      </c>
      <c r="L57" s="781"/>
      <c r="M57" s="782" t="s">
        <v>13</v>
      </c>
      <c r="N57" s="783" t="s">
        <v>389</v>
      </c>
      <c r="O57" s="784" t="s">
        <v>69</v>
      </c>
      <c r="P57" s="784" t="s">
        <v>70</v>
      </c>
      <c r="Q57" s="434"/>
      <c r="R57" s="782" t="s">
        <v>13</v>
      </c>
      <c r="S57" s="783" t="s">
        <v>389</v>
      </c>
      <c r="T57" s="784" t="s">
        <v>69</v>
      </c>
      <c r="U57" s="784" t="s">
        <v>70</v>
      </c>
      <c r="V57" s="781"/>
      <c r="W57" s="782" t="s">
        <v>13</v>
      </c>
      <c r="X57" s="783" t="s">
        <v>389</v>
      </c>
      <c r="Y57" s="784" t="s">
        <v>69</v>
      </c>
      <c r="Z57" s="784" t="s">
        <v>70</v>
      </c>
      <c r="AA57" s="434"/>
      <c r="AB57" s="782" t="s">
        <v>13</v>
      </c>
      <c r="AC57" s="783" t="s">
        <v>389</v>
      </c>
      <c r="AD57" s="784" t="s">
        <v>69</v>
      </c>
      <c r="AE57" s="784" t="s">
        <v>70</v>
      </c>
      <c r="AF57" s="781"/>
      <c r="AG57" s="782" t="s">
        <v>13</v>
      </c>
      <c r="AH57" s="783" t="s">
        <v>389</v>
      </c>
      <c r="AI57" s="784" t="s">
        <v>69</v>
      </c>
      <c r="AJ57" s="784" t="s">
        <v>70</v>
      </c>
      <c r="AK57" s="434"/>
      <c r="AL57" s="782" t="s">
        <v>13</v>
      </c>
      <c r="AM57" s="783" t="s">
        <v>389</v>
      </c>
      <c r="AN57" s="784" t="s">
        <v>69</v>
      </c>
      <c r="AO57" s="784" t="s">
        <v>70</v>
      </c>
      <c r="AP57" s="781"/>
      <c r="AQ57" s="782" t="s">
        <v>13</v>
      </c>
      <c r="AR57" s="783" t="s">
        <v>389</v>
      </c>
      <c r="AS57" s="784" t="s">
        <v>69</v>
      </c>
      <c r="AT57" s="784" t="s">
        <v>70</v>
      </c>
      <c r="AU57" s="434"/>
      <c r="AV57" s="782" t="s">
        <v>13</v>
      </c>
      <c r="AW57" s="783" t="s">
        <v>389</v>
      </c>
      <c r="AX57" s="784" t="s">
        <v>69</v>
      </c>
      <c r="AY57" s="784" t="s">
        <v>70</v>
      </c>
      <c r="AZ57" s="781"/>
      <c r="BA57" s="782" t="s">
        <v>13</v>
      </c>
      <c r="BB57" s="783" t="s">
        <v>389</v>
      </c>
      <c r="BC57" s="784" t="s">
        <v>69</v>
      </c>
      <c r="BD57" s="784" t="s">
        <v>70</v>
      </c>
      <c r="BE57" s="434"/>
      <c r="BF57" s="782" t="s">
        <v>13</v>
      </c>
      <c r="BG57" s="783" t="s">
        <v>389</v>
      </c>
      <c r="BH57" s="784" t="s">
        <v>69</v>
      </c>
      <c r="BI57" s="784" t="s">
        <v>70</v>
      </c>
      <c r="BJ57" s="785"/>
      <c r="BK57" s="104"/>
      <c r="BL57" s="105" t="s">
        <v>67</v>
      </c>
      <c r="BM57" s="106" t="s">
        <v>68</v>
      </c>
      <c r="BN57" s="107" t="s">
        <v>69</v>
      </c>
      <c r="BO57" s="108" t="s">
        <v>70</v>
      </c>
      <c r="BP57" s="108" t="s">
        <v>71</v>
      </c>
      <c r="BQ57" s="786"/>
      <c r="BR57" s="104"/>
      <c r="BS57" s="105" t="s">
        <v>67</v>
      </c>
      <c r="BT57" s="106" t="s">
        <v>68</v>
      </c>
      <c r="BU57" s="107" t="s">
        <v>69</v>
      </c>
      <c r="BV57" s="108" t="s">
        <v>70</v>
      </c>
      <c r="BW57" s="108" t="s">
        <v>71</v>
      </c>
    </row>
    <row r="58" spans="1:75" s="282" customFormat="1" ht="15.75" customHeight="1">
      <c r="A58" s="117" t="s">
        <v>75</v>
      </c>
      <c r="B58" s="788"/>
      <c r="C58" s="789">
        <f>SUM(C59,C75,C79)</f>
        <v>-1768837.99</v>
      </c>
      <c r="D58" s="790">
        <f>SUM(D59,D75,D79)</f>
        <v>-8837.3252761275198</v>
      </c>
      <c r="E58" s="791">
        <f>SUM(E59,E75,E79)</f>
        <v>-10353.412638887266</v>
      </c>
      <c r="F58" s="792">
        <f>IF(C58=0,0,C58/C$151)</f>
        <v>-119.68817258869532</v>
      </c>
      <c r="G58" s="793"/>
      <c r="H58" s="789">
        <f>SUM(H59,H75,H79)</f>
        <v>-2756504.7500000005</v>
      </c>
      <c r="I58" s="790">
        <f>SUM(I59,I75,I79)</f>
        <v>-11434.932174562351</v>
      </c>
      <c r="J58" s="791">
        <f>SUM(J59,J75,J79)</f>
        <v>-11413.819496749353</v>
      </c>
      <c r="K58" s="794">
        <f>IF(H58=0,0,H58/H$151)</f>
        <v>192.64805884613418</v>
      </c>
      <c r="L58" s="788"/>
      <c r="M58" s="795">
        <f>SUM(M59,M75,M79)</f>
        <v>2676348.4299999997</v>
      </c>
      <c r="N58" s="790">
        <f>SUM(N59,N75,N79)</f>
        <v>7789.6603044254653</v>
      </c>
      <c r="O58" s="791">
        <f>SUM(O59,O75,O79)</f>
        <v>8094.4410890021582</v>
      </c>
      <c r="P58" s="794">
        <f>IF(M58=0,0,M58/M$151)</f>
        <v>0.41742877350178714</v>
      </c>
      <c r="Q58" s="793"/>
      <c r="R58" s="795">
        <f>SUM(R59,R75,R79)</f>
        <v>10569263.709999999</v>
      </c>
      <c r="S58" s="790">
        <f>SUM(S59,S75,S79)</f>
        <v>21931.655942172918</v>
      </c>
      <c r="T58" s="791">
        <f>SUM(T59,T75,T79)</f>
        <v>15581.087979613409</v>
      </c>
      <c r="U58" s="794">
        <f>IF(R58=0,0,R58/R$151)</f>
        <v>0.72110315003789582</v>
      </c>
      <c r="V58" s="788"/>
      <c r="W58" s="795">
        <f>SUM(W59,W75,W79)</f>
        <v>2454966.69</v>
      </c>
      <c r="X58" s="790">
        <f>SUM(X59,X75,X79)</f>
        <v>4881.6523255698066</v>
      </c>
      <c r="Y58" s="791">
        <f>SUM(Y59,Y75,Y79)</f>
        <v>4153.8478159623528</v>
      </c>
      <c r="Z58" s="794">
        <f>IF(W58=0,0,W58/W$151)</f>
        <v>0.42636283440854994</v>
      </c>
      <c r="AA58" s="793"/>
      <c r="AB58" s="795">
        <f>SUM(AB59,AB75,AB79)</f>
        <v>3091913.42</v>
      </c>
      <c r="AC58" s="790">
        <f>SUM(AC59,AC75,AC79)</f>
        <v>6883.3648951220321</v>
      </c>
      <c r="AD58" s="791">
        <f>SUM(AD59,AD75,AD79)</f>
        <v>6155.2207456790784</v>
      </c>
      <c r="AE58" s="794">
        <f>IF(AB58=0,0,AB58/AB$151)</f>
        <v>0.45978352497006358</v>
      </c>
      <c r="AF58" s="788"/>
      <c r="AG58" s="795">
        <f>SUM(AG59,AG75,AG79)</f>
        <v>2145974.42</v>
      </c>
      <c r="AH58" s="790">
        <f>SUM(AH59,AH75,AH79)</f>
        <v>4263.0522191649725</v>
      </c>
      <c r="AI58" s="791">
        <f>SUM(AI59,AI75,AI79)</f>
        <v>4455.9650123716528</v>
      </c>
      <c r="AJ58" s="794">
        <f>IF(AG58=0,0,AG58/AG$151)</f>
        <v>0.39505976768651335</v>
      </c>
      <c r="AK58" s="793"/>
      <c r="AL58" s="795">
        <f>SUM(AL59,AL75,AL79)</f>
        <v>2457336.25</v>
      </c>
      <c r="AM58" s="790">
        <f>SUM(AM59,AM75,AM79)</f>
        <v>5604.0726328256105</v>
      </c>
      <c r="AN58" s="791">
        <f>SUM(AN59,AN75,AN79)</f>
        <v>4515.4114349738602</v>
      </c>
      <c r="AO58" s="794">
        <f>IF(AL58=0,0,AL58/AL$151)</f>
        <v>0.39409173675911585</v>
      </c>
      <c r="AP58" s="788"/>
      <c r="AQ58" s="795">
        <f>SUM(AQ59,AQ75,AQ79)</f>
        <v>1554961.15</v>
      </c>
      <c r="AR58" s="790">
        <f>SUM(AR59,AR75,AR79)</f>
        <v>4004.3086665190231</v>
      </c>
      <c r="AS58" s="791">
        <f>SUM(AS59,AS75,AS79)</f>
        <v>3564.0132249968483</v>
      </c>
      <c r="AT58" s="794">
        <f>IF(AQ58=0,0,AQ58/AQ$151)</f>
        <v>0.35229730337838172</v>
      </c>
      <c r="AU58" s="793"/>
      <c r="AV58" s="795">
        <f>SUM(AV59,AV75,AV79)</f>
        <v>0</v>
      </c>
      <c r="AW58" s="790">
        <f>SUM(AW59,AW75,AW79)</f>
        <v>0</v>
      </c>
      <c r="AX58" s="791">
        <f>SUM(AX59,AX75,AX79)</f>
        <v>0</v>
      </c>
      <c r="AY58" s="794">
        <f>IF(AV58=0,0,AV58/AV$151)</f>
        <v>0</v>
      </c>
      <c r="AZ58" s="788"/>
      <c r="BA58" s="795">
        <f>SUM(BA59,BA75,BA79)</f>
        <v>0</v>
      </c>
      <c r="BB58" s="790">
        <f>SUM(BB59,BB75,BB79)</f>
        <v>0</v>
      </c>
      <c r="BC58" s="791">
        <f>SUM(BC59,BC75,BC79)</f>
        <v>0</v>
      </c>
      <c r="BD58" s="794">
        <f>IF(BA58=0,0,BA58/BA$151)</f>
        <v>0</v>
      </c>
      <c r="BE58" s="793"/>
      <c r="BF58" s="795">
        <f>SUM(BF59,BF75,BF79)</f>
        <v>0</v>
      </c>
      <c r="BG58" s="790">
        <f>SUM(BG59,BG75,BG79)</f>
        <v>0</v>
      </c>
      <c r="BH58" s="791">
        <f>SUM(BH59,BH75,BH79)</f>
        <v>0</v>
      </c>
      <c r="BI58" s="794">
        <f>IF(BF58=0,0,BF58/BF$151)</f>
        <v>0</v>
      </c>
      <c r="BJ58" s="796"/>
      <c r="BK58" s="112">
        <f>SUM(C58,H58,M58,R58,W58,AB58,AG58,AL58,AQ58,AV58,BA58,BF58)</f>
        <v>20425421.329999998</v>
      </c>
      <c r="BL58" s="113">
        <f t="shared" ref="BL58:BL64" si="69">BK58/$BL$56</f>
        <v>2269491.2588888886</v>
      </c>
      <c r="BM58" s="114">
        <f t="shared" ref="BM58:BM64" si="70">BK58/$BL$5*1000</f>
        <v>5779.8885809879275</v>
      </c>
      <c r="BN58" s="115">
        <f t="shared" ref="BN58:BN64" si="71">BK58/$BK$27*1000</f>
        <v>5153.5869194574589</v>
      </c>
      <c r="BO58" s="116">
        <f t="shared" ref="BO58:BO64" si="72">BK58/$BK$151</f>
        <v>0.41152953288559196</v>
      </c>
      <c r="BP58" s="116">
        <f t="shared" ref="BP58:BP64" si="73">BK58/$BL$27</f>
        <v>5.5440736489884582E-2</v>
      </c>
      <c r="BQ58" s="797"/>
      <c r="BR58" s="112">
        <f t="shared" ref="BR58:BR64" si="74">SUM(M58,R58,W58,AB58,AG58,AL58,AQ58,AV58,BA58,BF58)</f>
        <v>24950764.07</v>
      </c>
      <c r="BS58" s="113">
        <f t="shared" ref="BS58:BS64" si="75">BR58/$BS$56</f>
        <v>3564394.8671428571</v>
      </c>
      <c r="BT58" s="114">
        <f t="shared" ref="BT58:BT64" si="76">BR58/$BS$5*1000</f>
        <v>8044.4762894210626</v>
      </c>
      <c r="BU58" s="115">
        <f t="shared" ref="BU58:BU64" si="77">BR58/$BR$27*1000</f>
        <v>7011.360759896952</v>
      </c>
      <c r="BV58" s="116">
        <f t="shared" ref="BV58:BV64" si="78">BR58/$BR$151</f>
        <v>0.50271048984425026</v>
      </c>
      <c r="BW58" s="116">
        <f t="shared" ref="BW58:BW64" si="79">BR58/$BS$27</f>
        <v>7.6745653799085864E-2</v>
      </c>
    </row>
    <row r="59" spans="1:75" ht="22.5">
      <c r="A59" s="123" t="s">
        <v>390</v>
      </c>
      <c r="B59" s="489"/>
      <c r="C59" s="798">
        <f>SUM(C60,C64,C70,C72)</f>
        <v>-2037005.45</v>
      </c>
      <c r="D59" s="799">
        <f>SUM(D60,D64,D70,D72)</f>
        <v>-10239.757394778679</v>
      </c>
      <c r="E59" s="799">
        <f>SUM(E60,E64,E70,E72)</f>
        <v>-11996.439003623153</v>
      </c>
      <c r="F59" s="800">
        <f>IF(C59=0,0,C59/C$151)</f>
        <v>-137.83368586724723</v>
      </c>
      <c r="G59" s="801"/>
      <c r="H59" s="798">
        <f>SUM(H60,H64,H70,H72)</f>
        <v>-3129535.5700000003</v>
      </c>
      <c r="I59" s="799">
        <f>SUM(I60,I64,I70,I72)</f>
        <v>-12982.392640836308</v>
      </c>
      <c r="J59" s="799">
        <f>SUM(J60,J64,J70,J72)</f>
        <v>-12958.422837702929</v>
      </c>
      <c r="K59" s="802">
        <f>IF(H59=0,0,H59/H$151)</f>
        <v>218.71863367927446</v>
      </c>
      <c r="L59" s="489"/>
      <c r="M59" s="803">
        <f>SUM(M60,M64,M70,M72)</f>
        <v>2200571.88</v>
      </c>
      <c r="N59" s="799">
        <f>SUM(N60,N64,N70,N72)</f>
        <v>6404.8863102144433</v>
      </c>
      <c r="O59" s="799">
        <f>SUM(O60,O64,O70,O72)</f>
        <v>6655.4859767548005</v>
      </c>
      <c r="P59" s="802">
        <f>IF(M59=0,0,M59/M$151)</f>
        <v>0.34322213452264205</v>
      </c>
      <c r="Q59" s="801"/>
      <c r="R59" s="803">
        <f>SUM(R60,R64,R70,R72)</f>
        <v>9878798.0899999999</v>
      </c>
      <c r="S59" s="799">
        <f>SUM(S60,S64,S70,S72)</f>
        <v>20497.062292098224</v>
      </c>
      <c r="T59" s="799">
        <f>SUM(T60,T64,T70,T72)</f>
        <v>14561.897730790186</v>
      </c>
      <c r="U59" s="802">
        <f>IF(R59=0,0,R59/R$151)</f>
        <v>0.67399514448176723</v>
      </c>
      <c r="V59" s="489"/>
      <c r="W59" s="803">
        <f>SUM(W60,W64,W70,W72)</f>
        <v>1731701.3599999999</v>
      </c>
      <c r="X59" s="799">
        <f>SUM(X60,X64,X70,X72)</f>
        <v>3440.0375718798896</v>
      </c>
      <c r="Y59" s="799">
        <f>SUM(Y60,Y64,Y70,Y72)</f>
        <v>2927.1631000705884</v>
      </c>
      <c r="Z59" s="802">
        <f>IF(W59=0,0,W59/W$151)</f>
        <v>0.30075076098028064</v>
      </c>
      <c r="AA59" s="801"/>
      <c r="AB59" s="803">
        <f>SUM(AB60,AB64,AB70,AB72)</f>
        <v>2416823.7000000002</v>
      </c>
      <c r="AC59" s="799">
        <f>SUM(AC60,AC64,AC70,AC72)</f>
        <v>5379.3386060086214</v>
      </c>
      <c r="AD59" s="799">
        <f>SUM(AD60,AD64,AD70,AD72)</f>
        <v>4810.2951231310008</v>
      </c>
      <c r="AE59" s="802">
        <f>IF(AB59=0,0,AB59/AB$151)</f>
        <v>0.3593941902866063</v>
      </c>
      <c r="AF59" s="489"/>
      <c r="AG59" s="803">
        <f>SUM(AG60,AG64,AG70,AG72)</f>
        <v>1436198.52</v>
      </c>
      <c r="AH59" s="799">
        <f>SUM(AH60,AH64,AH70,AH72)</f>
        <v>2847.8592136220445</v>
      </c>
      <c r="AI59" s="799">
        <f>SUM(AI60,AI64,AI70,AI72)</f>
        <v>2976.7313097904612</v>
      </c>
      <c r="AJ59" s="802">
        <f>IF(AG59=0,0,AG59/AG$151)</f>
        <v>0.26439469565667717</v>
      </c>
      <c r="AK59" s="801"/>
      <c r="AL59" s="803">
        <f>SUM(AL60,AL64,AL70,AL72)</f>
        <v>1817733.51</v>
      </c>
      <c r="AM59" s="799">
        <f>SUM(AM60,AM64,AM70,AM72)</f>
        <v>4141.7157241562218</v>
      </c>
      <c r="AN59" s="799">
        <f>SUM(AN60,AN64,AN70,AN72)</f>
        <v>3337.1356451953407</v>
      </c>
      <c r="AO59" s="802">
        <f>IF(AL59=0,0,AL59/AL$151)</f>
        <v>0.29151637506716621</v>
      </c>
      <c r="AP59" s="489"/>
      <c r="AQ59" s="803">
        <f>SUM(AQ60,AQ64,AQ70,AQ72)</f>
        <v>1004676.9299999999</v>
      </c>
      <c r="AR59" s="799">
        <f>SUM(AR60,AR64,AR70,AR72)</f>
        <v>2587.2263997404216</v>
      </c>
      <c r="AS59" s="799">
        <f>SUM(AS60,AS64,AS70,AS72)</f>
        <v>2302.7468341374529</v>
      </c>
      <c r="AT59" s="802">
        <f>IF(AQ59=0,0,AQ59/AQ$151)</f>
        <v>0.22762303302913464</v>
      </c>
      <c r="AU59" s="801"/>
      <c r="AV59" s="803">
        <f>SUM(AV60,AV64,AV70,AV72)</f>
        <v>0</v>
      </c>
      <c r="AW59" s="799">
        <f>SUM(AW60,AW64,AW70,AW72)</f>
        <v>0</v>
      </c>
      <c r="AX59" s="799">
        <f>SUM(AX60,AX64,AX70,AX72)</f>
        <v>0</v>
      </c>
      <c r="AY59" s="802">
        <f>IF(AV59=0,0,AV59/AV$151)</f>
        <v>0</v>
      </c>
      <c r="AZ59" s="489"/>
      <c r="BA59" s="803">
        <f>SUM(BA60,BA64,BA70,BA72)</f>
        <v>0</v>
      </c>
      <c r="BB59" s="799">
        <f>SUM(BB60,BB64,BB70,BB72)</f>
        <v>0</v>
      </c>
      <c r="BC59" s="799">
        <f>SUM(BC60,BC64,BC70,BC72)</f>
        <v>0</v>
      </c>
      <c r="BD59" s="802">
        <f>IF(BA59=0,0,BA59/BA$151)</f>
        <v>0</v>
      </c>
      <c r="BE59" s="801"/>
      <c r="BF59" s="803">
        <f>SUM(BF60,BF64,BF70,BF72)</f>
        <v>0</v>
      </c>
      <c r="BG59" s="799">
        <f>SUM(BG60,BG64,BG70,BG72)</f>
        <v>0</v>
      </c>
      <c r="BH59" s="799">
        <f>SUM(BH60,BH64,BH70,BH72)</f>
        <v>0</v>
      </c>
      <c r="BI59" s="802">
        <f>IF(BF59=0,0,BF59/BF$151)</f>
        <v>0</v>
      </c>
      <c r="BJ59" s="571"/>
      <c r="BK59" s="803">
        <f>SUM(BK60,BK64,BK70,BK72)</f>
        <v>15319962.970000001</v>
      </c>
      <c r="BL59" s="120">
        <f t="shared" si="69"/>
        <v>1702218.1077777778</v>
      </c>
      <c r="BM59" s="121">
        <f t="shared" si="70"/>
        <v>4335.1702567528337</v>
      </c>
      <c r="BN59" s="121">
        <f t="shared" si="71"/>
        <v>3865.4165068703951</v>
      </c>
      <c r="BO59" s="122">
        <f t="shared" si="72"/>
        <v>0.30866522178461553</v>
      </c>
      <c r="BP59" s="122">
        <f t="shared" si="73"/>
        <v>4.1582987020545324E-2</v>
      </c>
      <c r="BQ59" s="575"/>
      <c r="BR59" s="119">
        <f t="shared" si="74"/>
        <v>20486503.989999998</v>
      </c>
      <c r="BS59" s="120">
        <f t="shared" si="75"/>
        <v>2926643.4271428571</v>
      </c>
      <c r="BT59" s="121">
        <f t="shared" si="76"/>
        <v>6605.1362250200218</v>
      </c>
      <c r="BU59" s="121">
        <f t="shared" si="77"/>
        <v>5756.8685984917147</v>
      </c>
      <c r="BV59" s="122">
        <f t="shared" si="78"/>
        <v>0.4127641312753228</v>
      </c>
      <c r="BW59" s="122">
        <f t="shared" si="79"/>
        <v>6.3014108039302658E-2</v>
      </c>
    </row>
    <row r="60" spans="1:75" s="297" customFormat="1" ht="11.25" outlineLevel="1">
      <c r="A60" s="804" t="s">
        <v>29</v>
      </c>
      <c r="B60" s="805"/>
      <c r="C60" s="320">
        <f>SUM(C61:C63)</f>
        <v>272911.11</v>
      </c>
      <c r="D60" s="806">
        <f>SUM(D61:D63)</f>
        <v>1427.2399276211195</v>
      </c>
      <c r="E60" s="806">
        <f>SUM(E61:E63)</f>
        <v>1672.0900774439056</v>
      </c>
      <c r="F60" s="807">
        <f>SUM(F61:F63)</f>
        <v>18.466491685342202</v>
      </c>
      <c r="G60" s="808"/>
      <c r="H60" s="320">
        <f>SUM(H61:H63)</f>
        <v>359175.25</v>
      </c>
      <c r="I60" s="806">
        <f>SUM(I61:I63)</f>
        <v>1489.9827843690366</v>
      </c>
      <c r="J60" s="806">
        <f>SUM(J61:J63)</f>
        <v>1487.2317819150589</v>
      </c>
      <c r="K60" s="809">
        <f>SUM(K61:K63)</f>
        <v>-25.102229444035942</v>
      </c>
      <c r="L60" s="805"/>
      <c r="M60" s="810">
        <f>SUM(M61:M63)</f>
        <v>517473.57</v>
      </c>
      <c r="N60" s="806">
        <f>SUM(N61:N63)</f>
        <v>1506.1354798329949</v>
      </c>
      <c r="O60" s="806">
        <f>SUM(O61:O63)</f>
        <v>1565.0650268584925</v>
      </c>
      <c r="P60" s="809">
        <f>SUM(P61:P63)</f>
        <v>8.0710103073048364E-2</v>
      </c>
      <c r="Q60" s="808"/>
      <c r="R60" s="810">
        <f>SUM(R61:R63)</f>
        <v>843091.28</v>
      </c>
      <c r="S60" s="806">
        <f>SUM(S61:S63)</f>
        <v>1751.706908623989</v>
      </c>
      <c r="T60" s="806">
        <f>SUM(T61:T63)</f>
        <v>1244.4796475802657</v>
      </c>
      <c r="U60" s="809">
        <f>SUM(U61:U63)</f>
        <v>5.7521109744122542E-2</v>
      </c>
      <c r="V60" s="805"/>
      <c r="W60" s="810">
        <f>SUM(W61:W63)</f>
        <v>664701.99</v>
      </c>
      <c r="X60" s="806">
        <f>SUM(X61:X63)</f>
        <v>1324.8861183364729</v>
      </c>
      <c r="Y60" s="806">
        <f>SUM(Y61:Y63)</f>
        <v>1127.3591280199207</v>
      </c>
      <c r="Z60" s="809">
        <f>SUM(Z61:Z63)</f>
        <v>0.11544116897708441</v>
      </c>
      <c r="AA60" s="808"/>
      <c r="AB60" s="810">
        <f>SUM(AB61:AB63)</f>
        <v>838230.12</v>
      </c>
      <c r="AC60" s="806">
        <f>SUM(AC61:AC63)</f>
        <v>1867.4853126287999</v>
      </c>
      <c r="AD60" s="806">
        <f>SUM(AD61:AD63)</f>
        <v>1669.9367988888207</v>
      </c>
      <c r="AE60" s="809">
        <f>SUM(AE61:AE63)</f>
        <v>0.12464915634981766</v>
      </c>
      <c r="AF60" s="805"/>
      <c r="AG60" s="810">
        <f>SUM(AG61:AG63)</f>
        <v>706424.31</v>
      </c>
      <c r="AH60" s="806">
        <f>SUM(AH61:AH63)</f>
        <v>1408.5104079435341</v>
      </c>
      <c r="AI60" s="806">
        <f>SUM(AI61:AI63)</f>
        <v>1472.2487022659741</v>
      </c>
      <c r="AJ60" s="809">
        <f>SUM(AJ61:AJ63)</f>
        <v>0.13004806636824007</v>
      </c>
      <c r="AK60" s="808"/>
      <c r="AL60" s="810">
        <f>SUM(AL61:AL63)</f>
        <v>802335.38</v>
      </c>
      <c r="AM60" s="806">
        <f>SUM(AM61:AM63)</f>
        <v>1834.4209813936684</v>
      </c>
      <c r="AN60" s="806">
        <f>SUM(AN61:AN63)</f>
        <v>1478.0617630511538</v>
      </c>
      <c r="AO60" s="809">
        <f>SUM(AO61:AO63)</f>
        <v>0.12867337279034774</v>
      </c>
      <c r="AP60" s="805"/>
      <c r="AQ60" s="810">
        <f>SUM(AQ61:AQ63)</f>
        <v>55750</v>
      </c>
      <c r="AR60" s="806">
        <f>SUM(AR61:AR63)</f>
        <v>143.56642168097611</v>
      </c>
      <c r="AS60" s="806">
        <f>SUM(AS61:AS63)</f>
        <v>127.78051547691356</v>
      </c>
      <c r="AT60" s="809">
        <f>SUM(AT61:AT63)</f>
        <v>1.263091020849285E-2</v>
      </c>
      <c r="AU60" s="808"/>
      <c r="AV60" s="810">
        <f>SUM(AV61:AV63)</f>
        <v>0</v>
      </c>
      <c r="AW60" s="806">
        <f>SUM(AW61:AW63)</f>
        <v>0</v>
      </c>
      <c r="AX60" s="806">
        <f>SUM(AX61:AX63)</f>
        <v>0</v>
      </c>
      <c r="AY60" s="809">
        <f>SUM(AY61:AY63)</f>
        <v>0</v>
      </c>
      <c r="AZ60" s="805"/>
      <c r="BA60" s="810">
        <f>SUM(BA61:BA63)</f>
        <v>0</v>
      </c>
      <c r="BB60" s="806">
        <f>SUM(BB61:BB63)</f>
        <v>0</v>
      </c>
      <c r="BC60" s="806">
        <f>SUM(BC61:BC63)</f>
        <v>0</v>
      </c>
      <c r="BD60" s="809">
        <f>SUM(BD61:BD63)</f>
        <v>0</v>
      </c>
      <c r="BE60" s="808"/>
      <c r="BF60" s="810">
        <f>SUM(BF61:BF63)</f>
        <v>0</v>
      </c>
      <c r="BG60" s="806">
        <f>SUM(BG61:BG63)</f>
        <v>0</v>
      </c>
      <c r="BH60" s="806">
        <f>SUM(BH61:BH63)</f>
        <v>0</v>
      </c>
      <c r="BI60" s="809">
        <f>SUM(BI61:BI63)</f>
        <v>0</v>
      </c>
      <c r="BJ60" s="811"/>
      <c r="BK60" s="810">
        <f>SUM(C60,H60,M60,R60,W60,AB60,AG60,AL60,AQ60,AV60,BA60,BF60)</f>
        <v>5060093.0100000007</v>
      </c>
      <c r="BL60" s="323">
        <f t="shared" si="69"/>
        <v>562232.55666666676</v>
      </c>
      <c r="BM60" s="812">
        <f t="shared" si="70"/>
        <v>1431.8810532578541</v>
      </c>
      <c r="BN60" s="812">
        <f t="shared" si="71"/>
        <v>1276.72417260115</v>
      </c>
      <c r="BO60" s="813">
        <f t="shared" si="72"/>
        <v>0.10195029415155518</v>
      </c>
      <c r="BP60" s="813">
        <f t="shared" si="73"/>
        <v>1.3734614265688538E-2</v>
      </c>
      <c r="BQ60" s="814"/>
      <c r="BR60" s="810">
        <f t="shared" si="74"/>
        <v>4428006.6500000004</v>
      </c>
      <c r="BS60" s="323">
        <f t="shared" si="75"/>
        <v>632572.37857142859</v>
      </c>
      <c r="BT60" s="812">
        <f t="shared" si="76"/>
        <v>1427.6514500873877</v>
      </c>
      <c r="BU60" s="812">
        <f t="shared" si="77"/>
        <v>1244.3046627057768</v>
      </c>
      <c r="BV60" s="813">
        <f t="shared" si="78"/>
        <v>8.9215920835529663E-2</v>
      </c>
      <c r="BW60" s="813">
        <f t="shared" si="79"/>
        <v>1.3620034417685469E-2</v>
      </c>
    </row>
    <row r="61" spans="1:75" ht="11.25" outlineLevel="2">
      <c r="A61" s="131" t="s">
        <v>391</v>
      </c>
      <c r="B61" s="815"/>
      <c r="C61" s="306">
        <v>264711.11</v>
      </c>
      <c r="D61" s="816">
        <f>IF(C$5=0,0,C61/C$5*1000)</f>
        <v>1384.3564869048614</v>
      </c>
      <c r="E61" s="816">
        <f>IF(C$27=0,0,C61/C$27*1000)</f>
        <v>1621.8497679341899</v>
      </c>
      <c r="F61" s="817">
        <f>IF(C61=0,0,C61/C$151)</f>
        <v>17.911639844316728</v>
      </c>
      <c r="G61" s="463"/>
      <c r="H61" s="306">
        <v>344275.25</v>
      </c>
      <c r="I61" s="816">
        <f>IF(H$5=0,0,H61/H$5*1000)</f>
        <v>1428.1724466937692</v>
      </c>
      <c r="J61" s="816">
        <f>IF(H$27=0,0,H61/H$27*1000)</f>
        <v>1425.5355666259086</v>
      </c>
      <c r="K61" s="818">
        <f>IF(H61=0,0,H61/H$151)</f>
        <v>-24.060890379843364</v>
      </c>
      <c r="L61" s="815"/>
      <c r="M61" s="162">
        <v>488573.57</v>
      </c>
      <c r="N61" s="816">
        <f>IF(M$5=0,0,M61/M$5*1000)</f>
        <v>1422.0204295374338</v>
      </c>
      <c r="O61" s="816">
        <f>IF(M$27=0,0,M61/M$27*1000)</f>
        <v>1477.6588637259283</v>
      </c>
      <c r="P61" s="818">
        <f>IF(M61=0,0,M61/M$151)</f>
        <v>7.6202584015000449E-2</v>
      </c>
      <c r="Q61" s="463"/>
      <c r="R61" s="162">
        <v>799591.28</v>
      </c>
      <c r="S61" s="816">
        <f>IF(R$5=0,0,R61/R$5*1000)</f>
        <v>1661.3261250329838</v>
      </c>
      <c r="T61" s="816">
        <f>IF(R$27=0,0,R61/R$27*1000)</f>
        <v>1180.2696789162067</v>
      </c>
      <c r="U61" s="818">
        <f>IF(R61=0,0,R61/R$151)</f>
        <v>5.4553259959376418E-2</v>
      </c>
      <c r="V61" s="815"/>
      <c r="W61" s="162">
        <v>635201.99</v>
      </c>
      <c r="X61" s="816">
        <f>IF(W$5=0,0,W61/W$5*1000)</f>
        <v>1266.0866246100798</v>
      </c>
      <c r="Y61" s="816">
        <f>IF(W$27=0,0,W61/W$27*1000)</f>
        <v>1077.326038339254</v>
      </c>
      <c r="Z61" s="818">
        <f>IF(W61=0,0,W61/W$151)</f>
        <v>0.11031779860049808</v>
      </c>
      <c r="AA61" s="463"/>
      <c r="AB61" s="162">
        <v>795030.12</v>
      </c>
      <c r="AC61" s="816">
        <f>IF(AB$5=0,0,AB61/AB$5*1000)</f>
        <v>1771.2404228537055</v>
      </c>
      <c r="AD61" s="816">
        <f>IF(AB$27=0,0,AB61/AB$27*1000)</f>
        <v>1583.8729985185869</v>
      </c>
      <c r="AE61" s="818">
        <f>IF(AB61=0,0,AB61/AB$151)</f>
        <v>0.11822509280708535</v>
      </c>
      <c r="AF61" s="815"/>
      <c r="AG61" s="162">
        <v>648924.31000000006</v>
      </c>
      <c r="AH61" s="816">
        <f>IF(AG$5=0,0,AG61/AG$5*1000)</f>
        <v>1293.8635203572996</v>
      </c>
      <c r="AI61" s="816">
        <f>IF(AG$27=0,0,AG61/AG$27*1000)</f>
        <v>1352.4137826830206</v>
      </c>
      <c r="AJ61" s="818">
        <f>IF(AG61=0,0,AG61/AG$151)</f>
        <v>0.11946269478586376</v>
      </c>
      <c r="AK61" s="463"/>
      <c r="AL61" s="162">
        <v>737835.38</v>
      </c>
      <c r="AM61" s="816">
        <f>IF(AL$5=0,0,AL61/AL$5*1000)</f>
        <v>1686.951286987457</v>
      </c>
      <c r="AN61" s="816">
        <f>IF(AL$27=0,0,AL61/AL$27*1000)</f>
        <v>1359.2399011549485</v>
      </c>
      <c r="AO61" s="818">
        <f>IF(AL61=0,0,AL61/AL$151)</f>
        <v>0.11832927884676842</v>
      </c>
      <c r="AP61" s="815"/>
      <c r="AQ61" s="162">
        <v>5250</v>
      </c>
      <c r="AR61" s="816">
        <f>IF(AQ$5=0,0,AQ61/AQ$5*1000)</f>
        <v>13.519707871302682</v>
      </c>
      <c r="AS61" s="816">
        <f>IF(AQ$27=0,0,AQ61/AQ$27*1000)</f>
        <v>12.033142713072577</v>
      </c>
      <c r="AT61" s="818">
        <f>IF(AQ61=0,0,AQ61/AQ$151)</f>
        <v>1.1894579120105375E-3</v>
      </c>
      <c r="AU61" s="463"/>
      <c r="AV61" s="162"/>
      <c r="AW61" s="816">
        <f>IF(AV$5=0,0,AV61/AV$5*1000)</f>
        <v>0</v>
      </c>
      <c r="AX61" s="816">
        <f>IF(AV$27=0,0,AV61/AV$27*1000)</f>
        <v>0</v>
      </c>
      <c r="AY61" s="818">
        <f>IF(AV61=0,0,AV61/AV$151)</f>
        <v>0</v>
      </c>
      <c r="AZ61" s="815"/>
      <c r="BA61" s="162"/>
      <c r="BB61" s="816">
        <f>IF(BA$5=0,0,BA61/BA$5*1000)</f>
        <v>0</v>
      </c>
      <c r="BC61" s="816">
        <f>IF(BA$27=0,0,BA61/BA$27*1000)</f>
        <v>0</v>
      </c>
      <c r="BD61" s="818">
        <f>IF(BA61=0,0,BA61/BA$151)</f>
        <v>0</v>
      </c>
      <c r="BE61" s="463"/>
      <c r="BF61" s="162"/>
      <c r="BG61" s="816">
        <f>IF(BF$5=0,0,BF61/BF$5*1000)</f>
        <v>0</v>
      </c>
      <c r="BH61" s="816">
        <f>IF(BF$27=0,0,BF61/BF$27*1000)</f>
        <v>0</v>
      </c>
      <c r="BI61" s="818">
        <f>IF(BF61=0,0,BF61/BF$151)</f>
        <v>0</v>
      </c>
      <c r="BJ61" s="819"/>
      <c r="BK61" s="162">
        <f>SUM(C61,H61,M61,R61,W61,AB61,AG61,AL61,AQ61,AV61,BA61,BF61)</f>
        <v>4719393.0100000007</v>
      </c>
      <c r="BL61" s="163">
        <f t="shared" si="69"/>
        <v>524377.00111111114</v>
      </c>
      <c r="BM61" s="164">
        <f t="shared" si="70"/>
        <v>1335.4713876882975</v>
      </c>
      <c r="BN61" s="164">
        <f t="shared" si="71"/>
        <v>1190.7613405453787</v>
      </c>
      <c r="BO61" s="165">
        <f t="shared" si="72"/>
        <v>9.5085901511184553E-2</v>
      </c>
      <c r="BP61" s="165">
        <f t="shared" si="73"/>
        <v>1.280985199924947E-2</v>
      </c>
      <c r="BQ61" s="820"/>
      <c r="BR61" s="162">
        <f t="shared" si="74"/>
        <v>4110406.65</v>
      </c>
      <c r="BS61" s="163">
        <f t="shared" si="75"/>
        <v>587200.94999999995</v>
      </c>
      <c r="BT61" s="164">
        <f t="shared" si="76"/>
        <v>1325.252755508247</v>
      </c>
      <c r="BU61" s="164">
        <f t="shared" si="77"/>
        <v>1155.0565670925157</v>
      </c>
      <c r="BV61" s="165">
        <f t="shared" si="78"/>
        <v>8.2816884271895722E-2</v>
      </c>
      <c r="BW61" s="165">
        <f t="shared" si="79"/>
        <v>1.2643133687182522E-2</v>
      </c>
    </row>
    <row r="62" spans="1:75" ht="11.25" outlineLevel="2">
      <c r="A62" s="131" t="s">
        <v>392</v>
      </c>
      <c r="B62" s="815"/>
      <c r="C62" s="306">
        <v>7000</v>
      </c>
      <c r="D62" s="816">
        <f>IF(C$5=0,0,C62/C$5*1000)</f>
        <v>36.607815245586146</v>
      </c>
      <c r="E62" s="816">
        <f>IF(C$27=0,0,C62/C$27*1000)</f>
        <v>42.88806909365961</v>
      </c>
      <c r="F62" s="817">
        <f>IF(C62=0,0,C62/C$151)</f>
        <v>0.47365401063150347</v>
      </c>
      <c r="G62" s="463"/>
      <c r="H62" s="306">
        <v>14000</v>
      </c>
      <c r="I62" s="816">
        <f>IF(H$5=0,0,H62/H$5*1000)</f>
        <v>58.076827345888987</v>
      </c>
      <c r="J62" s="816">
        <f>IF(H$27=0,0,H62/H$27*1000)</f>
        <v>57.96959825826201</v>
      </c>
      <c r="K62" s="818">
        <f>IF(H62=0,0,H62/H$151)</f>
        <v>-0.97843938917423523</v>
      </c>
      <c r="L62" s="815"/>
      <c r="M62" s="162">
        <v>28000</v>
      </c>
      <c r="N62" s="816">
        <f>IF(M$5=0,0,M62/M$5*1000)</f>
        <v>81.495550459367138</v>
      </c>
      <c r="O62" s="816">
        <f>IF(M$27=0,0,M62/M$27*1000)</f>
        <v>84.68417189314188</v>
      </c>
      <c r="P62" s="818">
        <f>IF(M62=0,0,M62/M$151)</f>
        <v>4.3671464922263653E-3</v>
      </c>
      <c r="Q62" s="463"/>
      <c r="R62" s="162">
        <v>42000</v>
      </c>
      <c r="S62" s="816">
        <f>IF(R$5=0,0,R62/R$5*1000)</f>
        <v>87.264204846487729</v>
      </c>
      <c r="T62" s="816">
        <f>IF(R$27=0,0,R62/R$27*1000)</f>
        <v>61.995831813574398</v>
      </c>
      <c r="U62" s="818">
        <f>IF(R62=0,0,R62/R$151)</f>
        <v>2.8655101369962532E-3</v>
      </c>
      <c r="V62" s="815"/>
      <c r="W62" s="162">
        <v>28000</v>
      </c>
      <c r="X62" s="816">
        <f>IF(W$5=0,0,W62/W$5*1000)</f>
        <v>55.809688960644209</v>
      </c>
      <c r="Y62" s="816">
        <f>IF(W$27=0,0,W62/W$27*1000)</f>
        <v>47.489034273175236</v>
      </c>
      <c r="Z62" s="818">
        <f>IF(W62=0,0,W62/W$151)</f>
        <v>4.8628600184548324E-3</v>
      </c>
      <c r="AA62" s="463"/>
      <c r="AB62" s="162">
        <v>42000</v>
      </c>
      <c r="AC62" s="816">
        <f>IF(AB$5=0,0,AB62/AB$5*1000)</f>
        <v>93.57142061467512</v>
      </c>
      <c r="AD62" s="816">
        <f>IF(AB$27=0,0,AB62/AB$27*1000)</f>
        <v>83.673139248838339</v>
      </c>
      <c r="AE62" s="818">
        <f>IF(AB62=0,0,AB62/AB$151)</f>
        <v>6.2456173332119599E-3</v>
      </c>
      <c r="AF62" s="815"/>
      <c r="AG62" s="162">
        <v>56000</v>
      </c>
      <c r="AH62" s="816">
        <f>IF(AG$5=0,0,AG62/AG$5*1000)</f>
        <v>111.65609921441958</v>
      </c>
      <c r="AI62" s="816">
        <f>IF(AG$27=0,0,AG62/AG$27*1000)</f>
        <v>116.70879124600702</v>
      </c>
      <c r="AJ62" s="818">
        <f>IF(AG62=0,0,AG62/AG$151)</f>
        <v>1.0309231454140422E-2</v>
      </c>
      <c r="AK62" s="463"/>
      <c r="AL62" s="162">
        <v>63000</v>
      </c>
      <c r="AM62" s="816">
        <f>IF(AL$5=0,0,AL62/AL$5*1000)</f>
        <v>144.04016662932293</v>
      </c>
      <c r="AN62" s="816">
        <f>IF(AL$27=0,0,AL62/AL$27*1000)</f>
        <v>116.05856278234009</v>
      </c>
      <c r="AO62" s="818">
        <f>IF(AL62=0,0,AL62/AL$151)</f>
        <v>1.0103533619310056E-2</v>
      </c>
      <c r="AP62" s="815"/>
      <c r="AQ62" s="162">
        <v>49000</v>
      </c>
      <c r="AR62" s="816">
        <f>IF(AQ$5=0,0,AQ62/AQ$5*1000)</f>
        <v>126.18394013215836</v>
      </c>
      <c r="AS62" s="816">
        <f>IF(AQ$27=0,0,AQ62/AQ$27*1000)</f>
        <v>112.30933198867739</v>
      </c>
      <c r="AT62" s="818">
        <f>IF(AQ62=0,0,AQ62/AQ$151)</f>
        <v>1.1101607178765016E-2</v>
      </c>
      <c r="AU62" s="463"/>
      <c r="AV62" s="162"/>
      <c r="AW62" s="816">
        <f>IF(AV$5=0,0,AV62/AV$5*1000)</f>
        <v>0</v>
      </c>
      <c r="AX62" s="816">
        <f>IF(AV$27=0,0,AV62/AV$27*1000)</f>
        <v>0</v>
      </c>
      <c r="AY62" s="818">
        <f>IF(AV62=0,0,AV62/AV$151)</f>
        <v>0</v>
      </c>
      <c r="AZ62" s="815"/>
      <c r="BA62" s="162"/>
      <c r="BB62" s="816">
        <f>IF(BA$5=0,0,BA62/BA$5*1000)</f>
        <v>0</v>
      </c>
      <c r="BC62" s="816">
        <f>IF(BA$27=0,0,BA62/BA$27*1000)</f>
        <v>0</v>
      </c>
      <c r="BD62" s="818">
        <f>IF(BA62=0,0,BA62/BA$151)</f>
        <v>0</v>
      </c>
      <c r="BE62" s="463"/>
      <c r="BF62" s="162"/>
      <c r="BG62" s="816">
        <f>IF(BF$5=0,0,BF62/BF$5*1000)</f>
        <v>0</v>
      </c>
      <c r="BH62" s="816">
        <f>IF(BF$27=0,0,BF62/BF$27*1000)</f>
        <v>0</v>
      </c>
      <c r="BI62" s="818">
        <f>IF(BF62=0,0,BF62/BF$151)</f>
        <v>0</v>
      </c>
      <c r="BJ62" s="819"/>
      <c r="BK62" s="162">
        <f>SUM(C62,H62,M62,R62,W62,AB62,AG62,AL62,AQ62,AV62,BA62,BF62)</f>
        <v>329000</v>
      </c>
      <c r="BL62" s="163">
        <f t="shared" si="69"/>
        <v>36555.555555555555</v>
      </c>
      <c r="BM62" s="164">
        <f t="shared" si="70"/>
        <v>93.098855216859718</v>
      </c>
      <c r="BN62" s="164">
        <f t="shared" si="71"/>
        <v>83.010777065889997</v>
      </c>
      <c r="BO62" s="165">
        <f t="shared" si="72"/>
        <v>6.6286621035571936E-3</v>
      </c>
      <c r="BP62" s="165">
        <f t="shared" si="73"/>
        <v>8.9300494763267771E-4</v>
      </c>
      <c r="BQ62" s="820"/>
      <c r="BR62" s="162">
        <f t="shared" si="74"/>
        <v>308000</v>
      </c>
      <c r="BS62" s="163">
        <f t="shared" si="75"/>
        <v>44000</v>
      </c>
      <c r="BT62" s="164">
        <f t="shared" si="76"/>
        <v>99.303519931912348</v>
      </c>
      <c r="BU62" s="164">
        <f t="shared" si="77"/>
        <v>86.550420179106823</v>
      </c>
      <c r="BV62" s="165">
        <f t="shared" si="78"/>
        <v>6.2056148035240944E-3</v>
      </c>
      <c r="BW62" s="165">
        <f t="shared" si="79"/>
        <v>9.473722449461823E-4</v>
      </c>
    </row>
    <row r="63" spans="1:75" ht="11.25" outlineLevel="2">
      <c r="A63" s="131" t="s">
        <v>393</v>
      </c>
      <c r="B63" s="815"/>
      <c r="C63" s="306">
        <v>1200</v>
      </c>
      <c r="D63" s="816">
        <f>IF(C$5=0,0,C63/C$5*1000)</f>
        <v>6.2756254706719101</v>
      </c>
      <c r="E63" s="816">
        <f>IF(C$27=0,0,C63/C$27*1000)</f>
        <v>7.3522404160559329</v>
      </c>
      <c r="F63" s="817">
        <f>IF(C63=0,0,C63/C$151)</f>
        <v>8.119783039397202E-2</v>
      </c>
      <c r="G63" s="463"/>
      <c r="H63" s="306">
        <v>900</v>
      </c>
      <c r="I63" s="816">
        <f>IF(H$5=0,0,H63/H$5*1000)</f>
        <v>3.7335103293785781</v>
      </c>
      <c r="J63" s="816">
        <f>IF(H$27=0,0,H63/H$27*1000)</f>
        <v>3.726617030888272</v>
      </c>
      <c r="K63" s="818">
        <f>IF(H63=0,0,H63/H$151)</f>
        <v>-6.289967501834369E-2</v>
      </c>
      <c r="L63" s="815"/>
      <c r="M63" s="162">
        <v>900</v>
      </c>
      <c r="N63" s="816">
        <f>IF(M$5=0,0,M63/M$5*1000)</f>
        <v>2.6194998361939441</v>
      </c>
      <c r="O63" s="816">
        <f>IF(M$27=0,0,M63/M$27*1000)</f>
        <v>2.7219912394224175</v>
      </c>
      <c r="P63" s="818">
        <f>IF(M63=0,0,M63/M$151)</f>
        <v>1.4037256582156174E-4</v>
      </c>
      <c r="Q63" s="463"/>
      <c r="R63" s="162">
        <v>1500</v>
      </c>
      <c r="S63" s="816">
        <f>IF(R$5=0,0,R63/R$5*1000)</f>
        <v>3.1165787445174189</v>
      </c>
      <c r="T63" s="816">
        <f>IF(R$27=0,0,R63/R$27*1000)</f>
        <v>2.2141368504847998</v>
      </c>
      <c r="U63" s="818">
        <f>IF(R63=0,0,R63/R$151)</f>
        <v>1.0233964774986619E-4</v>
      </c>
      <c r="V63" s="815"/>
      <c r="W63" s="162">
        <v>1500</v>
      </c>
      <c r="X63" s="816">
        <f>IF(W$5=0,0,W63/W$5*1000)</f>
        <v>2.9898047657487963</v>
      </c>
      <c r="Y63" s="816">
        <f>IF(W$27=0,0,W63/W$27*1000)</f>
        <v>2.5440554074915305</v>
      </c>
      <c r="Z63" s="818">
        <f>IF(W63=0,0,W63/W$151)</f>
        <v>2.6051035813150886E-4</v>
      </c>
      <c r="AA63" s="463"/>
      <c r="AB63" s="162">
        <v>1200</v>
      </c>
      <c r="AC63" s="816">
        <f>IF(AB$5=0,0,AB63/AB$5*1000)</f>
        <v>2.6734691604192888</v>
      </c>
      <c r="AD63" s="816">
        <f>IF(AB$27=0,0,AB63/AB$27*1000)</f>
        <v>2.390661121395381</v>
      </c>
      <c r="AE63" s="818">
        <f>IF(AB63=0,0,AB63/AB$151)</f>
        <v>1.7844620952034171E-4</v>
      </c>
      <c r="AF63" s="815"/>
      <c r="AG63" s="162">
        <v>1500</v>
      </c>
      <c r="AH63" s="816">
        <f>IF(AG$5=0,0,AG63/AG$5*1000)</f>
        <v>2.9907883718148107</v>
      </c>
      <c r="AI63" s="816">
        <f>IF(AG$27=0,0,AG63/AG$27*1000)</f>
        <v>3.1261283369466164</v>
      </c>
      <c r="AJ63" s="818">
        <f>IF(AG63=0,0,AG63/AG$151)</f>
        <v>2.7614012823590412E-4</v>
      </c>
      <c r="AK63" s="463"/>
      <c r="AL63" s="162">
        <v>1500</v>
      </c>
      <c r="AM63" s="816">
        <f>IF(AL$5=0,0,AL63/AL$5*1000)</f>
        <v>3.4295277768886412</v>
      </c>
      <c r="AN63" s="816">
        <f>IF(AL$27=0,0,AL63/AL$27*1000)</f>
        <v>2.7632991138652399</v>
      </c>
      <c r="AO63" s="818">
        <f>IF(AL63=0,0,AL63/AL$151)</f>
        <v>2.4056032426928703E-4</v>
      </c>
      <c r="AP63" s="815"/>
      <c r="AQ63" s="162">
        <v>1500</v>
      </c>
      <c r="AR63" s="816">
        <f>IF(AQ$5=0,0,AQ63/AQ$5*1000)</f>
        <v>3.8627736775150519</v>
      </c>
      <c r="AS63" s="816">
        <f>IF(AQ$27=0,0,AQ63/AQ$27*1000)</f>
        <v>3.4380407751635933</v>
      </c>
      <c r="AT63" s="818">
        <f>IF(AQ63=0,0,AQ63/AQ$151)</f>
        <v>3.3984511771729644E-4</v>
      </c>
      <c r="AU63" s="463"/>
      <c r="AV63" s="162"/>
      <c r="AW63" s="816">
        <f>IF(AV$5=0,0,AV63/AV$5*1000)</f>
        <v>0</v>
      </c>
      <c r="AX63" s="816">
        <f>IF(AV$27=0,0,AV63/AV$27*1000)</f>
        <v>0</v>
      </c>
      <c r="AY63" s="818">
        <f>IF(AV63=0,0,AV63/AV$151)</f>
        <v>0</v>
      </c>
      <c r="AZ63" s="815"/>
      <c r="BA63" s="162"/>
      <c r="BB63" s="816">
        <f>IF(BA$5=0,0,BA63/BA$5*1000)</f>
        <v>0</v>
      </c>
      <c r="BC63" s="816">
        <f>IF(BA$27=0,0,BA63/BA$27*1000)</f>
        <v>0</v>
      </c>
      <c r="BD63" s="818">
        <f>IF(BA63=0,0,BA63/BA$151)</f>
        <v>0</v>
      </c>
      <c r="BE63" s="463"/>
      <c r="BF63" s="162"/>
      <c r="BG63" s="816">
        <f>IF(BF$5=0,0,BF63/BF$5*1000)</f>
        <v>0</v>
      </c>
      <c r="BH63" s="816">
        <f>IF(BF$27=0,0,BF63/BF$27*1000)</f>
        <v>0</v>
      </c>
      <c r="BI63" s="818">
        <f>IF(BF63=0,0,BF63/BF$151)</f>
        <v>0</v>
      </c>
      <c r="BJ63" s="819"/>
      <c r="BK63" s="162">
        <f>SUM(C63,H63,M63,R63,W63,AB63,AG63,AL63,AQ63,AV63,BA63,BF63)</f>
        <v>11700</v>
      </c>
      <c r="BL63" s="163">
        <f t="shared" si="69"/>
        <v>1300</v>
      </c>
      <c r="BM63" s="164">
        <f t="shared" si="70"/>
        <v>3.3108103526968349</v>
      </c>
      <c r="BN63" s="164">
        <f t="shared" si="71"/>
        <v>2.9520549898811943</v>
      </c>
      <c r="BO63" s="165">
        <f t="shared" si="72"/>
        <v>2.3573053681343211E-4</v>
      </c>
      <c r="BP63" s="165">
        <f t="shared" si="73"/>
        <v>3.1757318806390061E-5</v>
      </c>
      <c r="BQ63" s="820"/>
      <c r="BR63" s="162">
        <f t="shared" si="74"/>
        <v>9600</v>
      </c>
      <c r="BS63" s="163">
        <f t="shared" si="75"/>
        <v>1371.4285714285713</v>
      </c>
      <c r="BT63" s="164">
        <f t="shared" si="76"/>
        <v>3.0951746472284367</v>
      </c>
      <c r="BU63" s="164">
        <f t="shared" si="77"/>
        <v>2.6976754341539788</v>
      </c>
      <c r="BV63" s="165">
        <f t="shared" si="78"/>
        <v>1.9342176010984192E-4</v>
      </c>
      <c r="BW63" s="165">
        <f t="shared" si="79"/>
        <v>2.9528485556764124E-5</v>
      </c>
    </row>
    <row r="64" spans="1:75" s="297" customFormat="1" ht="11.25" outlineLevel="1">
      <c r="A64" s="804" t="s">
        <v>88</v>
      </c>
      <c r="B64" s="805"/>
      <c r="C64" s="320">
        <v>237000</v>
      </c>
      <c r="D64" s="806">
        <f>D65+D69</f>
        <v>1652.581373943603</v>
      </c>
      <c r="E64" s="806">
        <f>E65+E69</f>
        <v>1936.0899762280624</v>
      </c>
      <c r="F64" s="807">
        <f>F65+F69</f>
        <v>21.382095337079299</v>
      </c>
      <c r="G64" s="808"/>
      <c r="H64" s="320">
        <f>H65+H69</f>
        <v>313200</v>
      </c>
      <c r="I64" s="806">
        <f>I65+I69</f>
        <v>1299.2615946237452</v>
      </c>
      <c r="J64" s="806">
        <f>J65+J69</f>
        <v>1296.8627267491188</v>
      </c>
      <c r="K64" s="809">
        <f>K65+K69</f>
        <v>-21.889086906383604</v>
      </c>
      <c r="L64" s="805"/>
      <c r="M64" s="810">
        <f>M65+M69</f>
        <v>472600</v>
      </c>
      <c r="N64" s="806">
        <f>N65+N69</f>
        <v>1375.5284695391754</v>
      </c>
      <c r="O64" s="806">
        <f>O65+O69</f>
        <v>1429.3478441678162</v>
      </c>
      <c r="P64" s="809">
        <f>P65+P69</f>
        <v>7.3711194008077865E-2</v>
      </c>
      <c r="Q64" s="808"/>
      <c r="R64" s="810">
        <f>R65+R69</f>
        <v>795223.5</v>
      </c>
      <c r="S64" s="806">
        <f>S65+S69</f>
        <v>1623.9452978098764</v>
      </c>
      <c r="T64" s="806">
        <f>T65+T69</f>
        <v>1153.7129082259464</v>
      </c>
      <c r="U64" s="809">
        <f>U65+U69</f>
        <v>5.3325779120863608E-2</v>
      </c>
      <c r="V64" s="805"/>
      <c r="W64" s="810">
        <f>W65+W69</f>
        <v>632217.31000000006</v>
      </c>
      <c r="X64" s="806">
        <f>X65+X69</f>
        <v>1248.5424701766974</v>
      </c>
      <c r="Y64" s="806">
        <f>Y65+Y69</f>
        <v>1062.3975381684631</v>
      </c>
      <c r="Z64" s="809">
        <f>Z65+Z69</f>
        <v>0.1087891255557181</v>
      </c>
      <c r="AA64" s="808"/>
      <c r="AB64" s="810">
        <f>AB65+AB69</f>
        <v>786680.67</v>
      </c>
      <c r="AC64" s="806">
        <f>AC65+AC69</f>
        <v>1747.5576745274086</v>
      </c>
      <c r="AD64" s="806">
        <f>AD65+AD69</f>
        <v>1562.6954863521141</v>
      </c>
      <c r="AE64" s="809">
        <f>AE65+AE69</f>
        <v>0.11664433895646337</v>
      </c>
      <c r="AF64" s="805"/>
      <c r="AG64" s="810">
        <f>AG65+AG69</f>
        <v>639883.21</v>
      </c>
      <c r="AH64" s="806">
        <f>AH65+AH69</f>
        <v>1260.1188339913067</v>
      </c>
      <c r="AI64" s="806">
        <f>AI65+AI69</f>
        <v>1317.142072633508</v>
      </c>
      <c r="AJ64" s="809">
        <f>AJ65+AJ69</f>
        <v>0.11634704069672762</v>
      </c>
      <c r="AK64" s="808"/>
      <c r="AL64" s="810">
        <f>AL65+AL69</f>
        <v>708838.17</v>
      </c>
      <c r="AM64" s="806">
        <f>AM65+AM69</f>
        <v>1606.3908106946394</v>
      </c>
      <c r="AN64" s="806">
        <f>AN65+AN69</f>
        <v>1294.3293049344784</v>
      </c>
      <c r="AO64" s="809">
        <f>AO65+AO69</f>
        <v>0.11267845588773405</v>
      </c>
      <c r="AP64" s="805"/>
      <c r="AQ64" s="810">
        <f>AQ65+AQ69</f>
        <v>553000</v>
      </c>
      <c r="AR64" s="806">
        <f>AR65+AR69</f>
        <v>1424.0758957772157</v>
      </c>
      <c r="AS64" s="806">
        <f>AS65+AS69</f>
        <v>1267.4910324436448</v>
      </c>
      <c r="AT64" s="809">
        <f>AT65+AT69</f>
        <v>0.1252895667317766</v>
      </c>
      <c r="AU64" s="808"/>
      <c r="AV64" s="810">
        <f>AV65+AV69</f>
        <v>0</v>
      </c>
      <c r="AW64" s="806">
        <f>AW65+AW69</f>
        <v>0</v>
      </c>
      <c r="AX64" s="806">
        <f>AX65+AX69</f>
        <v>0</v>
      </c>
      <c r="AY64" s="809">
        <f>AY65+AY69</f>
        <v>0</v>
      </c>
      <c r="AZ64" s="805"/>
      <c r="BA64" s="810">
        <f>BA65+BA69</f>
        <v>0</v>
      </c>
      <c r="BB64" s="806">
        <f>BB65+BB69</f>
        <v>0</v>
      </c>
      <c r="BC64" s="806">
        <f>BC65+BC69</f>
        <v>0</v>
      </c>
      <c r="BD64" s="809">
        <f>BD65+BD69</f>
        <v>0</v>
      </c>
      <c r="BE64" s="808"/>
      <c r="BF64" s="810">
        <f>BF65+BF69</f>
        <v>0</v>
      </c>
      <c r="BG64" s="806">
        <f>BG65+BG69</f>
        <v>0</v>
      </c>
      <c r="BH64" s="806">
        <f>BH65+BH69</f>
        <v>0</v>
      </c>
      <c r="BI64" s="809">
        <f>BI65+BI69</f>
        <v>0</v>
      </c>
      <c r="BJ64" s="811"/>
      <c r="BK64" s="810">
        <f>SUM(C64,H64,M64,R64,W64,AB64,AG64,AL64,AQ64,AV64,BA64,BF64)</f>
        <v>5138642.8600000003</v>
      </c>
      <c r="BL64" s="323">
        <f t="shared" si="69"/>
        <v>570960.31777777779</v>
      </c>
      <c r="BM64" s="812">
        <f t="shared" si="70"/>
        <v>1454.1087162136473</v>
      </c>
      <c r="BN64" s="812">
        <f t="shared" si="71"/>
        <v>1296.5432731692626</v>
      </c>
      <c r="BO64" s="813">
        <f t="shared" si="72"/>
        <v>0.10353290939147949</v>
      </c>
      <c r="BP64" s="813">
        <f t="shared" si="73"/>
        <v>1.3947822182666667E-2</v>
      </c>
      <c r="BQ64" s="814"/>
      <c r="BR64" s="810">
        <f t="shared" si="74"/>
        <v>4588442.8599999994</v>
      </c>
      <c r="BS64" s="323">
        <f t="shared" si="75"/>
        <v>655491.83714285702</v>
      </c>
      <c r="BT64" s="812">
        <f t="shared" si="76"/>
        <v>1479.378334430035</v>
      </c>
      <c r="BU64" s="812">
        <f t="shared" si="77"/>
        <v>1289.3884983792941</v>
      </c>
      <c r="BV64" s="813">
        <f t="shared" si="78"/>
        <v>9.2448405640066331E-2</v>
      </c>
      <c r="BW64" s="813">
        <f t="shared" si="79"/>
        <v>1.411351757495286E-2</v>
      </c>
    </row>
    <row r="65" spans="1:75" s="297" customFormat="1" ht="11.25" outlineLevel="1">
      <c r="A65" s="144" t="s">
        <v>90</v>
      </c>
      <c r="B65" s="805"/>
      <c r="C65" s="821">
        <f>C66+C67-C68</f>
        <v>0</v>
      </c>
      <c r="D65" s="822">
        <f>D66-D68</f>
        <v>0</v>
      </c>
      <c r="E65" s="822">
        <f>E66-E68</f>
        <v>0</v>
      </c>
      <c r="F65" s="823">
        <f>F66-F68</f>
        <v>0</v>
      </c>
      <c r="G65" s="808"/>
      <c r="H65" s="821">
        <f>H66+H67-H68</f>
        <v>0</v>
      </c>
      <c r="I65" s="822">
        <f>I66-I68</f>
        <v>0</v>
      </c>
      <c r="J65" s="822">
        <f>J66-J68</f>
        <v>0</v>
      </c>
      <c r="K65" s="824">
        <f>K66-K68</f>
        <v>0</v>
      </c>
      <c r="L65" s="805"/>
      <c r="M65" s="825">
        <f>M66+M67-M68</f>
        <v>0</v>
      </c>
      <c r="N65" s="822">
        <f>N66-N68</f>
        <v>0</v>
      </c>
      <c r="O65" s="822">
        <f>O66-O68</f>
        <v>0</v>
      </c>
      <c r="P65" s="824">
        <f>P66-P68</f>
        <v>0</v>
      </c>
      <c r="Q65" s="808"/>
      <c r="R65" s="825">
        <f>R66+R67-R68</f>
        <v>13623.5</v>
      </c>
      <c r="S65" s="822">
        <f>S66-S68</f>
        <v>0</v>
      </c>
      <c r="T65" s="822">
        <f>T66-T68</f>
        <v>0</v>
      </c>
      <c r="U65" s="824">
        <f>U66-U68</f>
        <v>0</v>
      </c>
      <c r="V65" s="805"/>
      <c r="W65" s="825">
        <f>W66+W67-W68</f>
        <v>5817.31</v>
      </c>
      <c r="X65" s="822">
        <f>X66-X68</f>
        <v>0</v>
      </c>
      <c r="Y65" s="822">
        <f>Y66-Y68</f>
        <v>0</v>
      </c>
      <c r="Z65" s="824">
        <f>Z66-Z68</f>
        <v>0</v>
      </c>
      <c r="AA65" s="808"/>
      <c r="AB65" s="825">
        <f>AB66+AB67-AB68</f>
        <v>2280.67</v>
      </c>
      <c r="AC65" s="822">
        <f>AC66-AC68</f>
        <v>0</v>
      </c>
      <c r="AD65" s="822">
        <f>AD66-AD68</f>
        <v>0</v>
      </c>
      <c r="AE65" s="824">
        <f>AE66-AE68</f>
        <v>0</v>
      </c>
      <c r="AF65" s="805"/>
      <c r="AG65" s="825">
        <f>AG66+AG67-AG68</f>
        <v>7883.21</v>
      </c>
      <c r="AH65" s="822">
        <f>AH66-AH68</f>
        <v>0</v>
      </c>
      <c r="AI65" s="822">
        <f>AI66-AI68</f>
        <v>0</v>
      </c>
      <c r="AJ65" s="824">
        <f>AJ66-AJ68</f>
        <v>0</v>
      </c>
      <c r="AK65" s="808"/>
      <c r="AL65" s="825">
        <f>AL66+AL67-AL68</f>
        <v>6238.17</v>
      </c>
      <c r="AM65" s="822">
        <f>AM66-AM68</f>
        <v>0</v>
      </c>
      <c r="AN65" s="822">
        <f>AN66-AN68</f>
        <v>0</v>
      </c>
      <c r="AO65" s="824">
        <f>AO66-AO68</f>
        <v>0</v>
      </c>
      <c r="AP65" s="805"/>
      <c r="AQ65" s="825">
        <f>AQ66+AQ67-AQ68</f>
        <v>0</v>
      </c>
      <c r="AR65" s="822">
        <f>AR66-AR68</f>
        <v>0</v>
      </c>
      <c r="AS65" s="822">
        <f>AS66-AS68</f>
        <v>0</v>
      </c>
      <c r="AT65" s="824">
        <f>AT66-AT68</f>
        <v>0</v>
      </c>
      <c r="AU65" s="808"/>
      <c r="AV65" s="825">
        <f>AV66+AV67-AV68</f>
        <v>0</v>
      </c>
      <c r="AW65" s="822">
        <f>AW66-AW68</f>
        <v>0</v>
      </c>
      <c r="AX65" s="822">
        <f>AX66-AX68</f>
        <v>0</v>
      </c>
      <c r="AY65" s="824">
        <f>AY66-AY68</f>
        <v>0</v>
      </c>
      <c r="AZ65" s="805"/>
      <c r="BA65" s="825">
        <f>BA66+BA67-BA68</f>
        <v>0</v>
      </c>
      <c r="BB65" s="822">
        <f>BB66-BB68</f>
        <v>0</v>
      </c>
      <c r="BC65" s="822">
        <f>BC66-BC68</f>
        <v>0</v>
      </c>
      <c r="BD65" s="824">
        <f>BD66-BD68</f>
        <v>0</v>
      </c>
      <c r="BE65" s="808"/>
      <c r="BF65" s="825">
        <f>BF66+BF67-BF68</f>
        <v>0</v>
      </c>
      <c r="BG65" s="822">
        <f>BG66-BG68</f>
        <v>0</v>
      </c>
      <c r="BH65" s="822">
        <f>BH66-BH68</f>
        <v>0</v>
      </c>
      <c r="BI65" s="824">
        <f>BI66-BI68</f>
        <v>0</v>
      </c>
      <c r="BJ65" s="811"/>
      <c r="BK65" s="826"/>
      <c r="BL65" s="827"/>
      <c r="BM65" s="828"/>
      <c r="BN65" s="828"/>
      <c r="BO65" s="829"/>
      <c r="BP65" s="829"/>
      <c r="BQ65" s="814"/>
      <c r="BR65" s="826"/>
      <c r="BS65" s="827"/>
      <c r="BT65" s="828"/>
      <c r="BU65" s="828"/>
      <c r="BV65" s="829"/>
      <c r="BW65" s="829"/>
    </row>
    <row r="66" spans="1:75" ht="11.25" outlineLevel="2">
      <c r="A66" s="72" t="s">
        <v>90</v>
      </c>
      <c r="B66" s="815"/>
      <c r="C66" s="301"/>
      <c r="D66" s="816">
        <f>IF(C$5=0,0,C66/C$5*1000)</f>
        <v>0</v>
      </c>
      <c r="E66" s="816">
        <f>IF(C$27=0,0,C66/C$27*1000)</f>
        <v>0</v>
      </c>
      <c r="F66" s="817">
        <f>IF(C66=0,0,C66/C$151)</f>
        <v>0</v>
      </c>
      <c r="G66" s="463"/>
      <c r="H66" s="301"/>
      <c r="I66" s="816">
        <f>IF(H$5=0,0,H66/H$5*1000)</f>
        <v>0</v>
      </c>
      <c r="J66" s="816">
        <f>IF(H$27=0,0,H66/H$27*1000)</f>
        <v>0</v>
      </c>
      <c r="K66" s="818">
        <f>IF(H66=0,0,H66/H$151)</f>
        <v>0</v>
      </c>
      <c r="L66" s="815"/>
      <c r="M66" s="246"/>
      <c r="N66" s="816">
        <f>IF(M$5=0,0,M66/M$5*1000)</f>
        <v>0</v>
      </c>
      <c r="O66" s="816">
        <f>IF(M$27=0,0,M66/M$27*1000)</f>
        <v>0</v>
      </c>
      <c r="P66" s="818">
        <f>IF(M66=0,0,M66/M$151)</f>
        <v>0</v>
      </c>
      <c r="Q66" s="463"/>
      <c r="R66" s="246"/>
      <c r="S66" s="816">
        <f>IF(R$5=0,0,R66/R$5*1000)</f>
        <v>0</v>
      </c>
      <c r="T66" s="816">
        <f>IF(R$27=0,0,R66/R$27*1000)</f>
        <v>0</v>
      </c>
      <c r="U66" s="818">
        <f>IF(R66=0,0,R66/R$151)</f>
        <v>0</v>
      </c>
      <c r="V66" s="815"/>
      <c r="W66" s="246"/>
      <c r="X66" s="816">
        <f>IF(W$5=0,0,W66/W$5*1000)</f>
        <v>0</v>
      </c>
      <c r="Y66" s="816">
        <f>IF(W$27=0,0,W66/W$27*1000)</f>
        <v>0</v>
      </c>
      <c r="Z66" s="818">
        <f>IF(W66=0,0,W66/W$151)</f>
        <v>0</v>
      </c>
      <c r="AA66" s="463"/>
      <c r="AB66" s="246"/>
      <c r="AC66" s="816">
        <f>IF(AB$5=0,0,AB66/AB$5*1000)</f>
        <v>0</v>
      </c>
      <c r="AD66" s="816">
        <f>IF(AB$27=0,0,AB66/AB$27*1000)</f>
        <v>0</v>
      </c>
      <c r="AE66" s="818">
        <f>IF(AB66=0,0,AB66/AB$151)</f>
        <v>0</v>
      </c>
      <c r="AF66" s="815"/>
      <c r="AG66" s="246"/>
      <c r="AH66" s="816">
        <f>IF(AG$5=0,0,AG66/AG$5*1000)</f>
        <v>0</v>
      </c>
      <c r="AI66" s="816">
        <f>IF(AG$27=0,0,AG66/AG$27*1000)</f>
        <v>0</v>
      </c>
      <c r="AJ66" s="818">
        <f>IF(AG66=0,0,AG66/AG$151)</f>
        <v>0</v>
      </c>
      <c r="AK66" s="463"/>
      <c r="AL66" s="246"/>
      <c r="AM66" s="816">
        <f>IF(AL$5=0,0,AL66/AL$5*1000)</f>
        <v>0</v>
      </c>
      <c r="AN66" s="816">
        <f>IF(AL$27=0,0,AL66/AL$27*1000)</f>
        <v>0</v>
      </c>
      <c r="AO66" s="818">
        <f>IF(AL66=0,0,AL66/AL$151)</f>
        <v>0</v>
      </c>
      <c r="AP66" s="815"/>
      <c r="AQ66" s="246"/>
      <c r="AR66" s="816">
        <f>IF(AQ$5=0,0,AQ66/AQ$5*1000)</f>
        <v>0</v>
      </c>
      <c r="AS66" s="816">
        <f>IF(AQ$27=0,0,AQ66/AQ$27*1000)</f>
        <v>0</v>
      </c>
      <c r="AT66" s="818">
        <f>IF(AQ66=0,0,AQ66/AQ$151)</f>
        <v>0</v>
      </c>
      <c r="AU66" s="463"/>
      <c r="AV66" s="246"/>
      <c r="AW66" s="816">
        <f>IF(AV$5=0,0,AV66/AV$5*1000)</f>
        <v>0</v>
      </c>
      <c r="AX66" s="816">
        <f>IF(AV$27=0,0,AV66/AV$27*1000)</f>
        <v>0</v>
      </c>
      <c r="AY66" s="818">
        <f>IF(AV66=0,0,AV66/AV$151)</f>
        <v>0</v>
      </c>
      <c r="AZ66" s="815"/>
      <c r="BA66" s="246"/>
      <c r="BB66" s="816">
        <f>IF(BA$5=0,0,BA66/BA$5*1000)</f>
        <v>0</v>
      </c>
      <c r="BC66" s="816">
        <f>IF(BA$27=0,0,BA66/BA$27*1000)</f>
        <v>0</v>
      </c>
      <c r="BD66" s="818">
        <f>IF(BA66=0,0,BA66/BA$151)</f>
        <v>0</v>
      </c>
      <c r="BE66" s="463"/>
      <c r="BF66" s="246"/>
      <c r="BG66" s="816">
        <f>IF(BF$5=0,0,BF66/BF$5*1000)</f>
        <v>0</v>
      </c>
      <c r="BH66" s="816">
        <f>IF(BF$27=0,0,BF66/BF$27*1000)</f>
        <v>0</v>
      </c>
      <c r="BI66" s="818">
        <f>IF(BF66=0,0,BF66/BF$151)</f>
        <v>0</v>
      </c>
      <c r="BJ66" s="819"/>
      <c r="BK66" s="146">
        <f t="shared" ref="BK66:BK97" si="80">SUM(C66,H66,M66,R66,W66,AB66,AG66,AL66,AQ66,AV66,BA66,BF66)</f>
        <v>0</v>
      </c>
      <c r="BL66" s="147">
        <f t="shared" ref="BL66:BL84" si="81">BK66/$BL$56</f>
        <v>0</v>
      </c>
      <c r="BM66" s="148">
        <f t="shared" ref="BM66:BM97" si="82">BK66/$BL$5*1000</f>
        <v>0</v>
      </c>
      <c r="BN66" s="148">
        <f t="shared" ref="BN66:BN97" si="83">BK66/$BK$27*1000</f>
        <v>0</v>
      </c>
      <c r="BO66" s="149">
        <f t="shared" ref="BO66:BO97" si="84">BK66/$BK$151</f>
        <v>0</v>
      </c>
      <c r="BP66" s="149">
        <f t="shared" ref="BP66:BP97" si="85">BK66/$BL$27</f>
        <v>0</v>
      </c>
      <c r="BQ66" s="820"/>
      <c r="BR66" s="146">
        <f t="shared" ref="BR66:BR97" si="86">SUM(M66,R66,W66,AB66,AG66,AL66,AQ66,AV66,BA66,BF66)</f>
        <v>0</v>
      </c>
      <c r="BS66" s="147">
        <f t="shared" ref="BS66:BS97" si="87">BR66/$BS$56</f>
        <v>0</v>
      </c>
      <c r="BT66" s="148">
        <f t="shared" ref="BT66:BT97" si="88">BR66/$BS$5*1000</f>
        <v>0</v>
      </c>
      <c r="BU66" s="148">
        <f t="shared" ref="BU66:BU97" si="89">BR66/$BR$27*1000</f>
        <v>0</v>
      </c>
      <c r="BV66" s="149">
        <f t="shared" ref="BV66:BV97" si="90">BR66/$BR$151</f>
        <v>0</v>
      </c>
      <c r="BW66" s="249">
        <f t="shared" ref="BW66:BW97" si="91">BR66/$BS$27</f>
        <v>0</v>
      </c>
    </row>
    <row r="67" spans="1:75" ht="11.25" outlineLevel="2">
      <c r="A67" s="72" t="s">
        <v>394</v>
      </c>
      <c r="B67" s="815"/>
      <c r="C67" s="301"/>
      <c r="D67" s="816">
        <f>IF(C$5=0,0,C67/C$5*1000)</f>
        <v>0</v>
      </c>
      <c r="E67" s="816">
        <f>IF(C$27=0,0,C67/C$27*1000)</f>
        <v>0</v>
      </c>
      <c r="F67" s="817">
        <f>IF(C67=0,0,C67/C$151)</f>
        <v>0</v>
      </c>
      <c r="G67" s="463"/>
      <c r="H67" s="301"/>
      <c r="I67" s="816">
        <f>IF(H$5=0,0,H67/H$5*1000)</f>
        <v>0</v>
      </c>
      <c r="J67" s="816">
        <f>IF(H$27=0,0,H67/H$27*1000)</f>
        <v>0</v>
      </c>
      <c r="K67" s="818">
        <f>IF(H67=0,0,H67/H$151)</f>
        <v>0</v>
      </c>
      <c r="L67" s="815"/>
      <c r="M67" s="246"/>
      <c r="N67" s="816">
        <f>IF(M$5=0,0,M67/M$5*1000)</f>
        <v>0</v>
      </c>
      <c r="O67" s="816">
        <f>IF(M$27=0,0,M67/M$27*1000)</f>
        <v>0</v>
      </c>
      <c r="P67" s="818">
        <f>IF(M67=0,0,M67/M$151)</f>
        <v>0</v>
      </c>
      <c r="Q67" s="463"/>
      <c r="R67" s="246">
        <v>13623.5</v>
      </c>
      <c r="S67" s="816">
        <f>IF(R$5=0,0,R67/R$5*1000)</f>
        <v>28.3058070172887</v>
      </c>
      <c r="T67" s="816">
        <f>IF(R$27=0,0,R67/R$27*1000)</f>
        <v>20.109528921719782</v>
      </c>
      <c r="U67" s="818">
        <f>IF(R67=0,0,R67/R$151)</f>
        <v>9.2948279408020136E-4</v>
      </c>
      <c r="V67" s="815"/>
      <c r="W67" s="246">
        <v>5817.31</v>
      </c>
      <c r="X67" s="816">
        <f>IF(W$5=0,0,W67/W$5*1000)</f>
        <v>11.595080774558754</v>
      </c>
      <c r="Y67" s="816">
        <f>IF(W$27=0,0,W67/W$27*1000)</f>
        <v>9.8663726417030375</v>
      </c>
      <c r="Z67" s="818">
        <f>IF(W67=0,0,W67/W$151)</f>
        <v>1.0103130076413386E-3</v>
      </c>
      <c r="AA67" s="463"/>
      <c r="AB67" s="246">
        <v>2280.67</v>
      </c>
      <c r="AC67" s="816">
        <f>IF(AB$5=0,0,AB67/AB$5*1000)</f>
        <v>5.0810840917445503</v>
      </c>
      <c r="AD67" s="816">
        <f>IF(AB$27=0,0,AB67/AB$27*1000)</f>
        <v>4.5435909164440034</v>
      </c>
      <c r="AE67" s="818">
        <f>IF(AB67=0,0,AB67/AB$151)</f>
        <v>3.391474305556315E-4</v>
      </c>
      <c r="AF67" s="815"/>
      <c r="AG67" s="246">
        <v>7883.21</v>
      </c>
      <c r="AH67" s="816">
        <f>IF(AG$5=0,0,AG67/AG$5*1000)</f>
        <v>15.718008533716153</v>
      </c>
      <c r="AI67" s="816">
        <f>IF(AG$27=0,0,AG67/AG$27*1000)</f>
        <v>16.429284111400623</v>
      </c>
      <c r="AJ67" s="818">
        <f>IF(AG67=0,0,AG67/AG$151)</f>
        <v>1.4512470802070412E-3</v>
      </c>
      <c r="AK67" s="463"/>
      <c r="AL67" s="246">
        <v>6238.17</v>
      </c>
      <c r="AM67" s="816">
        <f>IF(AL$5=0,0,AL67/AL$5*1000)</f>
        <v>14.262651527968943</v>
      </c>
      <c r="AN67" s="816">
        <f>IF(AL$27=0,0,AL67/AL$27*1000)</f>
        <v>11.491953088760482</v>
      </c>
      <c r="AO67" s="818">
        <f>IF(AL67=0,0,AL67/AL$151)</f>
        <v>1.0004374653646256E-3</v>
      </c>
      <c r="AP67" s="815"/>
      <c r="AQ67" s="246"/>
      <c r="AR67" s="816">
        <f>IF(AQ$5=0,0,AQ67/AQ$5*1000)</f>
        <v>0</v>
      </c>
      <c r="AS67" s="816">
        <f>IF(AQ$27=0,0,AQ67/AQ$27*1000)</f>
        <v>0</v>
      </c>
      <c r="AT67" s="818">
        <f>IF(AQ67=0,0,AQ67/AQ$151)</f>
        <v>0</v>
      </c>
      <c r="AU67" s="463"/>
      <c r="AV67" s="246"/>
      <c r="AW67" s="816">
        <f>IF(AV$5=0,0,AV67/AV$5*1000)</f>
        <v>0</v>
      </c>
      <c r="AX67" s="816">
        <f>IF(AV$27=0,0,AV67/AV$27*1000)</f>
        <v>0</v>
      </c>
      <c r="AY67" s="818">
        <f>IF(AV67=0,0,AV67/AV$151)</f>
        <v>0</v>
      </c>
      <c r="AZ67" s="815"/>
      <c r="BA67" s="246"/>
      <c r="BB67" s="816">
        <f>IF(BA$5=0,0,BA67/BA$5*1000)</f>
        <v>0</v>
      </c>
      <c r="BC67" s="816">
        <f>IF(BA$27=0,0,BA67/BA$27*1000)</f>
        <v>0</v>
      </c>
      <c r="BD67" s="818">
        <f>IF(BA67=0,0,BA67/BA$151)</f>
        <v>0</v>
      </c>
      <c r="BE67" s="463"/>
      <c r="BF67" s="246"/>
      <c r="BG67" s="816">
        <f>IF(BF$5=0,0,BF67/BF$5*1000)</f>
        <v>0</v>
      </c>
      <c r="BH67" s="816">
        <f>IF(BF$27=0,0,BF67/BF$27*1000)</f>
        <v>0</v>
      </c>
      <c r="BI67" s="818">
        <f>IF(BF67=0,0,BF67/BF$151)</f>
        <v>0</v>
      </c>
      <c r="BJ67" s="819"/>
      <c r="BK67" s="146">
        <f t="shared" si="80"/>
        <v>35842.86</v>
      </c>
      <c r="BL67" s="147">
        <f t="shared" si="81"/>
        <v>3982.54</v>
      </c>
      <c r="BM67" s="148">
        <f t="shared" si="82"/>
        <v>10.14264204771481</v>
      </c>
      <c r="BN67" s="148">
        <f t="shared" si="83"/>
        <v>9.0435977533857326</v>
      </c>
      <c r="BO67" s="149">
        <f t="shared" si="84"/>
        <v>7.2215868621612763E-4</v>
      </c>
      <c r="BP67" s="149">
        <f t="shared" si="85"/>
        <v>9.7288301876308206E-5</v>
      </c>
      <c r="BQ67" s="820"/>
      <c r="BR67" s="146">
        <f t="shared" si="86"/>
        <v>35842.86</v>
      </c>
      <c r="BS67" s="147">
        <f t="shared" si="87"/>
        <v>5120.4085714285711</v>
      </c>
      <c r="BT67" s="148">
        <f t="shared" si="88"/>
        <v>11.556240787099819</v>
      </c>
      <c r="BU67" s="148">
        <f t="shared" si="89"/>
        <v>10.072125303314612</v>
      </c>
      <c r="BV67" s="149">
        <f t="shared" si="90"/>
        <v>7.2216552797610921E-4</v>
      </c>
      <c r="BW67" s="249">
        <f t="shared" si="91"/>
        <v>1.1024847643990819E-4</v>
      </c>
    </row>
    <row r="68" spans="1:75" ht="11.25" outlineLevel="2">
      <c r="A68" s="72" t="s">
        <v>95</v>
      </c>
      <c r="B68" s="815"/>
      <c r="C68" s="301"/>
      <c r="D68" s="816">
        <f>IF(C$5=0,0,C68/C$5*1000)</f>
        <v>0</v>
      </c>
      <c r="E68" s="816">
        <f>IF(C$27=0,0,C68/C$27*1000)</f>
        <v>0</v>
      </c>
      <c r="F68" s="817">
        <f>IF(C68=0,0,C68/C$151)</f>
        <v>0</v>
      </c>
      <c r="G68" s="463"/>
      <c r="H68" s="301"/>
      <c r="I68" s="816">
        <f>IF(H$5=0,0,H68/H$5*1000)</f>
        <v>0</v>
      </c>
      <c r="J68" s="816">
        <f>IF(H$27=0,0,H68/H$27*1000)</f>
        <v>0</v>
      </c>
      <c r="K68" s="818">
        <f>IF(H68=0,0,H68/H$151)</f>
        <v>0</v>
      </c>
      <c r="L68" s="815"/>
      <c r="M68" s="246"/>
      <c r="N68" s="816">
        <f>IF(M$5=0,0,M68/M$5*1000)</f>
        <v>0</v>
      </c>
      <c r="O68" s="816">
        <f>IF(M$27=0,0,M68/M$27*1000)</f>
        <v>0</v>
      </c>
      <c r="P68" s="818">
        <f>IF(M68=0,0,M68/M$151)</f>
        <v>0</v>
      </c>
      <c r="Q68" s="463"/>
      <c r="R68" s="246"/>
      <c r="S68" s="816">
        <f>IF(R$5=0,0,R68/R$5*1000)</f>
        <v>0</v>
      </c>
      <c r="T68" s="816">
        <f>IF(R$27=0,0,R68/R$27*1000)</f>
        <v>0</v>
      </c>
      <c r="U68" s="818">
        <f>IF(R68=0,0,R68/R$151)</f>
        <v>0</v>
      </c>
      <c r="V68" s="815"/>
      <c r="W68" s="246"/>
      <c r="X68" s="816">
        <f>IF(W$5=0,0,W68/W$5*1000)</f>
        <v>0</v>
      </c>
      <c r="Y68" s="816">
        <f>IF(W$27=0,0,W68/W$27*1000)</f>
        <v>0</v>
      </c>
      <c r="Z68" s="818">
        <f>IF(W68=0,0,W68/W$151)</f>
        <v>0</v>
      </c>
      <c r="AA68" s="463"/>
      <c r="AB68" s="246"/>
      <c r="AC68" s="816">
        <f>IF(AB$5=0,0,AB68/AB$5*1000)</f>
        <v>0</v>
      </c>
      <c r="AD68" s="816">
        <f>IF(AB$27=0,0,AB68/AB$27*1000)</f>
        <v>0</v>
      </c>
      <c r="AE68" s="818">
        <f>IF(AB68=0,0,AB68/AB$151)</f>
        <v>0</v>
      </c>
      <c r="AF68" s="815"/>
      <c r="AG68" s="246"/>
      <c r="AH68" s="816">
        <f>IF(AG$5=0,0,AG68/AG$5*1000)</f>
        <v>0</v>
      </c>
      <c r="AI68" s="816">
        <f>IF(AG$27=0,0,AG68/AG$27*1000)</f>
        <v>0</v>
      </c>
      <c r="AJ68" s="818">
        <f>IF(AG68=0,0,AG68/AG$151)</f>
        <v>0</v>
      </c>
      <c r="AK68" s="463"/>
      <c r="AL68" s="246"/>
      <c r="AM68" s="816">
        <f>IF(AL$5=0,0,AL68/AL$5*1000)</f>
        <v>0</v>
      </c>
      <c r="AN68" s="816">
        <f>IF(AL$27=0,0,AL68/AL$27*1000)</f>
        <v>0</v>
      </c>
      <c r="AO68" s="818">
        <f>IF(AL68=0,0,AL68/AL$151)</f>
        <v>0</v>
      </c>
      <c r="AP68" s="815"/>
      <c r="AQ68" s="246"/>
      <c r="AR68" s="816">
        <f>IF(AQ$5=0,0,AQ68/AQ$5*1000)</f>
        <v>0</v>
      </c>
      <c r="AS68" s="816">
        <f>IF(AQ$27=0,0,AQ68/AQ$27*1000)</f>
        <v>0</v>
      </c>
      <c r="AT68" s="818">
        <f>IF(AQ68=0,0,AQ68/AQ$151)</f>
        <v>0</v>
      </c>
      <c r="AU68" s="463"/>
      <c r="AV68" s="246"/>
      <c r="AW68" s="816">
        <f>IF(AV$5=0,0,AV68/AV$5*1000)</f>
        <v>0</v>
      </c>
      <c r="AX68" s="816">
        <f>IF(AV$27=0,0,AV68/AV$27*1000)</f>
        <v>0</v>
      </c>
      <c r="AY68" s="818">
        <f>IF(AV68=0,0,AV68/AV$151)</f>
        <v>0</v>
      </c>
      <c r="AZ68" s="815"/>
      <c r="BA68" s="246"/>
      <c r="BB68" s="816">
        <f>IF(BA$5=0,0,BA68/BA$5*1000)</f>
        <v>0</v>
      </c>
      <c r="BC68" s="816">
        <f>IF(BA$27=0,0,BA68/BA$27*1000)</f>
        <v>0</v>
      </c>
      <c r="BD68" s="818">
        <f>IF(BA68=0,0,BA68/BA$151)</f>
        <v>0</v>
      </c>
      <c r="BE68" s="463"/>
      <c r="BF68" s="246"/>
      <c r="BG68" s="816">
        <f>IF(BF$5=0,0,BF68/BF$5*1000)</f>
        <v>0</v>
      </c>
      <c r="BH68" s="816">
        <f>IF(BF$27=0,0,BF68/BF$27*1000)</f>
        <v>0</v>
      </c>
      <c r="BI68" s="818">
        <f>IF(BF68=0,0,BF68/BF$151)</f>
        <v>0</v>
      </c>
      <c r="BJ68" s="819"/>
      <c r="BK68" s="146">
        <f t="shared" si="80"/>
        <v>0</v>
      </c>
      <c r="BL68" s="147">
        <f t="shared" si="81"/>
        <v>0</v>
      </c>
      <c r="BM68" s="148">
        <f t="shared" si="82"/>
        <v>0</v>
      </c>
      <c r="BN68" s="148">
        <f t="shared" si="83"/>
        <v>0</v>
      </c>
      <c r="BO68" s="149">
        <f t="shared" si="84"/>
        <v>0</v>
      </c>
      <c r="BP68" s="149">
        <f t="shared" si="85"/>
        <v>0</v>
      </c>
      <c r="BQ68" s="820"/>
      <c r="BR68" s="146">
        <f t="shared" si="86"/>
        <v>0</v>
      </c>
      <c r="BS68" s="147">
        <f t="shared" si="87"/>
        <v>0</v>
      </c>
      <c r="BT68" s="148">
        <f t="shared" si="88"/>
        <v>0</v>
      </c>
      <c r="BU68" s="148">
        <f t="shared" si="89"/>
        <v>0</v>
      </c>
      <c r="BV68" s="149">
        <f t="shared" si="90"/>
        <v>0</v>
      </c>
      <c r="BW68" s="249">
        <f t="shared" si="91"/>
        <v>0</v>
      </c>
    </row>
    <row r="69" spans="1:75" ht="11.25" outlineLevel="2">
      <c r="A69" s="144" t="s">
        <v>98</v>
      </c>
      <c r="B69" s="805"/>
      <c r="C69" s="821">
        <v>316000</v>
      </c>
      <c r="D69" s="822">
        <f>IF(C$5=0,0,C69/C$5*1000)</f>
        <v>1652.581373943603</v>
      </c>
      <c r="E69" s="822">
        <f>IF(C$27=0,0,C69/C$27*1000)</f>
        <v>1936.0899762280624</v>
      </c>
      <c r="F69" s="823">
        <f>IF(C69=0,0,C69/C$151)</f>
        <v>21.382095337079299</v>
      </c>
      <c r="G69" s="463"/>
      <c r="H69" s="821">
        <v>313200</v>
      </c>
      <c r="I69" s="822">
        <f>IF(H$5=0,0,H69/H$5*1000)</f>
        <v>1299.2615946237452</v>
      </c>
      <c r="J69" s="822">
        <f>IF(H$27=0,0,H69/H$27*1000)</f>
        <v>1296.8627267491188</v>
      </c>
      <c r="K69" s="824">
        <f>IF(H69=0,0,H69/H$151)</f>
        <v>-21.889086906383604</v>
      </c>
      <c r="L69" s="815"/>
      <c r="M69" s="825">
        <v>472600</v>
      </c>
      <c r="N69" s="822">
        <f>IF(M$5=0,0,M69/M$5*1000)</f>
        <v>1375.5284695391754</v>
      </c>
      <c r="O69" s="822">
        <f>IF(M$27=0,0,M69/M$27*1000)</f>
        <v>1429.3478441678162</v>
      </c>
      <c r="P69" s="824">
        <f>IF(M69=0,0,M69/M$151)</f>
        <v>7.3711194008077865E-2</v>
      </c>
      <c r="Q69" s="463"/>
      <c r="R69" s="825">
        <v>781600</v>
      </c>
      <c r="S69" s="822">
        <f>IF(R$5=0,0,R69/R$5*1000)</f>
        <v>1623.9452978098764</v>
      </c>
      <c r="T69" s="822">
        <f>IF(R$27=0,0,R69/R$27*1000)</f>
        <v>1153.7129082259464</v>
      </c>
      <c r="U69" s="824">
        <f>IF(R69=0,0,R69/R$151)</f>
        <v>5.3325779120863608E-2</v>
      </c>
      <c r="V69" s="815"/>
      <c r="W69" s="825">
        <v>626400</v>
      </c>
      <c r="X69" s="822">
        <f>IF(W$5=0,0,W69/W$5*1000)</f>
        <v>1248.5424701766974</v>
      </c>
      <c r="Y69" s="822">
        <f>IF(W$27=0,0,W69/W$27*1000)</f>
        <v>1062.3975381684631</v>
      </c>
      <c r="Z69" s="824">
        <f>IF(W69=0,0,W69/W$151)</f>
        <v>0.1087891255557181</v>
      </c>
      <c r="AA69" s="463"/>
      <c r="AB69" s="825">
        <v>784400</v>
      </c>
      <c r="AC69" s="822">
        <f>IF(AB$5=0,0,AB69/AB$5*1000)</f>
        <v>1747.5576745274086</v>
      </c>
      <c r="AD69" s="822">
        <f>IF(AB$27=0,0,AB69/AB$27*1000)</f>
        <v>1562.6954863521141</v>
      </c>
      <c r="AE69" s="824">
        <f>IF(AB69=0,0,AB69/AB$151)</f>
        <v>0.11664433895646337</v>
      </c>
      <c r="AF69" s="815"/>
      <c r="AG69" s="825">
        <v>632000</v>
      </c>
      <c r="AH69" s="822">
        <f>IF(AG$5=0,0,AG69/AG$5*1000)</f>
        <v>1260.1188339913067</v>
      </c>
      <c r="AI69" s="822">
        <f>IF(AG$27=0,0,AG69/AG$27*1000)</f>
        <v>1317.142072633508</v>
      </c>
      <c r="AJ69" s="824">
        <f>IF(AG69=0,0,AG69/AG$151)</f>
        <v>0.11634704069672762</v>
      </c>
      <c r="AK69" s="463"/>
      <c r="AL69" s="825">
        <v>702600</v>
      </c>
      <c r="AM69" s="822">
        <f>IF(AL$5=0,0,AL69/AL$5*1000)</f>
        <v>1606.3908106946394</v>
      </c>
      <c r="AN69" s="822">
        <f>IF(AL$27=0,0,AL69/AL$27*1000)</f>
        <v>1294.3293049344784</v>
      </c>
      <c r="AO69" s="824">
        <f>IF(AL69=0,0,AL69/AL$151)</f>
        <v>0.11267845588773405</v>
      </c>
      <c r="AP69" s="815"/>
      <c r="AQ69" s="825">
        <v>553000</v>
      </c>
      <c r="AR69" s="822">
        <f>IF(AQ$5=0,0,AQ69/AQ$5*1000)</f>
        <v>1424.0758957772157</v>
      </c>
      <c r="AS69" s="822">
        <f>IF(AQ$27=0,0,AQ69/AQ$27*1000)</f>
        <v>1267.4910324436448</v>
      </c>
      <c r="AT69" s="824">
        <f>IF(AQ69=0,0,AQ69/AQ$151)</f>
        <v>0.1252895667317766</v>
      </c>
      <c r="AU69" s="463"/>
      <c r="AV69" s="825"/>
      <c r="AW69" s="822">
        <f>IF(AV$5=0,0,AV69/AV$5*1000)</f>
        <v>0</v>
      </c>
      <c r="AX69" s="822">
        <f>IF(AV$27=0,0,AV69/AV$27*1000)</f>
        <v>0</v>
      </c>
      <c r="AY69" s="824">
        <f>IF(AV69=0,0,AV69/AV$151)</f>
        <v>0</v>
      </c>
      <c r="AZ69" s="815"/>
      <c r="BA69" s="825"/>
      <c r="BB69" s="822">
        <f>IF(BA$5=0,0,BA69/BA$5*1000)</f>
        <v>0</v>
      </c>
      <c r="BC69" s="822">
        <f>IF(BA$27=0,0,BA69/BA$27*1000)</f>
        <v>0</v>
      </c>
      <c r="BD69" s="824">
        <f>IF(BA69=0,0,BA69/BA$151)</f>
        <v>0</v>
      </c>
      <c r="BE69" s="463"/>
      <c r="BF69" s="825"/>
      <c r="BG69" s="822">
        <f>IF(BF$5=0,0,BF69/BF$5*1000)</f>
        <v>0</v>
      </c>
      <c r="BH69" s="822">
        <f>IF(BF$27=0,0,BF69/BF$27*1000)</f>
        <v>0</v>
      </c>
      <c r="BI69" s="824">
        <f>IF(BF69=0,0,BF69/BF$151)</f>
        <v>0</v>
      </c>
      <c r="BJ69" s="819"/>
      <c r="BK69" s="146">
        <f t="shared" si="80"/>
        <v>5181800</v>
      </c>
      <c r="BL69" s="147">
        <f t="shared" si="81"/>
        <v>575755.5555555555</v>
      </c>
      <c r="BM69" s="148">
        <f t="shared" si="82"/>
        <v>1466.3211184277316</v>
      </c>
      <c r="BN69" s="148">
        <f t="shared" si="83"/>
        <v>1307.4323544073823</v>
      </c>
      <c r="BO69" s="149">
        <f t="shared" si="84"/>
        <v>0.10440243552648226</v>
      </c>
      <c r="BP69" s="149">
        <f t="shared" si="85"/>
        <v>1.4064963640252308E-2</v>
      </c>
      <c r="BQ69" s="820"/>
      <c r="BR69" s="146">
        <f t="shared" si="86"/>
        <v>4552600</v>
      </c>
      <c r="BS69" s="147">
        <f t="shared" si="87"/>
        <v>650371.42857142852</v>
      </c>
      <c r="BT69" s="148">
        <f t="shared" si="88"/>
        <v>1467.8220936429357</v>
      </c>
      <c r="BU69" s="148">
        <f t="shared" si="89"/>
        <v>1279.3163730759795</v>
      </c>
      <c r="BV69" s="149">
        <f t="shared" si="90"/>
        <v>9.172624011209024E-2</v>
      </c>
      <c r="BW69" s="149">
        <f t="shared" si="91"/>
        <v>1.4003269098512953E-2</v>
      </c>
    </row>
    <row r="70" spans="1:75" s="297" customFormat="1" ht="11.25" outlineLevel="1">
      <c r="A70" s="804" t="s">
        <v>31</v>
      </c>
      <c r="B70" s="805"/>
      <c r="C70" s="320">
        <f>C71</f>
        <v>9353.7999999999993</v>
      </c>
      <c r="D70" s="806">
        <f>D71</f>
        <v>48.917454606309093</v>
      </c>
      <c r="E70" s="806">
        <f>E71</f>
        <v>57.309488669753321</v>
      </c>
      <c r="F70" s="807">
        <f>F71</f>
        <v>0.63292355494927954</v>
      </c>
      <c r="G70" s="808"/>
      <c r="H70" s="320">
        <f>H71</f>
        <v>53599.76</v>
      </c>
      <c r="I70" s="806">
        <f>I71</f>
        <v>222.35028623579191</v>
      </c>
      <c r="J70" s="806">
        <f>J71</f>
        <v>221.93975385280442</v>
      </c>
      <c r="K70" s="809">
        <f>K71</f>
        <v>-3.7460083167346863</v>
      </c>
      <c r="L70" s="805"/>
      <c r="M70" s="810">
        <f>M71</f>
        <v>35935.21</v>
      </c>
      <c r="N70" s="806">
        <f>N71</f>
        <v>104.59141856510553</v>
      </c>
      <c r="O70" s="806">
        <f>O71</f>
        <v>108.68369645200541</v>
      </c>
      <c r="P70" s="809">
        <f>P71</f>
        <v>5.6047973678184934E-3</v>
      </c>
      <c r="Q70" s="808"/>
      <c r="R70" s="810">
        <f>R71</f>
        <v>84218.49</v>
      </c>
      <c r="S70" s="806">
        <f>S71</f>
        <v>174.98237055290187</v>
      </c>
      <c r="T70" s="806">
        <f>T71</f>
        <v>124.31417480079043</v>
      </c>
      <c r="U70" s="809">
        <f>U71</f>
        <v>5.7459270670837522E-3</v>
      </c>
      <c r="V70" s="805"/>
      <c r="W70" s="810">
        <f>W71</f>
        <v>89786.46</v>
      </c>
      <c r="X70" s="806">
        <f>X71</f>
        <v>178.96265733847579</v>
      </c>
      <c r="Y70" s="806">
        <f>Y71</f>
        <v>152.28115272168137</v>
      </c>
      <c r="Z70" s="809">
        <f>Z71</f>
        <v>1.5593535233306931E-2</v>
      </c>
      <c r="AA70" s="808"/>
      <c r="AB70" s="810">
        <f>AB71</f>
        <v>101433.71</v>
      </c>
      <c r="AC70" s="806">
        <f>AC71</f>
        <v>225.98324625992805</v>
      </c>
      <c r="AD70" s="806">
        <f>AD71</f>
        <v>202.0780224132449</v>
      </c>
      <c r="AE70" s="809">
        <f>AE71</f>
        <v>1.5083717555904652E-2</v>
      </c>
      <c r="AF70" s="805"/>
      <c r="AG70" s="810">
        <f>AG71</f>
        <v>83238.12</v>
      </c>
      <c r="AH70" s="806">
        <f>AH71</f>
        <v>165.96506759181719</v>
      </c>
      <c r="AI70" s="806">
        <f>AI71</f>
        <v>173.47536376410861</v>
      </c>
      <c r="AJ70" s="809">
        <f>AJ71</f>
        <v>1.532359008727705E-2</v>
      </c>
      <c r="AK70" s="808"/>
      <c r="AL70" s="810">
        <f>AL71</f>
        <v>64104.14</v>
      </c>
      <c r="AM70" s="806">
        <f>AM71</f>
        <v>146.56461916237211</v>
      </c>
      <c r="AN70" s="806">
        <f>AN71</f>
        <v>118.09260883806219</v>
      </c>
      <c r="AO70" s="809">
        <f>AO71</f>
        <v>1.0280608470269183E-2</v>
      </c>
      <c r="AP70" s="805"/>
      <c r="AQ70" s="810">
        <f>AQ71</f>
        <v>48937.07</v>
      </c>
      <c r="AR70" s="806">
        <f>AR71</f>
        <v>126.02188390047434</v>
      </c>
      <c r="AS70" s="806">
        <f>AS71</f>
        <v>112.16509471802335</v>
      </c>
      <c r="AT70" s="809">
        <f>AT71</f>
        <v>1.1087349543259717E-2</v>
      </c>
      <c r="AU70" s="808"/>
      <c r="AV70" s="810">
        <f>AV71</f>
        <v>0</v>
      </c>
      <c r="AW70" s="806">
        <f>AW71</f>
        <v>0</v>
      </c>
      <c r="AX70" s="806">
        <f>AX71</f>
        <v>0</v>
      </c>
      <c r="AY70" s="809">
        <f>AY71</f>
        <v>0</v>
      </c>
      <c r="AZ70" s="805"/>
      <c r="BA70" s="810">
        <f>BA71</f>
        <v>0</v>
      </c>
      <c r="BB70" s="806">
        <f>BB71</f>
        <v>0</v>
      </c>
      <c r="BC70" s="806">
        <f>BC71</f>
        <v>0</v>
      </c>
      <c r="BD70" s="809">
        <f>BD71</f>
        <v>0</v>
      </c>
      <c r="BE70" s="808"/>
      <c r="BF70" s="810">
        <f>BF71</f>
        <v>0</v>
      </c>
      <c r="BG70" s="806">
        <f>BG71</f>
        <v>0</v>
      </c>
      <c r="BH70" s="806">
        <f>BH71</f>
        <v>0</v>
      </c>
      <c r="BI70" s="809">
        <f>BI71</f>
        <v>0</v>
      </c>
      <c r="BJ70" s="811"/>
      <c r="BK70" s="810">
        <f t="shared" si="80"/>
        <v>570606.76</v>
      </c>
      <c r="BL70" s="323">
        <f t="shared" si="81"/>
        <v>63400.751111111109</v>
      </c>
      <c r="BM70" s="812">
        <f t="shared" si="82"/>
        <v>161.46758703647848</v>
      </c>
      <c r="BN70" s="812">
        <f t="shared" si="83"/>
        <v>143.97115667674709</v>
      </c>
      <c r="BO70" s="813">
        <f t="shared" si="84"/>
        <v>1.1496533149074634E-2</v>
      </c>
      <c r="BP70" s="813">
        <f t="shared" si="85"/>
        <v>1.5487983581539571E-3</v>
      </c>
      <c r="BQ70" s="814"/>
      <c r="BR70" s="810">
        <f t="shared" si="86"/>
        <v>507653.20000000007</v>
      </c>
      <c r="BS70" s="323">
        <f t="shared" si="87"/>
        <v>72521.885714285731</v>
      </c>
      <c r="BT70" s="812">
        <f t="shared" si="88"/>
        <v>163.67451189837368</v>
      </c>
      <c r="BU70" s="812">
        <f t="shared" si="89"/>
        <v>142.65453819892258</v>
      </c>
      <c r="BV70" s="813">
        <f t="shared" si="90"/>
        <v>1.0228247444728502E-2</v>
      </c>
      <c r="BW70" s="813">
        <f t="shared" si="91"/>
        <v>1.5614823108380303E-3</v>
      </c>
    </row>
    <row r="71" spans="1:75" s="297" customFormat="1" ht="11.25" outlineLevel="2">
      <c r="A71" s="144" t="s">
        <v>395</v>
      </c>
      <c r="B71" s="805"/>
      <c r="C71" s="821">
        <v>9353.7999999999993</v>
      </c>
      <c r="D71" s="822">
        <f>IF(C$5=0,0,C71/C$5*1000)</f>
        <v>48.917454606309093</v>
      </c>
      <c r="E71" s="822">
        <f>IF(C$27=0,0,C71/C$27*1000)</f>
        <v>57.309488669753321</v>
      </c>
      <c r="F71" s="823">
        <f>IF(C71=0,0,C71/C$151)</f>
        <v>0.63292355494927954</v>
      </c>
      <c r="G71" s="463"/>
      <c r="H71" s="821">
        <v>53599.76</v>
      </c>
      <c r="I71" s="822">
        <f>IF(H$5=0,0,H71/H$5*1000)</f>
        <v>222.35028623579191</v>
      </c>
      <c r="J71" s="822">
        <f>IF(H$27=0,0,H71/H$27*1000)</f>
        <v>221.93975385280442</v>
      </c>
      <c r="K71" s="824">
        <f>IF(H71=0,0,H71/H$151)</f>
        <v>-3.7460083167346863</v>
      </c>
      <c r="L71" s="815"/>
      <c r="M71" s="825">
        <v>35935.21</v>
      </c>
      <c r="N71" s="822">
        <f>IF(M$5=0,0,M71/M$5*1000)</f>
        <v>104.59141856510553</v>
      </c>
      <c r="O71" s="822">
        <f>IF(M$27=0,0,M71/M$27*1000)</f>
        <v>108.68369645200541</v>
      </c>
      <c r="P71" s="824">
        <f>IF(M71=0,0,M71/M$151)</f>
        <v>5.6047973678184934E-3</v>
      </c>
      <c r="Q71" s="463"/>
      <c r="R71" s="825">
        <v>84218.49</v>
      </c>
      <c r="S71" s="822">
        <f>IF(R$5=0,0,R71/R$5*1000)</f>
        <v>174.98237055290187</v>
      </c>
      <c r="T71" s="822">
        <f>IF(R$27=0,0,R71/R$27*1000)</f>
        <v>124.31417480079043</v>
      </c>
      <c r="U71" s="824">
        <f>IF(R71=0,0,R71/R$151)</f>
        <v>5.7459270670837522E-3</v>
      </c>
      <c r="V71" s="815"/>
      <c r="W71" s="825">
        <v>89786.46</v>
      </c>
      <c r="X71" s="822">
        <f>IF(W$5=0,0,W71/W$5*1000)</f>
        <v>178.96265733847579</v>
      </c>
      <c r="Y71" s="822">
        <f>IF(W$27=0,0,W71/W$27*1000)</f>
        <v>152.28115272168137</v>
      </c>
      <c r="Z71" s="824">
        <f>IF(W71=0,0,W71/W$151)</f>
        <v>1.5593535233306931E-2</v>
      </c>
      <c r="AA71" s="463"/>
      <c r="AB71" s="825">
        <v>101433.71</v>
      </c>
      <c r="AC71" s="822">
        <f>IF(AB$5=0,0,AB71/AB$5*1000)</f>
        <v>225.98324625992805</v>
      </c>
      <c r="AD71" s="822">
        <f>IF(AB$27=0,0,AB71/AB$27*1000)</f>
        <v>202.0780224132449</v>
      </c>
      <c r="AE71" s="824">
        <f>IF(AB71=0,0,AB71/AB$151)</f>
        <v>1.5083717555904652E-2</v>
      </c>
      <c r="AF71" s="815"/>
      <c r="AG71" s="825">
        <v>83238.12</v>
      </c>
      <c r="AH71" s="822">
        <f>IF(AG$5=0,0,AG71/AG$5*1000)</f>
        <v>165.96506759181719</v>
      </c>
      <c r="AI71" s="822">
        <f>IF(AG$27=0,0,AG71/AG$27*1000)</f>
        <v>173.47536376410861</v>
      </c>
      <c r="AJ71" s="824">
        <f>IF(AG71=0,0,AG71/AG$151)</f>
        <v>1.532359008727705E-2</v>
      </c>
      <c r="AK71" s="463"/>
      <c r="AL71" s="825">
        <v>64104.14</v>
      </c>
      <c r="AM71" s="822">
        <f>IF(AL$5=0,0,AL71/AL$5*1000)</f>
        <v>146.56461916237211</v>
      </c>
      <c r="AN71" s="822">
        <f>IF(AL$27=0,0,AL71/AL$27*1000)</f>
        <v>118.09260883806219</v>
      </c>
      <c r="AO71" s="824">
        <f>IF(AL71=0,0,AL71/AL$151)</f>
        <v>1.0280608470269183E-2</v>
      </c>
      <c r="AP71" s="815"/>
      <c r="AQ71" s="825">
        <v>48937.07</v>
      </c>
      <c r="AR71" s="822">
        <f>IF(AQ$5=0,0,AQ71/AQ$5*1000)</f>
        <v>126.02188390047434</v>
      </c>
      <c r="AS71" s="822">
        <f>IF(AQ$27=0,0,AQ71/AQ$27*1000)</f>
        <v>112.16509471802335</v>
      </c>
      <c r="AT71" s="824">
        <f>IF(AQ71=0,0,AQ71/AQ$151)</f>
        <v>1.1087349543259717E-2</v>
      </c>
      <c r="AU71" s="463"/>
      <c r="AV71" s="825"/>
      <c r="AW71" s="822">
        <f>IF(AV$5=0,0,AV71/AV$5*1000)</f>
        <v>0</v>
      </c>
      <c r="AX71" s="822">
        <f>IF(AV$27=0,0,AV71/AV$27*1000)</f>
        <v>0</v>
      </c>
      <c r="AY71" s="824">
        <f>IF(AV71=0,0,AV71/AV$151)</f>
        <v>0</v>
      </c>
      <c r="AZ71" s="815"/>
      <c r="BA71" s="825"/>
      <c r="BB71" s="822">
        <f>IF(BA$5=0,0,BA71/BA$5*1000)</f>
        <v>0</v>
      </c>
      <c r="BC71" s="822">
        <f>IF(BA$27=0,0,BA71/BA$27*1000)</f>
        <v>0</v>
      </c>
      <c r="BD71" s="824">
        <f>IF(BA71=0,0,BA71/BA$151)</f>
        <v>0</v>
      </c>
      <c r="BE71" s="463"/>
      <c r="BF71" s="825"/>
      <c r="BG71" s="822">
        <f>IF(BF$5=0,0,BF71/BF$5*1000)</f>
        <v>0</v>
      </c>
      <c r="BH71" s="822">
        <f>IF(BF$27=0,0,BF71/BF$27*1000)</f>
        <v>0</v>
      </c>
      <c r="BI71" s="824">
        <f>IF(BF71=0,0,BF71/BF$151)</f>
        <v>0</v>
      </c>
      <c r="BJ71" s="819"/>
      <c r="BK71" s="162">
        <f t="shared" si="80"/>
        <v>570606.76</v>
      </c>
      <c r="BL71" s="163">
        <f t="shared" si="81"/>
        <v>63400.751111111109</v>
      </c>
      <c r="BM71" s="164">
        <f t="shared" si="82"/>
        <v>161.46758703647848</v>
      </c>
      <c r="BN71" s="164">
        <f t="shared" si="83"/>
        <v>143.97115667674709</v>
      </c>
      <c r="BO71" s="165">
        <f t="shared" si="84"/>
        <v>1.1496533149074634E-2</v>
      </c>
      <c r="BP71" s="165">
        <f t="shared" si="85"/>
        <v>1.5487983581539571E-3</v>
      </c>
      <c r="BQ71" s="820"/>
      <c r="BR71" s="162">
        <f t="shared" si="86"/>
        <v>507653.20000000007</v>
      </c>
      <c r="BS71" s="163">
        <f t="shared" si="87"/>
        <v>72521.885714285731</v>
      </c>
      <c r="BT71" s="164">
        <f t="shared" si="88"/>
        <v>163.67451189837368</v>
      </c>
      <c r="BU71" s="164">
        <f t="shared" si="89"/>
        <v>142.65453819892258</v>
      </c>
      <c r="BV71" s="165">
        <f t="shared" si="90"/>
        <v>1.0228247444728502E-2</v>
      </c>
      <c r="BW71" s="165">
        <f t="shared" si="91"/>
        <v>1.5614823108380303E-3</v>
      </c>
    </row>
    <row r="72" spans="1:75" s="297" customFormat="1" ht="22.5" outlineLevel="1">
      <c r="A72" s="804" t="s">
        <v>396</v>
      </c>
      <c r="B72" s="805"/>
      <c r="C72" s="830">
        <f>C73-C74</f>
        <v>-2556270.36</v>
      </c>
      <c r="D72" s="806">
        <f>D73-D74</f>
        <v>-13368.49615094971</v>
      </c>
      <c r="E72" s="806">
        <f>E73-E74</f>
        <v>-15661.928545964875</v>
      </c>
      <c r="F72" s="807"/>
      <c r="G72" s="808"/>
      <c r="H72" s="830">
        <f>H73-H74</f>
        <v>-3855510.58</v>
      </c>
      <c r="I72" s="806">
        <f>I73-I74</f>
        <v>-15993.987306064881</v>
      </c>
      <c r="J72" s="806">
        <f>J73-J74</f>
        <v>-15964.457100219912</v>
      </c>
      <c r="K72" s="809"/>
      <c r="L72" s="805"/>
      <c r="M72" s="831">
        <f>M73-M74</f>
        <v>1174563.1000000001</v>
      </c>
      <c r="N72" s="806">
        <f>N73-N74</f>
        <v>3418.6309422771674</v>
      </c>
      <c r="O72" s="806">
        <f>O73-O74</f>
        <v>3552.3894092764863</v>
      </c>
      <c r="P72" s="809"/>
      <c r="Q72" s="808"/>
      <c r="R72" s="831">
        <f>R73-R74</f>
        <v>8156264.8199999994</v>
      </c>
      <c r="S72" s="806">
        <f>S73-S74</f>
        <v>16946.427715111458</v>
      </c>
      <c r="T72" s="806">
        <f>T73-T74</f>
        <v>12039.391000183183</v>
      </c>
      <c r="U72" s="809"/>
      <c r="V72" s="805"/>
      <c r="W72" s="831">
        <f>W73-W74</f>
        <v>344995.6</v>
      </c>
      <c r="X72" s="806">
        <f>X73-X74</f>
        <v>687.64632602824361</v>
      </c>
      <c r="Y72" s="806">
        <f>Y73-Y74</f>
        <v>585.1252811605234</v>
      </c>
      <c r="Z72" s="809"/>
      <c r="AA72" s="808"/>
      <c r="AB72" s="831">
        <f>AB73-AB74</f>
        <v>690479.2</v>
      </c>
      <c r="AC72" s="806">
        <f>AC73-AC74</f>
        <v>1538.3123725924854</v>
      </c>
      <c r="AD72" s="806">
        <f>AD73-AD74</f>
        <v>1375.5848154768212</v>
      </c>
      <c r="AE72" s="809"/>
      <c r="AF72" s="805"/>
      <c r="AG72" s="831">
        <f>AG73-AG74</f>
        <v>6652.8800000000047</v>
      </c>
      <c r="AH72" s="806">
        <f>AH73-AH74</f>
        <v>13.264904095386214</v>
      </c>
      <c r="AI72" s="806">
        <f>AI73-AI74</f>
        <v>13.865171126870223</v>
      </c>
      <c r="AJ72" s="809"/>
      <c r="AK72" s="808"/>
      <c r="AL72" s="831">
        <f>AL73-AL74</f>
        <v>242455.82</v>
      </c>
      <c r="AM72" s="806">
        <f>AM73-AM74</f>
        <v>554.33931290554165</v>
      </c>
      <c r="AN72" s="806">
        <f>AN73-AN74</f>
        <v>446.65196837164672</v>
      </c>
      <c r="AO72" s="809"/>
      <c r="AP72" s="805"/>
      <c r="AQ72" s="831">
        <f>AQ73-AQ74</f>
        <v>346989.86</v>
      </c>
      <c r="AR72" s="806">
        <f>AR73-AR74</f>
        <v>893.56219838175537</v>
      </c>
      <c r="AS72" s="806">
        <f>AS73-AS74</f>
        <v>795.31019149887118</v>
      </c>
      <c r="AT72" s="809"/>
      <c r="AU72" s="808"/>
      <c r="AV72" s="831">
        <f>AV73-AV74</f>
        <v>0</v>
      </c>
      <c r="AW72" s="806">
        <f>AW73-AW74</f>
        <v>0</v>
      </c>
      <c r="AX72" s="806">
        <f>AX73-AX74</f>
        <v>0</v>
      </c>
      <c r="AY72" s="809"/>
      <c r="AZ72" s="805"/>
      <c r="BA72" s="831">
        <f>BA73-BA74</f>
        <v>0</v>
      </c>
      <c r="BB72" s="806">
        <f>BB73-BB74</f>
        <v>0</v>
      </c>
      <c r="BC72" s="806">
        <f>BC73-BC74</f>
        <v>0</v>
      </c>
      <c r="BD72" s="809"/>
      <c r="BE72" s="808"/>
      <c r="BF72" s="831">
        <f>BF73-BF74</f>
        <v>0</v>
      </c>
      <c r="BG72" s="806">
        <f>BG73-BG74</f>
        <v>0</v>
      </c>
      <c r="BH72" s="806">
        <f>BH73-BH74</f>
        <v>0</v>
      </c>
      <c r="BI72" s="809"/>
      <c r="BJ72" s="811"/>
      <c r="BK72" s="810">
        <f t="shared" si="80"/>
        <v>4550620.34</v>
      </c>
      <c r="BL72" s="323">
        <f t="shared" si="81"/>
        <v>505624.4822222222</v>
      </c>
      <c r="BM72" s="812">
        <f t="shared" si="82"/>
        <v>1287.7129002448539</v>
      </c>
      <c r="BN72" s="812">
        <f t="shared" si="83"/>
        <v>1148.1779044232355</v>
      </c>
      <c r="BO72" s="813">
        <f t="shared" si="84"/>
        <v>9.1685485092506236E-2</v>
      </c>
      <c r="BP72" s="813">
        <f t="shared" si="85"/>
        <v>1.2351752214036164E-2</v>
      </c>
      <c r="BQ72" s="814"/>
      <c r="BR72" s="810">
        <f t="shared" si="86"/>
        <v>10962401.279999999</v>
      </c>
      <c r="BS72" s="323">
        <f t="shared" si="87"/>
        <v>1566057.3257142857</v>
      </c>
      <c r="BT72" s="812">
        <f t="shared" si="88"/>
        <v>3534.431928604225</v>
      </c>
      <c r="BU72" s="812">
        <f t="shared" si="89"/>
        <v>3080.5208992077219</v>
      </c>
      <c r="BV72" s="813">
        <f t="shared" si="90"/>
        <v>0.2208715573549983</v>
      </c>
      <c r="BW72" s="813">
        <f t="shared" si="91"/>
        <v>3.3719073735826305E-2</v>
      </c>
    </row>
    <row r="73" spans="1:75" s="297" customFormat="1" ht="11.25" outlineLevel="2">
      <c r="A73" s="144" t="s">
        <v>58</v>
      </c>
      <c r="B73" s="805"/>
      <c r="C73" s="821"/>
      <c r="D73" s="822">
        <f>IF(C$5=0,0,C73/C$5*1000)</f>
        <v>0</v>
      </c>
      <c r="E73" s="822">
        <f>IF(C$27=0,0,C73/C$27*1000)</f>
        <v>0</v>
      </c>
      <c r="F73" s="823">
        <f>IF(C73=0,0,C73/C$151)</f>
        <v>0</v>
      </c>
      <c r="G73" s="463"/>
      <c r="H73" s="821"/>
      <c r="I73" s="822">
        <f>IF(H$5=0,0,H73/H$5*1000)</f>
        <v>0</v>
      </c>
      <c r="J73" s="822">
        <f>IF(H$27=0,0,H73/H$27*1000)</f>
        <v>0</v>
      </c>
      <c r="K73" s="824">
        <f>IF(H73=0,0,H73/H$151)</f>
        <v>0</v>
      </c>
      <c r="L73" s="815"/>
      <c r="M73" s="825">
        <v>1689965.27</v>
      </c>
      <c r="N73" s="822">
        <f>IF(M$5=0,0,M73/M$5*1000)</f>
        <v>4918.7374977093932</v>
      </c>
      <c r="O73" s="822">
        <f>IF(M$27=0,0,M73/M$27*1000)</f>
        <v>5111.1896220757126</v>
      </c>
      <c r="P73" s="824">
        <f>IF(M73=0,0,M73/M$151)</f>
        <v>0.26358306788803154</v>
      </c>
      <c r="Q73" s="463"/>
      <c r="R73" s="825">
        <v>8182060.3899999997</v>
      </c>
      <c r="S73" s="822">
        <f>IF(R$5=0,0,R73/R$5*1000)</f>
        <v>17000.023665221266</v>
      </c>
      <c r="T73" s="822">
        <f>IF(R$27=0,0,R73/R$27*1000)</f>
        <v>12077.467614927356</v>
      </c>
      <c r="U73" s="824">
        <f>IF(R73=0,0,R73/R$151)</f>
        <v>0.55823278545382182</v>
      </c>
      <c r="V73" s="815"/>
      <c r="W73" s="825">
        <v>616058.81999999995</v>
      </c>
      <c r="X73" s="822">
        <f>IF(W$5=0,0,W73/W$5*1000)</f>
        <v>1227.9303973450533</v>
      </c>
      <c r="Y73" s="822">
        <f>IF(W$27=0,0,W73/W$27*1000)</f>
        <v>1044.8585149025675</v>
      </c>
      <c r="Z73" s="824">
        <f>IF(W73=0,0,W73/W$151)</f>
        <v>0.1069931358855165</v>
      </c>
      <c r="AA73" s="463"/>
      <c r="AB73" s="825">
        <v>889793.15</v>
      </c>
      <c r="AC73" s="822">
        <f>IF(AB$5=0,0,AB73/AB$5*1000)</f>
        <v>1982.362121397779</v>
      </c>
      <c r="AD73" s="822">
        <f>IF(AB$27=0,0,AB73/AB$27*1000)</f>
        <v>1772.661574824107</v>
      </c>
      <c r="AE73" s="824">
        <f>IF(AB73=0,0,AB73/AB$151)</f>
        <v>0.13231684572888738</v>
      </c>
      <c r="AF73" s="815"/>
      <c r="AG73" s="825">
        <v>384962.11</v>
      </c>
      <c r="AH73" s="822">
        <f>IF(AG$5=0,0,AG73/AG$5*1000)</f>
        <v>767.56013478486261</v>
      </c>
      <c r="AI73" s="822">
        <f>IF(AG$27=0,0,AG73/AG$27*1000)</f>
        <v>802.2939738145069</v>
      </c>
      <c r="AJ73" s="824">
        <f>IF(AG73=0,0,AG73/AG$151)</f>
        <v>7.0868990947576149E-2</v>
      </c>
      <c r="AK73" s="463"/>
      <c r="AL73" s="825">
        <v>666159.37</v>
      </c>
      <c r="AM73" s="822">
        <f>IF(AL$5=0,0,AL73/AL$5*1000)</f>
        <v>1523.0747088330918</v>
      </c>
      <c r="AN73" s="822">
        <f>IF(AL$27=0,0,AL73/AL$27*1000)</f>
        <v>1227.1983978760177</v>
      </c>
      <c r="AO73" s="824">
        <f>IF(AL73=0,0,AL73/AL$151)</f>
        <v>0.1068343427081493</v>
      </c>
      <c r="AP73" s="815"/>
      <c r="AQ73" s="825">
        <v>435665.79</v>
      </c>
      <c r="AR73" s="822">
        <f>IF(AQ$5=0,0,AQ73/AQ$5*1000)</f>
        <v>1121.9188972038669</v>
      </c>
      <c r="AS73" s="822">
        <f>IF(AQ$27=0,0,AQ73/AQ$27*1000)</f>
        <v>998.55783357590622</v>
      </c>
      <c r="AT73" s="824">
        <f>IF(AQ73=0,0,AQ73/AQ$151)</f>
        <v>9.8705927791965964E-2</v>
      </c>
      <c r="AU73" s="463"/>
      <c r="AV73" s="825"/>
      <c r="AW73" s="822">
        <f>IF(AV$5=0,0,AV73/AV$5*1000)</f>
        <v>0</v>
      </c>
      <c r="AX73" s="822">
        <f>IF(AV$27=0,0,AV73/AV$27*1000)</f>
        <v>0</v>
      </c>
      <c r="AY73" s="824">
        <f>IF(AV73=0,0,AV73/AV$151)</f>
        <v>0</v>
      </c>
      <c r="AZ73" s="815"/>
      <c r="BA73" s="825"/>
      <c r="BB73" s="822">
        <f>IF(BA$5=0,0,BA73/BA$5*1000)</f>
        <v>0</v>
      </c>
      <c r="BC73" s="822">
        <f>IF(BA$27=0,0,BA73/BA$27*1000)</f>
        <v>0</v>
      </c>
      <c r="BD73" s="824">
        <f>IF(BA73=0,0,BA73/BA$151)</f>
        <v>0</v>
      </c>
      <c r="BE73" s="463"/>
      <c r="BF73" s="825"/>
      <c r="BG73" s="822">
        <f>IF(BF$5=0,0,BF73/BF$5*1000)</f>
        <v>0</v>
      </c>
      <c r="BH73" s="822">
        <f>IF(BF$27=0,0,BF73/BF$27*1000)</f>
        <v>0</v>
      </c>
      <c r="BI73" s="824">
        <f>IF(BF73=0,0,BF73/BF$151)</f>
        <v>0</v>
      </c>
      <c r="BJ73" s="819"/>
      <c r="BK73" s="162">
        <f t="shared" si="80"/>
        <v>12864664.899999999</v>
      </c>
      <c r="BL73" s="163">
        <f t="shared" si="81"/>
        <v>1429407.2111111109</v>
      </c>
      <c r="BM73" s="164">
        <f t="shared" si="82"/>
        <v>3640.3816867432124</v>
      </c>
      <c r="BN73" s="164">
        <f t="shared" si="83"/>
        <v>3245.9143770251667</v>
      </c>
      <c r="BO73" s="165">
        <f t="shared" si="84"/>
        <v>0.25919609938477928</v>
      </c>
      <c r="BP73" s="165">
        <f t="shared" si="85"/>
        <v>3.4918569621083424E-2</v>
      </c>
      <c r="BQ73" s="820"/>
      <c r="BR73" s="162">
        <f t="shared" si="86"/>
        <v>12864664.899999999</v>
      </c>
      <c r="BS73" s="163">
        <f t="shared" si="87"/>
        <v>1837809.2714285713</v>
      </c>
      <c r="BT73" s="164">
        <f t="shared" si="88"/>
        <v>4147.7484003718282</v>
      </c>
      <c r="BU73" s="164">
        <f t="shared" si="89"/>
        <v>3615.0719238909323</v>
      </c>
      <c r="BV73" s="165">
        <f t="shared" si="90"/>
        <v>0.25919855501888572</v>
      </c>
      <c r="BW73" s="165">
        <f t="shared" si="91"/>
        <v>3.957021580127712E-2</v>
      </c>
    </row>
    <row r="74" spans="1:75" s="317" customFormat="1" ht="11.25" outlineLevel="2">
      <c r="A74" s="144" t="s">
        <v>110</v>
      </c>
      <c r="B74" s="805"/>
      <c r="C74" s="821">
        <v>2556270.36</v>
      </c>
      <c r="D74" s="822">
        <f>IF(C$5=0,0,C74/C$5*1000)</f>
        <v>13368.49615094971</v>
      </c>
      <c r="E74" s="822">
        <f>IF(C$27=0,0,C74/C$27*1000)</f>
        <v>15661.928545964875</v>
      </c>
      <c r="F74" s="823">
        <f>IF(D$27=0,0,D74/D$27*1000)</f>
        <v>0.73243045317312683</v>
      </c>
      <c r="G74" s="832"/>
      <c r="H74" s="821">
        <v>3855510.58</v>
      </c>
      <c r="I74" s="822">
        <f>IF(H$5=0,0,H74/H$5*1000)</f>
        <v>15993.987306064881</v>
      </c>
      <c r="J74" s="822">
        <f>IF(H$27=0,0,H74/H$27*1000)</f>
        <v>15964.457100219912</v>
      </c>
      <c r="K74" s="824">
        <f>IF(I$27=0,0,I74/I$27*1000)</f>
        <v>0.63830484859960024</v>
      </c>
      <c r="L74" s="833"/>
      <c r="M74" s="825">
        <v>515402.17</v>
      </c>
      <c r="N74" s="822">
        <f>IF(M$5=0,0,M74/M$5*1000)</f>
        <v>1500.1065554322256</v>
      </c>
      <c r="O74" s="822">
        <f>IF(M$27=0,0,M74/M$27*1000)</f>
        <v>1558.8002127992263</v>
      </c>
      <c r="P74" s="824">
        <f>IF(N$27=0,0,N74/N$27*1000)</f>
        <v>4.5192435880222773E-2</v>
      </c>
      <c r="Q74" s="832"/>
      <c r="R74" s="825">
        <v>25795.57</v>
      </c>
      <c r="S74" s="822">
        <f>IF(R$5=0,0,R74/R$5*1000)</f>
        <v>53.595950109807461</v>
      </c>
      <c r="T74" s="822">
        <f>IF(R$27=0,0,R74/R$27*1000)</f>
        <v>38.076614744173462</v>
      </c>
      <c r="U74" s="824">
        <f>IF(S$27=0,0,S74/S$27*1000)</f>
        <v>9.2702789442965976E-4</v>
      </c>
      <c r="V74" s="833"/>
      <c r="W74" s="825">
        <v>271063.21999999997</v>
      </c>
      <c r="X74" s="822">
        <f>IF(W$5=0,0,W74/W$5*1000)</f>
        <v>540.28407131680967</v>
      </c>
      <c r="Y74" s="822">
        <f>IF(W$27=0,0,W74/W$27*1000)</f>
        <v>459.73323374204421</v>
      </c>
      <c r="Z74" s="824">
        <f>IF(X$27=0,0,X74/X$27*1000)</f>
        <v>9.5210353156549108E-3</v>
      </c>
      <c r="AA74" s="832"/>
      <c r="AB74" s="825">
        <v>199313.95</v>
      </c>
      <c r="AC74" s="822">
        <f>IF(AB$5=0,0,AB74/AB$5*1000)</f>
        <v>444.04974880529352</v>
      </c>
      <c r="AD74" s="822">
        <f>IF(AB$27=0,0,AB74/AB$27*1000)</f>
        <v>397.07675934728576</v>
      </c>
      <c r="AE74" s="824">
        <f>IF(AC$27=0,0,AC74/AC$27*1000)</f>
        <v>1.0021988707171903E-2</v>
      </c>
      <c r="AF74" s="833"/>
      <c r="AG74" s="825">
        <v>378309.23</v>
      </c>
      <c r="AH74" s="822">
        <f>IF(AG$5=0,0,AG74/AG$5*1000)</f>
        <v>754.2952306894764</v>
      </c>
      <c r="AI74" s="822">
        <f>IF(AG$27=0,0,AG74/AG$27*1000)</f>
        <v>788.42880268763668</v>
      </c>
      <c r="AJ74" s="824">
        <f>IF(AH$27=0,0,AH74/AH$27*1000)</f>
        <v>1.7128725621708751E-2</v>
      </c>
      <c r="AK74" s="832"/>
      <c r="AL74" s="825">
        <v>423703.55</v>
      </c>
      <c r="AM74" s="822">
        <f>IF(AL$5=0,0,AL74/AL$5*1000)</f>
        <v>968.73539592755014</v>
      </c>
      <c r="AN74" s="822">
        <f>IF(AL$27=0,0,AL74/AL$27*1000)</f>
        <v>780.54642950437096</v>
      </c>
      <c r="AO74" s="824">
        <f>IF(AM$27=0,0,AM74/AM$27*1000)</f>
        <v>1.9206885813856961E-2</v>
      </c>
      <c r="AP74" s="833"/>
      <c r="AQ74" s="825">
        <v>88675.93</v>
      </c>
      <c r="AR74" s="822">
        <f>IF(AQ$5=0,0,AQ74/AQ$5*1000)</f>
        <v>228.35669882211155</v>
      </c>
      <c r="AS74" s="822">
        <f>IF(AQ$27=0,0,AQ74/AQ$27*1000)</f>
        <v>203.24764207703501</v>
      </c>
      <c r="AT74" s="824">
        <f>IF(AR$27=0,0,AR74/AR$27*1000)</f>
        <v>5.9200279432601909E-3</v>
      </c>
      <c r="AU74" s="832"/>
      <c r="AV74" s="825"/>
      <c r="AW74" s="822">
        <f>IF(AV$5=0,0,AV74/AV$5*1000)</f>
        <v>0</v>
      </c>
      <c r="AX74" s="822">
        <f>IF(AV$27=0,0,AV74/AV$27*1000)</f>
        <v>0</v>
      </c>
      <c r="AY74" s="824">
        <f>IF(AW$27=0,0,AW74/AW$27*1000)</f>
        <v>0</v>
      </c>
      <c r="AZ74" s="833"/>
      <c r="BA74" s="825"/>
      <c r="BB74" s="822">
        <f>IF(BA$5=0,0,BA74/BA$5*1000)</f>
        <v>0</v>
      </c>
      <c r="BC74" s="822">
        <f>IF(BA$27=0,0,BA74/BA$27*1000)</f>
        <v>0</v>
      </c>
      <c r="BD74" s="824">
        <f>IF(BB$27=0,0,BB74/BB$27*1000)</f>
        <v>0</v>
      </c>
      <c r="BE74" s="832"/>
      <c r="BF74" s="825"/>
      <c r="BG74" s="822">
        <f>IF(BF$5=0,0,BF74/BF$5*1000)</f>
        <v>0</v>
      </c>
      <c r="BH74" s="822">
        <f>IF(BF$27=0,0,BF74/BF$27*1000)</f>
        <v>0</v>
      </c>
      <c r="BI74" s="824">
        <f>IF(BG$27=0,0,BG74/BG$27*1000)</f>
        <v>0</v>
      </c>
      <c r="BJ74" s="834"/>
      <c r="BK74" s="167">
        <f t="shared" si="80"/>
        <v>8314044.5599999996</v>
      </c>
      <c r="BL74" s="168">
        <f t="shared" si="81"/>
        <v>923782.72888888884</v>
      </c>
      <c r="BM74" s="169">
        <f t="shared" si="82"/>
        <v>2352.6687864983587</v>
      </c>
      <c r="BN74" s="169">
        <f t="shared" si="83"/>
        <v>2097.7364726019314</v>
      </c>
      <c r="BO74" s="170">
        <f t="shared" si="84"/>
        <v>0.16751061429227307</v>
      </c>
      <c r="BP74" s="170">
        <f t="shared" si="85"/>
        <v>2.256681740704726E-2</v>
      </c>
      <c r="BQ74" s="835"/>
      <c r="BR74" s="167">
        <f t="shared" si="86"/>
        <v>1902263.6199999999</v>
      </c>
      <c r="BS74" s="168">
        <f t="shared" si="87"/>
        <v>271751.94571428571</v>
      </c>
      <c r="BT74" s="169">
        <f t="shared" si="88"/>
        <v>613.31647176760293</v>
      </c>
      <c r="BU74" s="169">
        <f t="shared" si="89"/>
        <v>534.55102468321036</v>
      </c>
      <c r="BV74" s="170">
        <f t="shared" si="90"/>
        <v>3.832699766388744E-2</v>
      </c>
      <c r="BW74" s="170">
        <f t="shared" si="91"/>
        <v>5.8511420654508159E-3</v>
      </c>
    </row>
    <row r="75" spans="1:75" ht="22.5">
      <c r="A75" s="123" t="s">
        <v>397</v>
      </c>
      <c r="B75" s="489"/>
      <c r="C75" s="286">
        <f>C76</f>
        <v>268167.46000000002</v>
      </c>
      <c r="D75" s="799">
        <f>D76</f>
        <v>1402.4321186511588</v>
      </c>
      <c r="E75" s="799">
        <f>E76</f>
        <v>1643.0263647358859</v>
      </c>
      <c r="F75" s="800">
        <f>IF(C75=0,0,C75/C$151)</f>
        <v>18.145513278551899</v>
      </c>
      <c r="G75" s="801"/>
      <c r="H75" s="286">
        <f>H76</f>
        <v>373030.82</v>
      </c>
      <c r="I75" s="799">
        <f>I76</f>
        <v>1547.4604662739566</v>
      </c>
      <c r="J75" s="799">
        <f>J76</f>
        <v>1544.6033409535751</v>
      </c>
      <c r="K75" s="802">
        <f>IF(H75=0,0,H75/H$151)</f>
        <v>-26.070574833140292</v>
      </c>
      <c r="L75" s="489"/>
      <c r="M75" s="119">
        <f>M76</f>
        <v>475776.55</v>
      </c>
      <c r="N75" s="799">
        <f>N76</f>
        <v>1384.773994211022</v>
      </c>
      <c r="O75" s="799">
        <f>O76</f>
        <v>1438.9551122473576</v>
      </c>
      <c r="P75" s="802">
        <f>IF(M75=0,0,M75/M$151)</f>
        <v>7.4206638979145076E-2</v>
      </c>
      <c r="Q75" s="801"/>
      <c r="R75" s="119">
        <f>R76</f>
        <v>690465.62</v>
      </c>
      <c r="S75" s="799">
        <f>S76</f>
        <v>1434.5936500746941</v>
      </c>
      <c r="T75" s="799">
        <f>T76</f>
        <v>1019.1902488232231</v>
      </c>
      <c r="U75" s="802">
        <f>IF(R75=0,0,R75/R$151)</f>
        <v>4.7108005556128645E-2</v>
      </c>
      <c r="V75" s="489"/>
      <c r="W75" s="119">
        <f>W76</f>
        <v>723265.33</v>
      </c>
      <c r="X75" s="799">
        <f>X76</f>
        <v>1441.6147536899175</v>
      </c>
      <c r="Y75" s="799">
        <f>Y76</f>
        <v>1226.6847158917642</v>
      </c>
      <c r="Z75" s="802">
        <f>IF(W75=0,0,W75/W$151)</f>
        <v>0.1256120734282693</v>
      </c>
      <c r="AA75" s="801"/>
      <c r="AB75" s="119">
        <f>AB76</f>
        <v>675089.72</v>
      </c>
      <c r="AC75" s="799">
        <f>AC76</f>
        <v>1504.0262891134107</v>
      </c>
      <c r="AD75" s="799">
        <f>AD76</f>
        <v>1344.9256225480781</v>
      </c>
      <c r="AE75" s="802">
        <f>IF(AB75=0,0,AB75/AB$151)</f>
        <v>0.10038933468345736</v>
      </c>
      <c r="AF75" s="489"/>
      <c r="AG75" s="119">
        <f>AG76</f>
        <v>709775.89999999991</v>
      </c>
      <c r="AH75" s="799">
        <f>AH76</f>
        <v>1415.1930055429277</v>
      </c>
      <c r="AI75" s="799">
        <f>AI76</f>
        <v>1479.2337025811919</v>
      </c>
      <c r="AJ75" s="802">
        <f>IF(AG75=0,0,AG75/AG$151)</f>
        <v>0.13066507202983615</v>
      </c>
      <c r="AK75" s="801"/>
      <c r="AL75" s="119">
        <f>AL76</f>
        <v>639602.74</v>
      </c>
      <c r="AM75" s="799">
        <f>AM76</f>
        <v>1462.356908669389</v>
      </c>
      <c r="AN75" s="799">
        <f>AN76</f>
        <v>1178.2757897785195</v>
      </c>
      <c r="AO75" s="802">
        <f>IF(AL75=0,0,AL75/AL$151)</f>
        <v>0.10257536169194965</v>
      </c>
      <c r="AP75" s="489"/>
      <c r="AQ75" s="119">
        <f>AQ76</f>
        <v>550284.22</v>
      </c>
      <c r="AR75" s="799">
        <f>AR76</f>
        <v>1417.0822667786013</v>
      </c>
      <c r="AS75" s="799">
        <f>AS76</f>
        <v>1261.2663908593956</v>
      </c>
      <c r="AT75" s="802">
        <f>IF(AQ75=0,0,AQ75/AQ$151)</f>
        <v>0.12467427034924709</v>
      </c>
      <c r="AU75" s="801"/>
      <c r="AV75" s="119">
        <f>AV76</f>
        <v>0</v>
      </c>
      <c r="AW75" s="799">
        <f>AW76</f>
        <v>0</v>
      </c>
      <c r="AX75" s="799">
        <f>AX76</f>
        <v>0</v>
      </c>
      <c r="AY75" s="802">
        <f>IF(AV75=0,0,AV75/AV$151)</f>
        <v>0</v>
      </c>
      <c r="AZ75" s="489"/>
      <c r="BA75" s="119">
        <f>BA76</f>
        <v>0</v>
      </c>
      <c r="BB75" s="799">
        <f>BB76</f>
        <v>0</v>
      </c>
      <c r="BC75" s="799">
        <f>BC76</f>
        <v>0</v>
      </c>
      <c r="BD75" s="802">
        <f>IF(BA75=0,0,BA75/BA$151)</f>
        <v>0</v>
      </c>
      <c r="BE75" s="801"/>
      <c r="BF75" s="119">
        <f>BF76</f>
        <v>0</v>
      </c>
      <c r="BG75" s="799">
        <f>BG76</f>
        <v>0</v>
      </c>
      <c r="BH75" s="799">
        <f>BH76</f>
        <v>0</v>
      </c>
      <c r="BI75" s="802">
        <f>IF(BF75=0,0,BF75/BF$151)</f>
        <v>0</v>
      </c>
      <c r="BJ75" s="571"/>
      <c r="BK75" s="176">
        <f t="shared" si="80"/>
        <v>5105458.3599999994</v>
      </c>
      <c r="BL75" s="177">
        <f t="shared" si="81"/>
        <v>567273.15111111104</v>
      </c>
      <c r="BM75" s="178">
        <f t="shared" si="82"/>
        <v>1444.7183242350943</v>
      </c>
      <c r="BN75" s="178">
        <f t="shared" si="83"/>
        <v>1288.1704125870647</v>
      </c>
      <c r="BO75" s="179">
        <f t="shared" si="84"/>
        <v>0.10286431110097646</v>
      </c>
      <c r="BP75" s="179">
        <f t="shared" si="85"/>
        <v>1.3857749469339259E-2</v>
      </c>
      <c r="BQ75" s="575"/>
      <c r="BR75" s="176">
        <f t="shared" si="86"/>
        <v>4464260.0799999991</v>
      </c>
      <c r="BS75" s="177">
        <f t="shared" si="87"/>
        <v>637751.43999999983</v>
      </c>
      <c r="BT75" s="178">
        <f t="shared" si="88"/>
        <v>1439.3400644010405</v>
      </c>
      <c r="BU75" s="178">
        <f t="shared" si="89"/>
        <v>1254.4921614052369</v>
      </c>
      <c r="BV75" s="179">
        <f t="shared" si="90"/>
        <v>8.9946358568927451E-2</v>
      </c>
      <c r="BW75" s="179">
        <f t="shared" si="91"/>
        <v>1.3731545759783191E-2</v>
      </c>
    </row>
    <row r="76" spans="1:75" ht="11.25">
      <c r="A76" s="836" t="s">
        <v>33</v>
      </c>
      <c r="B76" s="489"/>
      <c r="C76" s="293">
        <f>SUM(C77:C78)</f>
        <v>268167.46000000002</v>
      </c>
      <c r="D76" s="837">
        <f>SUM(D77:D78)</f>
        <v>1402.4321186511588</v>
      </c>
      <c r="E76" s="837">
        <f>SUM(E77:E78)</f>
        <v>1643.0263647358859</v>
      </c>
      <c r="F76" s="838">
        <f>IF(C76=0,0,C76/C$151)</f>
        <v>18.145513278551899</v>
      </c>
      <c r="G76" s="801"/>
      <c r="H76" s="293">
        <f>SUM(H77:H78)</f>
        <v>373030.82</v>
      </c>
      <c r="I76" s="837">
        <f>SUM(I77:I78)</f>
        <v>1547.4604662739566</v>
      </c>
      <c r="J76" s="837">
        <f>SUM(J77:J78)</f>
        <v>1544.6033409535751</v>
      </c>
      <c r="K76" s="839">
        <f>IF(H76=0,0,H76/H$151)</f>
        <v>-26.070574833140292</v>
      </c>
      <c r="L76" s="489"/>
      <c r="M76" s="180">
        <f>SUM(M77:M78)</f>
        <v>475776.55</v>
      </c>
      <c r="N76" s="837">
        <f>SUM(N77:N78)</f>
        <v>1384.773994211022</v>
      </c>
      <c r="O76" s="837">
        <f>SUM(O77:O78)</f>
        <v>1438.9551122473576</v>
      </c>
      <c r="P76" s="839">
        <f>IF(M76=0,0,M76/M$151)</f>
        <v>7.4206638979145076E-2</v>
      </c>
      <c r="Q76" s="801"/>
      <c r="R76" s="180">
        <f>SUM(R77:R78)</f>
        <v>690465.62</v>
      </c>
      <c r="S76" s="837">
        <f>SUM(S77:S78)</f>
        <v>1434.5936500746941</v>
      </c>
      <c r="T76" s="837">
        <f>SUM(T77:T78)</f>
        <v>1019.1902488232231</v>
      </c>
      <c r="U76" s="839">
        <f>IF(R76=0,0,R76/R$151)</f>
        <v>4.7108005556128645E-2</v>
      </c>
      <c r="V76" s="489"/>
      <c r="W76" s="180">
        <f>SUM(W77:W78)</f>
        <v>723265.33</v>
      </c>
      <c r="X76" s="837">
        <f>SUM(X77:X78)</f>
        <v>1441.6147536899175</v>
      </c>
      <c r="Y76" s="837">
        <f>SUM(Y77:Y78)</f>
        <v>1226.6847158917642</v>
      </c>
      <c r="Z76" s="839">
        <f>IF(W76=0,0,W76/W$151)</f>
        <v>0.1256120734282693</v>
      </c>
      <c r="AA76" s="801"/>
      <c r="AB76" s="180">
        <f>SUM(AB77:AB78)</f>
        <v>675089.72</v>
      </c>
      <c r="AC76" s="837">
        <f>SUM(AC77:AC78)</f>
        <v>1504.0262891134107</v>
      </c>
      <c r="AD76" s="837">
        <f>SUM(AD77:AD78)</f>
        <v>1344.9256225480781</v>
      </c>
      <c r="AE76" s="839">
        <f>IF(AB76=0,0,AB76/AB$151)</f>
        <v>0.10038933468345736</v>
      </c>
      <c r="AF76" s="489"/>
      <c r="AG76" s="180">
        <f>SUM(AG77:AG78)</f>
        <v>709775.89999999991</v>
      </c>
      <c r="AH76" s="837">
        <f>SUM(AH77:AH78)</f>
        <v>1415.1930055429277</v>
      </c>
      <c r="AI76" s="837">
        <f>SUM(AI77:AI78)</f>
        <v>1479.2337025811919</v>
      </c>
      <c r="AJ76" s="839">
        <f>IF(AG76=0,0,AG76/AG$151)</f>
        <v>0.13066507202983615</v>
      </c>
      <c r="AK76" s="801"/>
      <c r="AL76" s="180">
        <f>SUM(AL77:AL78)</f>
        <v>639602.74</v>
      </c>
      <c r="AM76" s="837">
        <f>SUM(AM77:AM78)</f>
        <v>1462.356908669389</v>
      </c>
      <c r="AN76" s="837">
        <f>SUM(AN77:AN78)</f>
        <v>1178.2757897785195</v>
      </c>
      <c r="AO76" s="839">
        <f>IF(AL76=0,0,AL76/AL$151)</f>
        <v>0.10257536169194965</v>
      </c>
      <c r="AP76" s="489"/>
      <c r="AQ76" s="180">
        <f>SUM(AQ77:AQ78)</f>
        <v>550284.22</v>
      </c>
      <c r="AR76" s="837">
        <f>SUM(AR77:AR78)</f>
        <v>1417.0822667786013</v>
      </c>
      <c r="AS76" s="837">
        <f>SUM(AS77:AS78)</f>
        <v>1261.2663908593956</v>
      </c>
      <c r="AT76" s="839">
        <f>IF(AQ76=0,0,AQ76/AQ$151)</f>
        <v>0.12467427034924709</v>
      </c>
      <c r="AU76" s="801"/>
      <c r="AV76" s="180">
        <f>SUM(AV77:AV78)</f>
        <v>0</v>
      </c>
      <c r="AW76" s="837">
        <f>SUM(AW77:AW78)</f>
        <v>0</v>
      </c>
      <c r="AX76" s="837">
        <f>SUM(AX77:AX78)</f>
        <v>0</v>
      </c>
      <c r="AY76" s="839">
        <f>IF(AV76=0,0,AV76/AV$151)</f>
        <v>0</v>
      </c>
      <c r="AZ76" s="489"/>
      <c r="BA76" s="180">
        <f>SUM(BA77:BA78)</f>
        <v>0</v>
      </c>
      <c r="BB76" s="837">
        <f>SUM(BB77:BB78)</f>
        <v>0</v>
      </c>
      <c r="BC76" s="837">
        <f>SUM(BC77:BC78)</f>
        <v>0</v>
      </c>
      <c r="BD76" s="839">
        <f>IF(BA76=0,0,BA76/BA$151)</f>
        <v>0</v>
      </c>
      <c r="BE76" s="801"/>
      <c r="BF76" s="180">
        <f>SUM(BF77:BF78)</f>
        <v>0</v>
      </c>
      <c r="BG76" s="837">
        <f>SUM(BG77:BG78)</f>
        <v>0</v>
      </c>
      <c r="BH76" s="837">
        <f>SUM(BH77:BH78)</f>
        <v>0</v>
      </c>
      <c r="BI76" s="839">
        <f>IF(BF76=0,0,BF76/BF$151)</f>
        <v>0</v>
      </c>
      <c r="BJ76" s="571"/>
      <c r="BK76" s="180">
        <f t="shared" si="80"/>
        <v>5105458.3599999994</v>
      </c>
      <c r="BL76" s="181">
        <f t="shared" si="81"/>
        <v>567273.15111111104</v>
      </c>
      <c r="BM76" s="182">
        <f t="shared" si="82"/>
        <v>1444.7183242350943</v>
      </c>
      <c r="BN76" s="182">
        <f t="shared" si="83"/>
        <v>1288.1704125870647</v>
      </c>
      <c r="BO76" s="183">
        <f t="shared" si="84"/>
        <v>0.10286431110097646</v>
      </c>
      <c r="BP76" s="183">
        <f t="shared" si="85"/>
        <v>1.3857749469339259E-2</v>
      </c>
      <c r="BQ76" s="575"/>
      <c r="BR76" s="180">
        <f t="shared" si="86"/>
        <v>4464260.0799999991</v>
      </c>
      <c r="BS76" s="181">
        <f t="shared" si="87"/>
        <v>637751.43999999983</v>
      </c>
      <c r="BT76" s="182">
        <f t="shared" si="88"/>
        <v>1439.3400644010405</v>
      </c>
      <c r="BU76" s="182">
        <f t="shared" si="89"/>
        <v>1254.4921614052369</v>
      </c>
      <c r="BV76" s="183">
        <f t="shared" si="90"/>
        <v>8.9946358568927451E-2</v>
      </c>
      <c r="BW76" s="183">
        <f t="shared" si="91"/>
        <v>1.3731545759783191E-2</v>
      </c>
    </row>
    <row r="77" spans="1:75" ht="11.25" outlineLevel="1">
      <c r="A77" s="144" t="s">
        <v>398</v>
      </c>
      <c r="B77" s="805"/>
      <c r="C77" s="840">
        <v>172009.38</v>
      </c>
      <c r="D77" s="822">
        <f>IF(C$5=0,0,C77/C$5*1000)</f>
        <v>899.55537193540295</v>
      </c>
      <c r="E77" s="822">
        <f>IF(C$27=0,0,C77/C$27*1000)</f>
        <v>1053.878596313936</v>
      </c>
      <c r="F77" s="823">
        <f>IF(C77=0,0,C77/C$151)</f>
        <v>11.638990386176904</v>
      </c>
      <c r="G77" s="463"/>
      <c r="H77" s="840">
        <v>238457.75</v>
      </c>
      <c r="I77" s="822">
        <f>IF(H$5=0,0,H77/H$5*1000)</f>
        <v>989.20496971708292</v>
      </c>
      <c r="J77" s="822">
        <f>IF(H$27=0,0,H77/H$27*1000)</f>
        <v>987.37856921921991</v>
      </c>
      <c r="K77" s="824">
        <f>IF(H77=0,0,H77/H$151)</f>
        <v>-16.665461089561607</v>
      </c>
      <c r="L77" s="805"/>
      <c r="M77" s="228">
        <v>343614.12</v>
      </c>
      <c r="N77" s="822">
        <f>IF(M$5=0,0,M77/M$5*1000)</f>
        <v>1000.1079233932513</v>
      </c>
      <c r="O77" s="822">
        <f>IF(M$27=0,0,M77/M$27*1000)</f>
        <v>1039.2384715353814</v>
      </c>
      <c r="P77" s="824">
        <f>IF(M77=0,0,M77/M$151)</f>
        <v>5.3593328529908911E-2</v>
      </c>
      <c r="Q77" s="463"/>
      <c r="R77" s="228">
        <v>493329</v>
      </c>
      <c r="S77" s="822">
        <f>IF(R$5=0,0,R77/R$5*1000)</f>
        <v>1024.9991169693558</v>
      </c>
      <c r="T77" s="822">
        <f>IF(R$27=0,0,R77/R$27*1000)</f>
        <v>728.19861220854386</v>
      </c>
      <c r="U77" s="824">
        <f>IF(R77=0,0,R77/R$151)</f>
        <v>3.3658077389862491E-2</v>
      </c>
      <c r="V77" s="805"/>
      <c r="W77" s="228">
        <v>506743</v>
      </c>
      <c r="X77" s="822">
        <f>IF(W$5=0,0,W77/W$5*1000)</f>
        <v>1010.0417576065616</v>
      </c>
      <c r="Y77" s="822">
        <f>IF(W$27=0,0,W77/W$27*1000)</f>
        <v>859.4548462389871</v>
      </c>
      <c r="Z77" s="824">
        <f>IF(W77=0,0,W77/W$151)</f>
        <v>8.8007866940423465E-2</v>
      </c>
      <c r="AA77" s="463"/>
      <c r="AB77" s="825">
        <f>8282.11+476531.89</f>
        <v>484814</v>
      </c>
      <c r="AC77" s="822">
        <f>IF(AB$5=0,0,AB77/AB$5*1000)</f>
        <v>1080.112731282931</v>
      </c>
      <c r="AD77" s="822">
        <f>IF(AB$27=0,0,AB77/AB$27*1000)</f>
        <v>965.8549840901502</v>
      </c>
      <c r="AE77" s="824">
        <f>IF(AB77=0,0,AB77/AB$151)</f>
        <v>7.2094350518662462E-2</v>
      </c>
      <c r="AF77" s="805"/>
      <c r="AG77" s="825">
        <f>22990.51+487192.61+64.38</f>
        <v>510247.5</v>
      </c>
      <c r="AH77" s="822">
        <f>IF(AG$5=0,0,AG77/AG$5*1000)</f>
        <v>1017.361526498385</v>
      </c>
      <c r="AI77" s="822">
        <f>IF(AG$27=0,0,AG77/AG$27*1000)</f>
        <v>1063.3994457374458</v>
      </c>
      <c r="AJ77" s="824">
        <f>IF(AG77=0,0,AG77/AG$151)</f>
        <v>9.3933206721366333E-2</v>
      </c>
      <c r="AK77" s="463"/>
      <c r="AL77" s="825">
        <v>435177.51</v>
      </c>
      <c r="AM77" s="822">
        <f>IF(AL$5=0,0,AL77/AL$5*1000)</f>
        <v>994.96890561482292</v>
      </c>
      <c r="AN77" s="822">
        <f>IF(AL$27=0,0,AL77/AL$27*1000)</f>
        <v>801.68375183805438</v>
      </c>
      <c r="AO77" s="824">
        <f>IF(AL77=0,0,AL77/AL$151)</f>
        <v>6.9790961946867264E-2</v>
      </c>
      <c r="AP77" s="805"/>
      <c r="AQ77" s="825">
        <v>369352</v>
      </c>
      <c r="AR77" s="822">
        <f>IF(AQ$5=0,0,AQ77/AQ$5*1000)</f>
        <v>951.14878889169302</v>
      </c>
      <c r="AS77" s="822">
        <f>IF(AQ$27=0,0,AQ77/AQ$27*1000)</f>
        <v>846.56482425881575</v>
      </c>
      <c r="AT77" s="824">
        <f>IF(AQ77=0,0,AQ77/AQ$151)</f>
        <v>8.3681649279412573E-2</v>
      </c>
      <c r="AU77" s="463"/>
      <c r="AV77" s="825"/>
      <c r="AW77" s="822">
        <f>IF(AV$5=0,0,AV77/AV$5*1000)</f>
        <v>0</v>
      </c>
      <c r="AX77" s="822">
        <f>IF(AV$27=0,0,AV77/AV$27*1000)</f>
        <v>0</v>
      </c>
      <c r="AY77" s="824">
        <f>IF(AV77=0,0,AV77/AV$151)</f>
        <v>0</v>
      </c>
      <c r="AZ77" s="805"/>
      <c r="BA77" s="825"/>
      <c r="BB77" s="822">
        <f>IF(BA$5=0,0,BA77/BA$5*1000)</f>
        <v>0</v>
      </c>
      <c r="BC77" s="822">
        <f>IF(BA$27=0,0,BA77/BA$27*1000)</f>
        <v>0</v>
      </c>
      <c r="BD77" s="824">
        <f>IF(BA77=0,0,BA77/BA$151)</f>
        <v>0</v>
      </c>
      <c r="BE77" s="463"/>
      <c r="BF77" s="825"/>
      <c r="BG77" s="822">
        <f>IF(BF$5=0,0,BF77/BF$5*1000)</f>
        <v>0</v>
      </c>
      <c r="BH77" s="822">
        <f>IF(BF$27=0,0,BF77/BF$27*1000)</f>
        <v>0</v>
      </c>
      <c r="BI77" s="824">
        <f>IF(BF77=0,0,BF77/BF$151)</f>
        <v>0</v>
      </c>
      <c r="BJ77" s="811"/>
      <c r="BK77" s="184">
        <f t="shared" si="80"/>
        <v>3553744.26</v>
      </c>
      <c r="BL77" s="185">
        <f t="shared" si="81"/>
        <v>394860.47333333333</v>
      </c>
      <c r="BM77" s="186">
        <f t="shared" si="82"/>
        <v>1005.6216484482865</v>
      </c>
      <c r="BN77" s="186">
        <f t="shared" si="83"/>
        <v>896.65371585424373</v>
      </c>
      <c r="BO77" s="187">
        <f t="shared" si="84"/>
        <v>7.160051641944043E-2</v>
      </c>
      <c r="BP77" s="187">
        <f t="shared" si="85"/>
        <v>9.6459307197605745E-3</v>
      </c>
      <c r="BQ77" s="814"/>
      <c r="BR77" s="184">
        <f t="shared" si="86"/>
        <v>3143277.13</v>
      </c>
      <c r="BS77" s="185">
        <f t="shared" si="87"/>
        <v>449039.58999999997</v>
      </c>
      <c r="BT77" s="186">
        <f t="shared" si="88"/>
        <v>1013.4366335405169</v>
      </c>
      <c r="BU77" s="186">
        <f t="shared" si="89"/>
        <v>883.28557253531483</v>
      </c>
      <c r="BV77" s="187">
        <f t="shared" si="90"/>
        <v>6.3331061978917955E-2</v>
      </c>
      <c r="BW77" s="187">
        <f t="shared" si="91"/>
        <v>9.6683555556366652E-3</v>
      </c>
    </row>
    <row r="78" spans="1:75" ht="11.25" outlineLevel="1">
      <c r="A78" s="144" t="s">
        <v>26</v>
      </c>
      <c r="B78" s="805"/>
      <c r="C78" s="840">
        <v>96158.080000000002</v>
      </c>
      <c r="D78" s="822">
        <f>IF(C$5=0,0,C78/C$5*1000)</f>
        <v>502.87674671575598</v>
      </c>
      <c r="E78" s="822">
        <f>IF(C$27=0,0,C78/C$27*1000)</f>
        <v>589.14776842194988</v>
      </c>
      <c r="F78" s="823">
        <f>IF(C78=0,0,C78/C$151)</f>
        <v>6.5065228923749947</v>
      </c>
      <c r="G78" s="463"/>
      <c r="H78" s="840">
        <v>134573.07</v>
      </c>
      <c r="I78" s="822">
        <f>IF(H$5=0,0,H78/H$5*1000)</f>
        <v>558.25549655687382</v>
      </c>
      <c r="J78" s="822">
        <f>IF(H$27=0,0,H78/H$27*1000)</f>
        <v>557.22477173435516</v>
      </c>
      <c r="K78" s="824">
        <f>IF(H78=0,0,H78/H$151)</f>
        <v>-9.4051137435786867</v>
      </c>
      <c r="L78" s="805"/>
      <c r="M78" s="228">
        <v>132162.43</v>
      </c>
      <c r="N78" s="822">
        <f>IF(M$5=0,0,M78/M$5*1000)</f>
        <v>384.66607081777062</v>
      </c>
      <c r="O78" s="822">
        <f>IF(M$27=0,0,M78/M$27*1000)</f>
        <v>399.71664071197608</v>
      </c>
      <c r="P78" s="824">
        <f>IF(M78=0,0,M78/M$151)</f>
        <v>2.0613310449236161E-2</v>
      </c>
      <c r="Q78" s="463"/>
      <c r="R78" s="228">
        <v>197136.62</v>
      </c>
      <c r="S78" s="822">
        <f>IF(R$5=0,0,R78/R$5*1000)</f>
        <v>409.59453310533826</v>
      </c>
      <c r="T78" s="822">
        <f>IF(R$27=0,0,R78/R$27*1000)</f>
        <v>290.99163661467918</v>
      </c>
      <c r="U78" s="824">
        <f>IF(R78=0,0,R78/R$151)</f>
        <v>1.344992816626615E-2</v>
      </c>
      <c r="V78" s="805"/>
      <c r="W78" s="228">
        <v>216522.33</v>
      </c>
      <c r="X78" s="822">
        <f>IF(W$5=0,0,W78/W$5*1000)</f>
        <v>431.57299608335575</v>
      </c>
      <c r="Y78" s="822">
        <f>IF(W$27=0,0,W78/W$27*1000)</f>
        <v>367.2298696527771</v>
      </c>
      <c r="Z78" s="824">
        <f>IF(W78=0,0,W78/W$151)</f>
        <v>3.7604206487845827E-2</v>
      </c>
      <c r="AA78" s="463"/>
      <c r="AB78" s="825">
        <f>3762.23+186513.49</f>
        <v>190275.72</v>
      </c>
      <c r="AC78" s="822">
        <f>IF(AB$5=0,0,AB78/AB$5*1000)</f>
        <v>423.91355783047982</v>
      </c>
      <c r="AD78" s="822">
        <f>IF(AB$27=0,0,AB78/AB$27*1000)</f>
        <v>379.07063845792794</v>
      </c>
      <c r="AE78" s="824">
        <f>IF(AB78=0,0,AB78/AB$151)</f>
        <v>2.8294984164794899E-2</v>
      </c>
      <c r="AF78" s="805"/>
      <c r="AG78" s="825">
        <f>10477.64+189048.77+1.99</f>
        <v>199528.39999999997</v>
      </c>
      <c r="AH78" s="822">
        <f>IF(AG$5=0,0,AG78/AG$5*1000)</f>
        <v>397.83147904454273</v>
      </c>
      <c r="AI78" s="822">
        <f>IF(AG$27=0,0,AG78/AG$27*1000)</f>
        <v>415.83425684374612</v>
      </c>
      <c r="AJ78" s="824">
        <f>IF(AG78=0,0,AG78/AG$151)</f>
        <v>3.6731865308469842E-2</v>
      </c>
      <c r="AK78" s="463"/>
      <c r="AL78" s="825">
        <f>101472.16+102953.07</f>
        <v>204425.23</v>
      </c>
      <c r="AM78" s="822">
        <f>IF(AL$5=0,0,AL78/AL$5*1000)</f>
        <v>467.38800305456607</v>
      </c>
      <c r="AN78" s="822">
        <f>IF(AL$27=0,0,AL78/AL$27*1000)</f>
        <v>376.59203794046527</v>
      </c>
      <c r="AO78" s="824">
        <f>IF(AL78=0,0,AL78/AL$151)</f>
        <v>3.278439974508239E-2</v>
      </c>
      <c r="AP78" s="805"/>
      <c r="AQ78" s="825">
        <v>180932.22</v>
      </c>
      <c r="AR78" s="822">
        <f>IF(AQ$5=0,0,AQ78/AQ$5*1000)</f>
        <v>465.93347788690829</v>
      </c>
      <c r="AS78" s="822">
        <f>IF(AQ$27=0,0,AQ78/AQ$27*1000)</f>
        <v>414.70156660057989</v>
      </c>
      <c r="AT78" s="824">
        <f>IF(AQ78=0,0,AQ78/AQ$151)</f>
        <v>4.099262106983452E-2</v>
      </c>
      <c r="AU78" s="463"/>
      <c r="AV78" s="825"/>
      <c r="AW78" s="822">
        <f>IF(AV$5=0,0,AV78/AV$5*1000)</f>
        <v>0</v>
      </c>
      <c r="AX78" s="822">
        <f>IF(AV$27=0,0,AV78/AV$27*1000)</f>
        <v>0</v>
      </c>
      <c r="AY78" s="824">
        <f>IF(AV78=0,0,AV78/AV$151)</f>
        <v>0</v>
      </c>
      <c r="AZ78" s="805"/>
      <c r="BA78" s="825"/>
      <c r="BB78" s="822">
        <f>IF(BA$5=0,0,BA78/BA$5*1000)</f>
        <v>0</v>
      </c>
      <c r="BC78" s="822">
        <f>IF(BA$27=0,0,BA78/BA$27*1000)</f>
        <v>0</v>
      </c>
      <c r="BD78" s="824">
        <f>IF(BA78=0,0,BA78/BA$151)</f>
        <v>0</v>
      </c>
      <c r="BE78" s="463"/>
      <c r="BF78" s="825"/>
      <c r="BG78" s="822">
        <f>IF(BF$5=0,0,BF78/BF$5*1000)</f>
        <v>0</v>
      </c>
      <c r="BH78" s="822">
        <f>IF(BF$27=0,0,BF78/BF$27*1000)</f>
        <v>0</v>
      </c>
      <c r="BI78" s="824">
        <f>IF(BF78=0,0,BF78/BF$151)</f>
        <v>0</v>
      </c>
      <c r="BJ78" s="811"/>
      <c r="BK78" s="184">
        <f t="shared" si="80"/>
        <v>1551714.0999999999</v>
      </c>
      <c r="BL78" s="185">
        <f t="shared" si="81"/>
        <v>172412.67777777778</v>
      </c>
      <c r="BM78" s="186">
        <f t="shared" si="82"/>
        <v>439.09667578680785</v>
      </c>
      <c r="BN78" s="186">
        <f t="shared" si="83"/>
        <v>391.516696732821</v>
      </c>
      <c r="BO78" s="187">
        <f t="shared" si="84"/>
        <v>3.126379468153604E-2</v>
      </c>
      <c r="BP78" s="187">
        <f t="shared" si="85"/>
        <v>4.2118187495786856E-3</v>
      </c>
      <c r="BQ78" s="814"/>
      <c r="BR78" s="184">
        <f t="shared" si="86"/>
        <v>1320982.95</v>
      </c>
      <c r="BS78" s="185">
        <f t="shared" si="87"/>
        <v>188711.85</v>
      </c>
      <c r="BT78" s="186">
        <f t="shared" si="88"/>
        <v>425.90343086052388</v>
      </c>
      <c r="BU78" s="186">
        <f t="shared" si="89"/>
        <v>371.20658886992226</v>
      </c>
      <c r="BV78" s="187">
        <f t="shared" si="90"/>
        <v>2.661529659000951E-2</v>
      </c>
      <c r="BW78" s="187">
        <f t="shared" si="91"/>
        <v>4.0631902041465273E-3</v>
      </c>
    </row>
    <row r="79" spans="1:75" ht="22.5">
      <c r="A79" s="190" t="s">
        <v>399</v>
      </c>
      <c r="B79" s="805"/>
      <c r="C79" s="337">
        <f>SUM(C80:C83)</f>
        <v>0</v>
      </c>
      <c r="D79" s="841">
        <f>SUM(D80:D83)</f>
        <v>0</v>
      </c>
      <c r="E79" s="841">
        <f>SUM(E80:E83)</f>
        <v>0</v>
      </c>
      <c r="F79" s="842"/>
      <c r="G79" s="463"/>
      <c r="H79" s="337">
        <f>SUM(H80:H83)</f>
        <v>0</v>
      </c>
      <c r="I79" s="841">
        <f>SUM(I80:I83)</f>
        <v>0</v>
      </c>
      <c r="J79" s="841">
        <f>SUM(J80:J83)</f>
        <v>0</v>
      </c>
      <c r="K79" s="843"/>
      <c r="L79" s="805"/>
      <c r="M79" s="844">
        <f>SUM(M80:M83)</f>
        <v>0</v>
      </c>
      <c r="N79" s="841">
        <f>SUM(N80:N83)</f>
        <v>0</v>
      </c>
      <c r="O79" s="841">
        <f>SUM(O80:O83)</f>
        <v>0</v>
      </c>
      <c r="P79" s="843"/>
      <c r="Q79" s="463"/>
      <c r="R79" s="844">
        <f>SUM(R80:R83)</f>
        <v>0</v>
      </c>
      <c r="S79" s="841">
        <f>SUM(S80:S83)</f>
        <v>0</v>
      </c>
      <c r="T79" s="841">
        <f>SUM(T80:T83)</f>
        <v>0</v>
      </c>
      <c r="U79" s="843"/>
      <c r="V79" s="805"/>
      <c r="W79" s="844">
        <f>SUM(W80:W83)</f>
        <v>0</v>
      </c>
      <c r="X79" s="841">
        <f>SUM(X80:X83)</f>
        <v>0</v>
      </c>
      <c r="Y79" s="841">
        <f>SUM(Y80:Y83)</f>
        <v>0</v>
      </c>
      <c r="Z79" s="843"/>
      <c r="AA79" s="463"/>
      <c r="AB79" s="844">
        <f>SUM(AB80:AB83)</f>
        <v>0</v>
      </c>
      <c r="AC79" s="841">
        <f>SUM(AC80:AC83)</f>
        <v>0</v>
      </c>
      <c r="AD79" s="841">
        <f>SUM(AD80:AD83)</f>
        <v>0</v>
      </c>
      <c r="AE79" s="843"/>
      <c r="AF79" s="805"/>
      <c r="AG79" s="844">
        <f>SUM(AG80:AG83)</f>
        <v>0</v>
      </c>
      <c r="AH79" s="841">
        <f>SUM(AH80:AH83)</f>
        <v>0</v>
      </c>
      <c r="AI79" s="841">
        <f>SUM(AI80:AI83)</f>
        <v>0</v>
      </c>
      <c r="AJ79" s="843"/>
      <c r="AK79" s="463"/>
      <c r="AL79" s="844">
        <f>SUM(AL80:AL83)</f>
        <v>0</v>
      </c>
      <c r="AM79" s="841">
        <f>SUM(AM80:AM83)</f>
        <v>0</v>
      </c>
      <c r="AN79" s="841">
        <f>SUM(AN80:AN83)</f>
        <v>0</v>
      </c>
      <c r="AO79" s="843"/>
      <c r="AP79" s="805"/>
      <c r="AQ79" s="844">
        <f>SUM(AQ80:AQ83)</f>
        <v>0</v>
      </c>
      <c r="AR79" s="841">
        <f>SUM(AR80:AR83)</f>
        <v>0</v>
      </c>
      <c r="AS79" s="841">
        <f>SUM(AS80:AS83)</f>
        <v>0</v>
      </c>
      <c r="AT79" s="843"/>
      <c r="AU79" s="463"/>
      <c r="AV79" s="844">
        <f>SUM(AV80:AV83)</f>
        <v>0</v>
      </c>
      <c r="AW79" s="841">
        <f>SUM(AW80:AW83)</f>
        <v>0</v>
      </c>
      <c r="AX79" s="841">
        <f>SUM(AX80:AX83)</f>
        <v>0</v>
      </c>
      <c r="AY79" s="843"/>
      <c r="AZ79" s="805"/>
      <c r="BA79" s="844">
        <f>SUM(BA80:BA83)</f>
        <v>0</v>
      </c>
      <c r="BB79" s="841">
        <f>SUM(BB80:BB83)</f>
        <v>0</v>
      </c>
      <c r="BC79" s="841">
        <f>SUM(BC80:BC83)</f>
        <v>0</v>
      </c>
      <c r="BD79" s="843"/>
      <c r="BE79" s="463"/>
      <c r="BF79" s="844">
        <f>SUM(BF80:BF83)</f>
        <v>0</v>
      </c>
      <c r="BG79" s="841">
        <f>SUM(BG80:BG83)</f>
        <v>0</v>
      </c>
      <c r="BH79" s="841">
        <f>SUM(BH80:BH83)</f>
        <v>0</v>
      </c>
      <c r="BI79" s="843"/>
      <c r="BJ79" s="811"/>
      <c r="BK79" s="192">
        <f t="shared" si="80"/>
        <v>0</v>
      </c>
      <c r="BL79" s="193">
        <f t="shared" si="81"/>
        <v>0</v>
      </c>
      <c r="BM79" s="194">
        <f t="shared" si="82"/>
        <v>0</v>
      </c>
      <c r="BN79" s="194">
        <f t="shared" si="83"/>
        <v>0</v>
      </c>
      <c r="BO79" s="195">
        <f t="shared" si="84"/>
        <v>0</v>
      </c>
      <c r="BP79" s="195">
        <f t="shared" si="85"/>
        <v>0</v>
      </c>
      <c r="BQ79" s="814"/>
      <c r="BR79" s="192">
        <f t="shared" si="86"/>
        <v>0</v>
      </c>
      <c r="BS79" s="193">
        <f t="shared" si="87"/>
        <v>0</v>
      </c>
      <c r="BT79" s="194">
        <f t="shared" si="88"/>
        <v>0</v>
      </c>
      <c r="BU79" s="194">
        <f t="shared" si="89"/>
        <v>0</v>
      </c>
      <c r="BV79" s="195">
        <f t="shared" si="90"/>
        <v>0</v>
      </c>
      <c r="BW79" s="195">
        <f t="shared" si="91"/>
        <v>0</v>
      </c>
    </row>
    <row r="80" spans="1:75" ht="11.25" outlineLevel="1">
      <c r="A80" s="144"/>
      <c r="B80" s="805"/>
      <c r="C80" s="821"/>
      <c r="D80" s="822">
        <f>IF(C$5=0,0,C80/C$5*1000)</f>
        <v>0</v>
      </c>
      <c r="E80" s="822">
        <f>IF(C$27=0,0,C80/C$27*1000)</f>
        <v>0</v>
      </c>
      <c r="F80" s="823">
        <f t="shared" ref="F80:F111" si="92">IF(C80=0,0,C80/C$151)</f>
        <v>0</v>
      </c>
      <c r="G80" s="463"/>
      <c r="H80" s="821"/>
      <c r="I80" s="822">
        <f>IF(H$5=0,0,H80/H$5*1000)</f>
        <v>0</v>
      </c>
      <c r="J80" s="822">
        <f>IF(H$27=0,0,H80/H$27*1000)</f>
        <v>0</v>
      </c>
      <c r="K80" s="824">
        <f t="shared" ref="K80:K111" si="93">IF(H80=0,0,H80/H$151)</f>
        <v>0</v>
      </c>
      <c r="L80" s="815"/>
      <c r="M80" s="825"/>
      <c r="N80" s="822">
        <f>IF(M$5=0,0,M80/M$5*1000)</f>
        <v>0</v>
      </c>
      <c r="O80" s="822">
        <f>IF(M$27=0,0,M80/M$27*1000)</f>
        <v>0</v>
      </c>
      <c r="P80" s="824">
        <f t="shared" ref="P80:P111" si="94">IF(M80=0,0,M80/M$151)</f>
        <v>0</v>
      </c>
      <c r="Q80" s="463"/>
      <c r="R80" s="825"/>
      <c r="S80" s="822">
        <f>IF(R$5=0,0,R80/R$5*1000)</f>
        <v>0</v>
      </c>
      <c r="T80" s="822">
        <f>IF(R$27=0,0,R80/R$27*1000)</f>
        <v>0</v>
      </c>
      <c r="U80" s="824">
        <f t="shared" ref="U80:U111" si="95">IF(R80=0,0,R80/R$151)</f>
        <v>0</v>
      </c>
      <c r="V80" s="815"/>
      <c r="W80" s="825"/>
      <c r="X80" s="822">
        <f>IF(W$5=0,0,W80/W$5*1000)</f>
        <v>0</v>
      </c>
      <c r="Y80" s="822">
        <f>IF(W$27=0,0,W80/W$27*1000)</f>
        <v>0</v>
      </c>
      <c r="Z80" s="824">
        <f t="shared" ref="Z80:Z111" si="96">IF(W80=0,0,W80/W$151)</f>
        <v>0</v>
      </c>
      <c r="AA80" s="463"/>
      <c r="AB80" s="825"/>
      <c r="AC80" s="822">
        <f>IF(AB$5=0,0,AB80/AB$5*1000)</f>
        <v>0</v>
      </c>
      <c r="AD80" s="822">
        <f>IF(AB$27=0,0,AB80/AB$27*1000)</f>
        <v>0</v>
      </c>
      <c r="AE80" s="824">
        <f t="shared" ref="AE80:AE111" si="97">IF(AB80=0,0,AB80/AB$151)</f>
        <v>0</v>
      </c>
      <c r="AF80" s="815"/>
      <c r="AG80" s="825"/>
      <c r="AH80" s="822">
        <f>IF(AG$5=0,0,AG80/AG$5*1000)</f>
        <v>0</v>
      </c>
      <c r="AI80" s="822">
        <f>IF(AG$27=0,0,AG80/AG$27*1000)</f>
        <v>0</v>
      </c>
      <c r="AJ80" s="824">
        <f t="shared" ref="AJ80:AJ111" si="98">IF(AG80=0,0,AG80/AG$151)</f>
        <v>0</v>
      </c>
      <c r="AK80" s="463"/>
      <c r="AL80" s="825"/>
      <c r="AM80" s="822">
        <f>IF(AL$5=0,0,AL80/AL$5*1000)</f>
        <v>0</v>
      </c>
      <c r="AN80" s="822">
        <f>IF(AL$27=0,0,AL80/AL$27*1000)</f>
        <v>0</v>
      </c>
      <c r="AO80" s="824">
        <f t="shared" ref="AO80:AO111" si="99">IF(AL80=0,0,AL80/AL$151)</f>
        <v>0</v>
      </c>
      <c r="AP80" s="815"/>
      <c r="AQ80" s="825"/>
      <c r="AR80" s="822">
        <f>IF(AQ$5=0,0,AQ80/AQ$5*1000)</f>
        <v>0</v>
      </c>
      <c r="AS80" s="822">
        <f>IF(AQ$27=0,0,AQ80/AQ$27*1000)</f>
        <v>0</v>
      </c>
      <c r="AT80" s="824">
        <f t="shared" ref="AT80:AT111" si="100">IF(AQ80=0,0,AQ80/AQ$151)</f>
        <v>0</v>
      </c>
      <c r="AU80" s="463"/>
      <c r="AV80" s="825"/>
      <c r="AW80" s="822">
        <f>IF(AV$5=0,0,AV80/AV$5*1000)</f>
        <v>0</v>
      </c>
      <c r="AX80" s="822">
        <f>IF(AV$27=0,0,AV80/AV$27*1000)</f>
        <v>0</v>
      </c>
      <c r="AY80" s="824">
        <f t="shared" ref="AY80:AY111" si="101">IF(AV80=0,0,AV80/AV$151)</f>
        <v>0</v>
      </c>
      <c r="AZ80" s="815"/>
      <c r="BA80" s="825"/>
      <c r="BB80" s="822">
        <f>IF(BA$5=0,0,BA80/BA$5*1000)</f>
        <v>0</v>
      </c>
      <c r="BC80" s="822">
        <f>IF(BA$27=0,0,BA80/BA$27*1000)</f>
        <v>0</v>
      </c>
      <c r="BD80" s="824">
        <f t="shared" ref="BD80:BD111" si="102">IF(BA80=0,0,BA80/BA$151)</f>
        <v>0</v>
      </c>
      <c r="BE80" s="463"/>
      <c r="BF80" s="825"/>
      <c r="BG80" s="822">
        <f>IF(BF$5=0,0,BF80/BF$5*1000)</f>
        <v>0</v>
      </c>
      <c r="BH80" s="822">
        <f>IF(BF$27=0,0,BF80/BF$27*1000)</f>
        <v>0</v>
      </c>
      <c r="BI80" s="824">
        <f t="shared" ref="BI80:BI111" si="103">IF(BF80=0,0,BF80/BF$151)</f>
        <v>0</v>
      </c>
      <c r="BJ80" s="819"/>
      <c r="BK80" s="162">
        <f t="shared" si="80"/>
        <v>0</v>
      </c>
      <c r="BL80" s="163">
        <f t="shared" si="81"/>
        <v>0</v>
      </c>
      <c r="BM80" s="164">
        <f t="shared" si="82"/>
        <v>0</v>
      </c>
      <c r="BN80" s="164">
        <f t="shared" si="83"/>
        <v>0</v>
      </c>
      <c r="BO80" s="165">
        <f t="shared" si="84"/>
        <v>0</v>
      </c>
      <c r="BP80" s="165">
        <f t="shared" si="85"/>
        <v>0</v>
      </c>
      <c r="BQ80" s="820"/>
      <c r="BR80" s="162">
        <f t="shared" si="86"/>
        <v>0</v>
      </c>
      <c r="BS80" s="163">
        <f t="shared" si="87"/>
        <v>0</v>
      </c>
      <c r="BT80" s="164">
        <f t="shared" si="88"/>
        <v>0</v>
      </c>
      <c r="BU80" s="164">
        <f t="shared" si="89"/>
        <v>0</v>
      </c>
      <c r="BV80" s="165">
        <f t="shared" si="90"/>
        <v>0</v>
      </c>
      <c r="BW80" s="165">
        <f t="shared" si="91"/>
        <v>0</v>
      </c>
    </row>
    <row r="81" spans="1:75" ht="11.25" outlineLevel="1">
      <c r="A81" s="144"/>
      <c r="B81" s="805"/>
      <c r="C81" s="821"/>
      <c r="D81" s="822">
        <f>IF(C$5=0,0,C81/C$5*1000)</f>
        <v>0</v>
      </c>
      <c r="E81" s="822">
        <f>IF(C$27=0,0,C81/C$27*1000)</f>
        <v>0</v>
      </c>
      <c r="F81" s="823">
        <f t="shared" si="92"/>
        <v>0</v>
      </c>
      <c r="G81" s="463"/>
      <c r="H81" s="821"/>
      <c r="I81" s="822">
        <f>IF(H$5=0,0,H81/H$5*1000)</f>
        <v>0</v>
      </c>
      <c r="J81" s="822">
        <f>IF(H$27=0,0,H81/H$27*1000)</f>
        <v>0</v>
      </c>
      <c r="K81" s="824">
        <f t="shared" si="93"/>
        <v>0</v>
      </c>
      <c r="L81" s="805"/>
      <c r="M81" s="825"/>
      <c r="N81" s="822">
        <f>IF(M$5=0,0,M81/M$5*1000)</f>
        <v>0</v>
      </c>
      <c r="O81" s="822">
        <f>IF(M$27=0,0,M81/M$27*1000)</f>
        <v>0</v>
      </c>
      <c r="P81" s="824">
        <f t="shared" si="94"/>
        <v>0</v>
      </c>
      <c r="Q81" s="463"/>
      <c r="R81" s="825"/>
      <c r="S81" s="822">
        <f>IF(R$5=0,0,R81/R$5*1000)</f>
        <v>0</v>
      </c>
      <c r="T81" s="822">
        <f>IF(R$27=0,0,R81/R$27*1000)</f>
        <v>0</v>
      </c>
      <c r="U81" s="824">
        <f t="shared" si="95"/>
        <v>0</v>
      </c>
      <c r="V81" s="805"/>
      <c r="W81" s="825"/>
      <c r="X81" s="822">
        <f>IF(W$5=0,0,W81/W$5*1000)</f>
        <v>0</v>
      </c>
      <c r="Y81" s="822">
        <f>IF(W$27=0,0,W81/W$27*1000)</f>
        <v>0</v>
      </c>
      <c r="Z81" s="824">
        <f t="shared" si="96"/>
        <v>0</v>
      </c>
      <c r="AA81" s="463"/>
      <c r="AB81" s="825"/>
      <c r="AC81" s="822">
        <f>IF(AB$5=0,0,AB81/AB$5*1000)</f>
        <v>0</v>
      </c>
      <c r="AD81" s="822">
        <f>IF(AB$27=0,0,AB81/AB$27*1000)</f>
        <v>0</v>
      </c>
      <c r="AE81" s="824">
        <f t="shared" si="97"/>
        <v>0</v>
      </c>
      <c r="AF81" s="805"/>
      <c r="AG81" s="825"/>
      <c r="AH81" s="822">
        <f>IF(AG$5=0,0,AG81/AG$5*1000)</f>
        <v>0</v>
      </c>
      <c r="AI81" s="822">
        <f>IF(AG$27=0,0,AG81/AG$27*1000)</f>
        <v>0</v>
      </c>
      <c r="AJ81" s="824">
        <f t="shared" si="98"/>
        <v>0</v>
      </c>
      <c r="AK81" s="463"/>
      <c r="AL81" s="825"/>
      <c r="AM81" s="822">
        <f>IF(AL$5=0,0,AL81/AL$5*1000)</f>
        <v>0</v>
      </c>
      <c r="AN81" s="822">
        <f>IF(AL$27=0,0,AL81/AL$27*1000)</f>
        <v>0</v>
      </c>
      <c r="AO81" s="824">
        <f t="shared" si="99"/>
        <v>0</v>
      </c>
      <c r="AP81" s="805"/>
      <c r="AQ81" s="825"/>
      <c r="AR81" s="822">
        <f>IF(AQ$5=0,0,AQ81/AQ$5*1000)</f>
        <v>0</v>
      </c>
      <c r="AS81" s="822">
        <f>IF(AQ$27=0,0,AQ81/AQ$27*1000)</f>
        <v>0</v>
      </c>
      <c r="AT81" s="824">
        <f t="shared" si="100"/>
        <v>0</v>
      </c>
      <c r="AU81" s="463"/>
      <c r="AV81" s="825"/>
      <c r="AW81" s="822">
        <f>IF(AV$5=0,0,AV81/AV$5*1000)</f>
        <v>0</v>
      </c>
      <c r="AX81" s="822">
        <f>IF(AV$27=0,0,AV81/AV$27*1000)</f>
        <v>0</v>
      </c>
      <c r="AY81" s="824">
        <f t="shared" si="101"/>
        <v>0</v>
      </c>
      <c r="AZ81" s="805"/>
      <c r="BA81" s="825"/>
      <c r="BB81" s="822">
        <f>IF(BA$5=0,0,BA81/BA$5*1000)</f>
        <v>0</v>
      </c>
      <c r="BC81" s="822">
        <f>IF(BA$27=0,0,BA81/BA$27*1000)</f>
        <v>0</v>
      </c>
      <c r="BD81" s="824">
        <f t="shared" si="102"/>
        <v>0</v>
      </c>
      <c r="BE81" s="463"/>
      <c r="BF81" s="825"/>
      <c r="BG81" s="822">
        <f>IF(BF$5=0,0,BF81/BF$5*1000)</f>
        <v>0</v>
      </c>
      <c r="BH81" s="822">
        <f>IF(BF$27=0,0,BF81/BF$27*1000)</f>
        <v>0</v>
      </c>
      <c r="BI81" s="824">
        <f t="shared" si="103"/>
        <v>0</v>
      </c>
      <c r="BJ81" s="811"/>
      <c r="BK81" s="184">
        <f t="shared" si="80"/>
        <v>0</v>
      </c>
      <c r="BL81" s="185">
        <f t="shared" si="81"/>
        <v>0</v>
      </c>
      <c r="BM81" s="186">
        <f t="shared" si="82"/>
        <v>0</v>
      </c>
      <c r="BN81" s="186">
        <f t="shared" si="83"/>
        <v>0</v>
      </c>
      <c r="BO81" s="187">
        <f t="shared" si="84"/>
        <v>0</v>
      </c>
      <c r="BP81" s="187">
        <f t="shared" si="85"/>
        <v>0</v>
      </c>
      <c r="BQ81" s="814"/>
      <c r="BR81" s="184">
        <f t="shared" si="86"/>
        <v>0</v>
      </c>
      <c r="BS81" s="185">
        <f t="shared" si="87"/>
        <v>0</v>
      </c>
      <c r="BT81" s="186">
        <f t="shared" si="88"/>
        <v>0</v>
      </c>
      <c r="BU81" s="186">
        <f t="shared" si="89"/>
        <v>0</v>
      </c>
      <c r="BV81" s="187">
        <f t="shared" si="90"/>
        <v>0</v>
      </c>
      <c r="BW81" s="187">
        <f t="shared" si="91"/>
        <v>0</v>
      </c>
    </row>
    <row r="82" spans="1:75" ht="11.25" outlineLevel="1">
      <c r="A82" s="144"/>
      <c r="B82" s="805"/>
      <c r="C82" s="821"/>
      <c r="D82" s="822">
        <f>IF(C$5=0,0,C82/C$5*1000)</f>
        <v>0</v>
      </c>
      <c r="E82" s="822">
        <f>IF(C$27=0,0,C82/C$27*1000)</f>
        <v>0</v>
      </c>
      <c r="F82" s="823">
        <f t="shared" si="92"/>
        <v>0</v>
      </c>
      <c r="G82" s="463"/>
      <c r="H82" s="821"/>
      <c r="I82" s="822">
        <f>IF(H$5=0,0,H82/H$5*1000)</f>
        <v>0</v>
      </c>
      <c r="J82" s="822">
        <f>IF(H$27=0,0,H82/H$27*1000)</f>
        <v>0</v>
      </c>
      <c r="K82" s="824">
        <f t="shared" si="93"/>
        <v>0</v>
      </c>
      <c r="L82" s="805"/>
      <c r="M82" s="825"/>
      <c r="N82" s="822">
        <f>IF(M$5=0,0,M82/M$5*1000)</f>
        <v>0</v>
      </c>
      <c r="O82" s="822">
        <f>IF(M$27=0,0,M82/M$27*1000)</f>
        <v>0</v>
      </c>
      <c r="P82" s="824">
        <f t="shared" si="94"/>
        <v>0</v>
      </c>
      <c r="Q82" s="463"/>
      <c r="R82" s="825"/>
      <c r="S82" s="822">
        <f>IF(R$5=0,0,R82/R$5*1000)</f>
        <v>0</v>
      </c>
      <c r="T82" s="822">
        <f>IF(R$27=0,0,R82/R$27*1000)</f>
        <v>0</v>
      </c>
      <c r="U82" s="824">
        <f t="shared" si="95"/>
        <v>0</v>
      </c>
      <c r="V82" s="805"/>
      <c r="W82" s="825"/>
      <c r="X82" s="822">
        <f>IF(W$5=0,0,W82/W$5*1000)</f>
        <v>0</v>
      </c>
      <c r="Y82" s="822">
        <f>IF(W$27=0,0,W82/W$27*1000)</f>
        <v>0</v>
      </c>
      <c r="Z82" s="824">
        <f t="shared" si="96"/>
        <v>0</v>
      </c>
      <c r="AA82" s="463"/>
      <c r="AB82" s="825"/>
      <c r="AC82" s="822">
        <f>IF(AB$5=0,0,AB82/AB$5*1000)</f>
        <v>0</v>
      </c>
      <c r="AD82" s="822">
        <f>IF(AB$27=0,0,AB82/AB$27*1000)</f>
        <v>0</v>
      </c>
      <c r="AE82" s="824">
        <f t="shared" si="97"/>
        <v>0</v>
      </c>
      <c r="AF82" s="805"/>
      <c r="AG82" s="825"/>
      <c r="AH82" s="822">
        <f>IF(AG$5=0,0,AG82/AG$5*1000)</f>
        <v>0</v>
      </c>
      <c r="AI82" s="822">
        <f>IF(AG$27=0,0,AG82/AG$27*1000)</f>
        <v>0</v>
      </c>
      <c r="AJ82" s="824">
        <f t="shared" si="98"/>
        <v>0</v>
      </c>
      <c r="AK82" s="463"/>
      <c r="AL82" s="825"/>
      <c r="AM82" s="822">
        <f>IF(AL$5=0,0,AL82/AL$5*1000)</f>
        <v>0</v>
      </c>
      <c r="AN82" s="822">
        <f>IF(AL$27=0,0,AL82/AL$27*1000)</f>
        <v>0</v>
      </c>
      <c r="AO82" s="824">
        <f t="shared" si="99"/>
        <v>0</v>
      </c>
      <c r="AP82" s="805"/>
      <c r="AQ82" s="825"/>
      <c r="AR82" s="822">
        <f>IF(AQ$5=0,0,AQ82/AQ$5*1000)</f>
        <v>0</v>
      </c>
      <c r="AS82" s="822">
        <f>IF(AQ$27=0,0,AQ82/AQ$27*1000)</f>
        <v>0</v>
      </c>
      <c r="AT82" s="824">
        <f t="shared" si="100"/>
        <v>0</v>
      </c>
      <c r="AU82" s="463"/>
      <c r="AV82" s="825"/>
      <c r="AW82" s="822">
        <f>IF(AV$5=0,0,AV82/AV$5*1000)</f>
        <v>0</v>
      </c>
      <c r="AX82" s="822">
        <f>IF(AV$27=0,0,AV82/AV$27*1000)</f>
        <v>0</v>
      </c>
      <c r="AY82" s="824">
        <f t="shared" si="101"/>
        <v>0</v>
      </c>
      <c r="AZ82" s="805"/>
      <c r="BA82" s="825"/>
      <c r="BB82" s="822">
        <f>IF(BA$5=0,0,BA82/BA$5*1000)</f>
        <v>0</v>
      </c>
      <c r="BC82" s="822">
        <f>IF(BA$27=0,0,BA82/BA$27*1000)</f>
        <v>0</v>
      </c>
      <c r="BD82" s="824">
        <f t="shared" si="102"/>
        <v>0</v>
      </c>
      <c r="BE82" s="463"/>
      <c r="BF82" s="825"/>
      <c r="BG82" s="822">
        <f>IF(BF$5=0,0,BF82/BF$5*1000)</f>
        <v>0</v>
      </c>
      <c r="BH82" s="822">
        <f>IF(BF$27=0,0,BF82/BF$27*1000)</f>
        <v>0</v>
      </c>
      <c r="BI82" s="824">
        <f t="shared" si="103"/>
        <v>0</v>
      </c>
      <c r="BJ82" s="811"/>
      <c r="BK82" s="184">
        <f t="shared" si="80"/>
        <v>0</v>
      </c>
      <c r="BL82" s="185">
        <f t="shared" si="81"/>
        <v>0</v>
      </c>
      <c r="BM82" s="186">
        <f t="shared" si="82"/>
        <v>0</v>
      </c>
      <c r="BN82" s="186">
        <f t="shared" si="83"/>
        <v>0</v>
      </c>
      <c r="BO82" s="187">
        <f t="shared" si="84"/>
        <v>0</v>
      </c>
      <c r="BP82" s="187">
        <f t="shared" si="85"/>
        <v>0</v>
      </c>
      <c r="BQ82" s="814"/>
      <c r="BR82" s="184">
        <f t="shared" si="86"/>
        <v>0</v>
      </c>
      <c r="BS82" s="185">
        <f t="shared" si="87"/>
        <v>0</v>
      </c>
      <c r="BT82" s="186">
        <f t="shared" si="88"/>
        <v>0</v>
      </c>
      <c r="BU82" s="186">
        <f t="shared" si="89"/>
        <v>0</v>
      </c>
      <c r="BV82" s="187">
        <f t="shared" si="90"/>
        <v>0</v>
      </c>
      <c r="BW82" s="187">
        <f t="shared" si="91"/>
        <v>0</v>
      </c>
    </row>
    <row r="83" spans="1:75" ht="11.25" outlineLevel="1">
      <c r="A83" s="144"/>
      <c r="B83" s="805"/>
      <c r="C83" s="821"/>
      <c r="D83" s="822">
        <f>IF(C$5=0,0,C83/C$5*1000)</f>
        <v>0</v>
      </c>
      <c r="E83" s="822">
        <f>IF(C$27=0,0,C83/C$27*1000)</f>
        <v>0</v>
      </c>
      <c r="F83" s="823">
        <f t="shared" si="92"/>
        <v>0</v>
      </c>
      <c r="G83" s="463"/>
      <c r="H83" s="821"/>
      <c r="I83" s="822">
        <f>IF(H$5=0,0,H83/H$5*1000)</f>
        <v>0</v>
      </c>
      <c r="J83" s="822">
        <f>IF(H$27=0,0,H83/H$27*1000)</f>
        <v>0</v>
      </c>
      <c r="K83" s="824">
        <f t="shared" si="93"/>
        <v>0</v>
      </c>
      <c r="L83" s="805"/>
      <c r="M83" s="825"/>
      <c r="N83" s="822">
        <f>IF(M$5=0,0,M83/M$5*1000)</f>
        <v>0</v>
      </c>
      <c r="O83" s="822">
        <f>IF(M$27=0,0,M83/M$27*1000)</f>
        <v>0</v>
      </c>
      <c r="P83" s="824">
        <f t="shared" si="94"/>
        <v>0</v>
      </c>
      <c r="Q83" s="463"/>
      <c r="R83" s="825"/>
      <c r="S83" s="822">
        <f>IF(R$5=0,0,R83/R$5*1000)</f>
        <v>0</v>
      </c>
      <c r="T83" s="822">
        <f>IF(R$27=0,0,R83/R$27*1000)</f>
        <v>0</v>
      </c>
      <c r="U83" s="824">
        <f t="shared" si="95"/>
        <v>0</v>
      </c>
      <c r="V83" s="805"/>
      <c r="W83" s="825"/>
      <c r="X83" s="822">
        <f>IF(W$5=0,0,W83/W$5*1000)</f>
        <v>0</v>
      </c>
      <c r="Y83" s="822">
        <f>IF(W$27=0,0,W83/W$27*1000)</f>
        <v>0</v>
      </c>
      <c r="Z83" s="824">
        <f t="shared" si="96"/>
        <v>0</v>
      </c>
      <c r="AA83" s="463"/>
      <c r="AB83" s="825"/>
      <c r="AC83" s="822">
        <f>IF(AB$5=0,0,AB83/AB$5*1000)</f>
        <v>0</v>
      </c>
      <c r="AD83" s="822">
        <f>IF(AB$27=0,0,AB83/AB$27*1000)</f>
        <v>0</v>
      </c>
      <c r="AE83" s="824">
        <f t="shared" si="97"/>
        <v>0</v>
      </c>
      <c r="AF83" s="805"/>
      <c r="AG83" s="825"/>
      <c r="AH83" s="822">
        <f>IF(AG$5=0,0,AG83/AG$5*1000)</f>
        <v>0</v>
      </c>
      <c r="AI83" s="822">
        <f>IF(AG$27=0,0,AG83/AG$27*1000)</f>
        <v>0</v>
      </c>
      <c r="AJ83" s="824">
        <f t="shared" si="98"/>
        <v>0</v>
      </c>
      <c r="AK83" s="463"/>
      <c r="AL83" s="825"/>
      <c r="AM83" s="822">
        <f>IF(AL$5=0,0,AL83/AL$5*1000)</f>
        <v>0</v>
      </c>
      <c r="AN83" s="822">
        <f>IF(AL$27=0,0,AL83/AL$27*1000)</f>
        <v>0</v>
      </c>
      <c r="AO83" s="824">
        <f t="shared" si="99"/>
        <v>0</v>
      </c>
      <c r="AP83" s="805"/>
      <c r="AQ83" s="825"/>
      <c r="AR83" s="822">
        <f>IF(AQ$5=0,0,AQ83/AQ$5*1000)</f>
        <v>0</v>
      </c>
      <c r="AS83" s="822">
        <f>IF(AQ$27=0,0,AQ83/AQ$27*1000)</f>
        <v>0</v>
      </c>
      <c r="AT83" s="824">
        <f t="shared" si="100"/>
        <v>0</v>
      </c>
      <c r="AU83" s="463"/>
      <c r="AV83" s="825"/>
      <c r="AW83" s="822">
        <f>IF(AV$5=0,0,AV83/AV$5*1000)</f>
        <v>0</v>
      </c>
      <c r="AX83" s="822">
        <f>IF(AV$27=0,0,AV83/AV$27*1000)</f>
        <v>0</v>
      </c>
      <c r="AY83" s="824">
        <f t="shared" si="101"/>
        <v>0</v>
      </c>
      <c r="AZ83" s="805"/>
      <c r="BA83" s="825"/>
      <c r="BB83" s="822">
        <f>IF(BA$5=0,0,BA83/BA$5*1000)</f>
        <v>0</v>
      </c>
      <c r="BC83" s="822">
        <f>IF(BA$27=0,0,BA83/BA$27*1000)</f>
        <v>0</v>
      </c>
      <c r="BD83" s="824">
        <f t="shared" si="102"/>
        <v>0</v>
      </c>
      <c r="BE83" s="463"/>
      <c r="BF83" s="825"/>
      <c r="BG83" s="822">
        <f>IF(BF$5=0,0,BF83/BF$5*1000)</f>
        <v>0</v>
      </c>
      <c r="BH83" s="822">
        <f>IF(BF$27=0,0,BF83/BF$27*1000)</f>
        <v>0</v>
      </c>
      <c r="BI83" s="824">
        <f t="shared" si="103"/>
        <v>0</v>
      </c>
      <c r="BJ83" s="811"/>
      <c r="BK83" s="184">
        <f t="shared" si="80"/>
        <v>0</v>
      </c>
      <c r="BL83" s="185">
        <f t="shared" si="81"/>
        <v>0</v>
      </c>
      <c r="BM83" s="186">
        <f t="shared" si="82"/>
        <v>0</v>
      </c>
      <c r="BN83" s="186">
        <f t="shared" si="83"/>
        <v>0</v>
      </c>
      <c r="BO83" s="187">
        <f t="shared" si="84"/>
        <v>0</v>
      </c>
      <c r="BP83" s="187">
        <f t="shared" si="85"/>
        <v>0</v>
      </c>
      <c r="BQ83" s="814"/>
      <c r="BR83" s="184">
        <f t="shared" si="86"/>
        <v>0</v>
      </c>
      <c r="BS83" s="185">
        <f t="shared" si="87"/>
        <v>0</v>
      </c>
      <c r="BT83" s="186">
        <f t="shared" si="88"/>
        <v>0</v>
      </c>
      <c r="BU83" s="186">
        <f t="shared" si="89"/>
        <v>0</v>
      </c>
      <c r="BV83" s="187">
        <f t="shared" si="90"/>
        <v>0</v>
      </c>
      <c r="BW83" s="187">
        <f t="shared" si="91"/>
        <v>0</v>
      </c>
    </row>
    <row r="84" spans="1:75" s="261" customFormat="1">
      <c r="A84" s="198" t="s">
        <v>122</v>
      </c>
      <c r="B84" s="845"/>
      <c r="C84" s="359">
        <f>C85+C132</f>
        <v>1783616.71</v>
      </c>
      <c r="D84" s="200">
        <f>D85+D132</f>
        <v>8441.6835411262655</v>
      </c>
      <c r="E84" s="200">
        <f>E85+E132</f>
        <v>9889.8965849180258</v>
      </c>
      <c r="F84" s="846">
        <f t="shared" si="92"/>
        <v>120.68817258869532</v>
      </c>
      <c r="G84" s="847"/>
      <c r="H84" s="359">
        <f>H85+H132</f>
        <v>2742196.25</v>
      </c>
      <c r="I84" s="200">
        <f>I85+I132</f>
        <v>10348.567742470754</v>
      </c>
      <c r="J84" s="200">
        <f>J85+J132</f>
        <v>10329.4608537514</v>
      </c>
      <c r="K84" s="848">
        <f t="shared" si="93"/>
        <v>-191.64805884613418</v>
      </c>
      <c r="L84" s="845"/>
      <c r="M84" s="200">
        <f>M85+M132</f>
        <v>3735160.79</v>
      </c>
      <c r="N84" s="200">
        <f>N85+N132</f>
        <v>8681.7874093100054</v>
      </c>
      <c r="O84" s="200">
        <f>O85+O132</f>
        <v>9021.473849376498</v>
      </c>
      <c r="P84" s="848">
        <f t="shared" si="94"/>
        <v>0.58257122649821291</v>
      </c>
      <c r="Q84" s="847"/>
      <c r="R84" s="200">
        <f>R85+R132</f>
        <v>4087812.34</v>
      </c>
      <c r="S84" s="200">
        <f>S85+S132</f>
        <v>6599.1661905226929</v>
      </c>
      <c r="T84" s="200">
        <f>T85+T132</f>
        <v>4688.300294229266</v>
      </c>
      <c r="U84" s="848">
        <f t="shared" si="95"/>
        <v>0.27889684996210418</v>
      </c>
      <c r="V84" s="845"/>
      <c r="W84" s="200">
        <f>W85+W132</f>
        <v>3302961.75</v>
      </c>
      <c r="X84" s="200">
        <f>X85+X132</f>
        <v>4721.6269321613299</v>
      </c>
      <c r="Y84" s="200">
        <f>Y85+Y132</f>
        <v>4017.6805745087681</v>
      </c>
      <c r="Z84" s="848">
        <f t="shared" si="96"/>
        <v>0.57363716559145017</v>
      </c>
      <c r="AA84" s="847"/>
      <c r="AB84" s="200">
        <f>AB85+AB132</f>
        <v>3632802.13</v>
      </c>
      <c r="AC84" s="200">
        <f>AC85+AC132</f>
        <v>5889.0299762729601</v>
      </c>
      <c r="AD84" s="200">
        <f>AD85+AD132</f>
        <v>5266.0697252253794</v>
      </c>
      <c r="AE84" s="848">
        <f t="shared" si="97"/>
        <v>0.54021647502993642</v>
      </c>
      <c r="AF84" s="845"/>
      <c r="AG84" s="200">
        <f>AG85+AG132</f>
        <v>3286050.29</v>
      </c>
      <c r="AH84" s="200">
        <f>AH85+AH132</f>
        <v>4858.1980300673931</v>
      </c>
      <c r="AI84" s="200">
        <f>AI85+AI132</f>
        <v>5078.0425226396819</v>
      </c>
      <c r="AJ84" s="848">
        <f t="shared" si="98"/>
        <v>0.6049402323134867</v>
      </c>
      <c r="AK84" s="847"/>
      <c r="AL84" s="200">
        <f>AL85+AL132</f>
        <v>3778105.9600000004</v>
      </c>
      <c r="AM84" s="200">
        <f>AM85+AM132</f>
        <v>6291.1580143491428</v>
      </c>
      <c r="AN84" s="200">
        <f>AN85+AN132</f>
        <v>5069.0218879080603</v>
      </c>
      <c r="AO84" s="848">
        <f t="shared" si="99"/>
        <v>0.60590826324088409</v>
      </c>
      <c r="AP84" s="845"/>
      <c r="AQ84" s="200">
        <f>AQ85+AQ132</f>
        <v>2858814.1899999995</v>
      </c>
      <c r="AR84" s="200">
        <f>AR85+AR132</f>
        <v>5471.7237241258545</v>
      </c>
      <c r="AS84" s="200">
        <f>AS85+AS132</f>
        <v>4870.0780435255965</v>
      </c>
      <c r="AT84" s="848">
        <f t="shared" si="100"/>
        <v>0.64770269662161817</v>
      </c>
      <c r="AU84" s="847"/>
      <c r="AV84" s="200">
        <f>AV85+AV132</f>
        <v>0</v>
      </c>
      <c r="AW84" s="200">
        <f>AW85+AW132</f>
        <v>0</v>
      </c>
      <c r="AX84" s="200">
        <f>AX85+AX132</f>
        <v>0</v>
      </c>
      <c r="AY84" s="848">
        <f t="shared" si="101"/>
        <v>0</v>
      </c>
      <c r="AZ84" s="845"/>
      <c r="BA84" s="200">
        <f>BA85+BA132</f>
        <v>0</v>
      </c>
      <c r="BB84" s="200">
        <f>BB85+BB132</f>
        <v>0</v>
      </c>
      <c r="BC84" s="200">
        <f>BC85+BC132</f>
        <v>0</v>
      </c>
      <c r="BD84" s="848">
        <f t="shared" si="102"/>
        <v>0</v>
      </c>
      <c r="BE84" s="847"/>
      <c r="BF84" s="200">
        <f>BF85+BF132</f>
        <v>0</v>
      </c>
      <c r="BG84" s="200">
        <f>BG85+BG132</f>
        <v>0</v>
      </c>
      <c r="BH84" s="200">
        <f>BH85+BH132</f>
        <v>0</v>
      </c>
      <c r="BI84" s="848">
        <f t="shared" si="103"/>
        <v>0</v>
      </c>
      <c r="BJ84" s="849"/>
      <c r="BK84" s="200">
        <f t="shared" si="80"/>
        <v>29207520.409999996</v>
      </c>
      <c r="BL84" s="201">
        <f t="shared" si="81"/>
        <v>3245280.0455555553</v>
      </c>
      <c r="BM84" s="202">
        <f t="shared" si="82"/>
        <v>8265.0052094044531</v>
      </c>
      <c r="BN84" s="202">
        <f t="shared" si="83"/>
        <v>7369.4193477262661</v>
      </c>
      <c r="BO84" s="203">
        <f t="shared" si="84"/>
        <v>0.58847046711440798</v>
      </c>
      <c r="BP84" s="203">
        <f t="shared" si="85"/>
        <v>7.9277994632864474E-2</v>
      </c>
      <c r="BQ84" s="850"/>
      <c r="BR84" s="200">
        <f t="shared" si="86"/>
        <v>24681707.449999996</v>
      </c>
      <c r="BS84" s="201">
        <f t="shared" si="87"/>
        <v>3525958.2071428564</v>
      </c>
      <c r="BT84" s="202">
        <f t="shared" si="88"/>
        <v>7957.7286614113764</v>
      </c>
      <c r="BU84" s="202">
        <f t="shared" si="89"/>
        <v>6935.7537355041914</v>
      </c>
      <c r="BV84" s="203">
        <f t="shared" si="90"/>
        <v>0.49728951015574968</v>
      </c>
      <c r="BW84" s="203">
        <f t="shared" si="91"/>
        <v>7.5918066870166917E-2</v>
      </c>
    </row>
    <row r="85" spans="1:75" ht="11.25">
      <c r="A85" s="123" t="s">
        <v>124</v>
      </c>
      <c r="B85" s="489"/>
      <c r="C85" s="286">
        <f>SUM(C86,C92,C98,C102,C105:C107,C111:C113,C117,C121:C122,C126:C131)</f>
        <v>1413663.76</v>
      </c>
      <c r="D85" s="119">
        <f>SUM(D86,D92,D98,D102,D105:D107,D111:D113,D117,D121:D122,D126:D131)</f>
        <v>7393.020249351518</v>
      </c>
      <c r="E85" s="119">
        <f>SUM(E86,E92,E98,E102,E105:E107,E111:E113,E117,E121:E122,E126:E131)</f>
        <v>8661.3298591546627</v>
      </c>
      <c r="F85" s="800">
        <f t="shared" si="92"/>
        <v>95.655358515487308</v>
      </c>
      <c r="G85" s="801"/>
      <c r="H85" s="286">
        <f>SUM(H86,H92,H98,H102,H105:H107,H111:H113,H117,H121:H122,H126:H131)</f>
        <v>1963868.1599999999</v>
      </c>
      <c r="I85" s="119">
        <f>SUM(I86,I92,I98,I102,I105:I107,I111:I113,I117,I121:I122,I126:I131)</f>
        <v>8146.8022898863355</v>
      </c>
      <c r="J85" s="119">
        <f>SUM(J86,J92,J98,J102,J105:J107,J111:J113,J117,J121:J122,J126:J131)</f>
        <v>8131.7605905280161</v>
      </c>
      <c r="K85" s="802">
        <f t="shared" si="93"/>
        <v>-137.25185449208064</v>
      </c>
      <c r="L85" s="489"/>
      <c r="M85" s="119">
        <f>SUM(M86,M92,M98,M102,M105:M107,M111:M113,M117,M121:M122,M126:M131)</f>
        <v>2256305.44</v>
      </c>
      <c r="N85" s="119">
        <f>SUM(N86,N92,N98,N102,N105:N107,N111:N113,N117,N121:N122,N126:N131)</f>
        <v>6567.1019227594488</v>
      </c>
      <c r="O85" s="119">
        <f>SUM(O86,O92,O98,O102,O105:O107,O111:O113,O117,O121:O122,O126:O131)</f>
        <v>6824.048490156827</v>
      </c>
      <c r="P85" s="802">
        <f t="shared" si="94"/>
        <v>0.35191487098883095</v>
      </c>
      <c r="Q85" s="801"/>
      <c r="R85" s="119">
        <f>SUM(R86,R92,R98,R102,R105:R107,R111:R113,R117,R121:R122,R126:R131)</f>
        <v>2731750.8</v>
      </c>
      <c r="S85" s="119">
        <f>SUM(S86,S92,S98,S102,S105:S107,S111:S113,S117,S121:S122,S126:S131)</f>
        <v>5675.8109857323034</v>
      </c>
      <c r="T85" s="119">
        <f>SUM(T86,T92,T98,T102,T105:T107,T111:T113,T117,T121:T122,T126:T131)</f>
        <v>4032.3134084142221</v>
      </c>
      <c r="U85" s="802">
        <f t="shared" si="95"/>
        <v>0.18637760974161011</v>
      </c>
      <c r="V85" s="489"/>
      <c r="W85" s="119">
        <f>SUM(W86,W92,W98,W102,W105:W107,W111:W113,W117,W121:W122,W126:W131)</f>
        <v>1986129.7800000003</v>
      </c>
      <c r="X85" s="119">
        <f>SUM(X86,X92,X98,X102,X105:X107,X111:X113,X117,X121:X122,X126:X131)</f>
        <v>3958.760187759739</v>
      </c>
      <c r="Y85" s="119">
        <f>SUM(Y86,Y92,Y98,Y102,Y105:Y107,Y111:Y113,Y117,Y121:Y122,Y126:Y131)</f>
        <v>3368.5494711926426</v>
      </c>
      <c r="Z85" s="802">
        <f t="shared" si="96"/>
        <v>0.34493825352230334</v>
      </c>
      <c r="AA85" s="801"/>
      <c r="AB85" s="119">
        <f>SUM(AB86,AB92,AB98,AB102,AB105:AB107,AB111:AB113,AB117,AB121:AB122,AB126:AB131)</f>
        <v>2088867.5899999999</v>
      </c>
      <c r="AC85" s="119">
        <f>SUM(AC86,AC92,AC98,AC102,AC105:AC107,AC111:AC113,AC117,AC121:AC122,AC126:AC131)</f>
        <v>4653.7692350536354</v>
      </c>
      <c r="AD85" s="119">
        <f>SUM(AD86,AD92,AD98,AD102,AD105:AD107,AD111:AD113,AD117,AD121:AD122,AD126:AD131)</f>
        <v>4161.4787792965553</v>
      </c>
      <c r="AE85" s="802">
        <f t="shared" si="97"/>
        <v>0.31062541968782603</v>
      </c>
      <c r="AF85" s="489"/>
      <c r="AG85" s="119">
        <f>SUM(AG86,AG92,AG98,AG102,AG105:AG107,AG111:AG113,AG117,AG121:AG122,AG126:AG131)</f>
        <v>2337149.98</v>
      </c>
      <c r="AH85" s="119">
        <f>SUM(AH86,AH92,AH98,AH102,AH105:AH107,AH111:AH113,AH117,AH121:AH122,AH126:AH131)</f>
        <v>4659.947322247478</v>
      </c>
      <c r="AI85" s="119">
        <f>SUM(AI86,AI92,AI98,AI102,AI105:AI107,AI111:AI113,AI117,AI121:AI122,AI126:AI131)</f>
        <v>4870.8205201148121</v>
      </c>
      <c r="AJ85" s="802">
        <f t="shared" si="98"/>
        <v>0.43025393012249386</v>
      </c>
      <c r="AK85" s="801"/>
      <c r="AL85" s="119">
        <f>SUM(AL86,AL92,AL98,AL102,AL105:AL107,AL111:AL113,AL117,AL121:AL122,AL126:AL131)</f>
        <v>2257090.6200000006</v>
      </c>
      <c r="AM85" s="119">
        <f>SUM(AM86,AM92,AM98,AM102,AM105:AM107,AM111:AM113,AM117,AM121:AM122,AM126:AM131)</f>
        <v>5160.5033174965347</v>
      </c>
      <c r="AN85" s="119">
        <f>SUM(AN86,AN92,AN98,AN102,AN105:AN107,AN111:AN113,AN117,AN121:AN122,AN126:AN131)</f>
        <v>4158.0110067730302</v>
      </c>
      <c r="AO85" s="802">
        <f t="shared" si="99"/>
        <v>0.36197763430157753</v>
      </c>
      <c r="AP85" s="489"/>
      <c r="AQ85" s="119">
        <f>SUM(AQ86,AQ92,AQ98,AQ102,AQ105:AQ107,AQ111:AQ113,AQ117,AQ121:AQ122,AQ126:AQ131)</f>
        <v>1926867.0399999998</v>
      </c>
      <c r="AR85" s="119">
        <f>SUM(AR86,AR92,AR98,AR102,AR105:AR107,AR111:AR113,AR117,AR121:AR122,AR126:AR131)</f>
        <v>4962.0341881222284</v>
      </c>
      <c r="AS85" s="119">
        <f>SUM(AS86,AS92,AS98,AS102,AS105:AS107,AS111:AS113,AS117,AS121:AS122,AS126:AS131)</f>
        <v>4416.431634559186</v>
      </c>
      <c r="AT85" s="802">
        <f t="shared" si="100"/>
        <v>0.43655757068958562</v>
      </c>
      <c r="AU85" s="801"/>
      <c r="AV85" s="119">
        <f>SUM(AV86,AV92,AV98,AV102,AV105:AV107,AV111:AV113,AV117,AV121:AV122,AV126:AV131)</f>
        <v>0</v>
      </c>
      <c r="AW85" s="119">
        <f>SUM(AW86,AW92,AW98,AW102,AW105:AW107,AW111:AW113,AW117,AW121:AW122,AW126:AW131)</f>
        <v>0</v>
      </c>
      <c r="AX85" s="119">
        <f>SUM(AX86,AX92,AX98,AX102,AX105:AX107,AX111:AX113,AX117,AX121:AX122,AX126:AX131)</f>
        <v>0</v>
      </c>
      <c r="AY85" s="802">
        <f t="shared" si="101"/>
        <v>0</v>
      </c>
      <c r="AZ85" s="489"/>
      <c r="BA85" s="119">
        <f>SUM(BA86,BA92,BA98,BA102,BA105:BA107,BA111:BA113,BA117,BA121:BA122,BA126:BA131)</f>
        <v>0</v>
      </c>
      <c r="BB85" s="119">
        <f>SUM(BB86,BB92,BB98,BB102,BB105:BB107,BB111:BB113,BB117,BB121:BB122,BB126:BB131)</f>
        <v>0</v>
      </c>
      <c r="BC85" s="119">
        <f>SUM(BC86,BC92,BC98,BC102,BC105:BC107,BC111:BC113,BC117,BC121:BC122,BC126:BC131)</f>
        <v>0</v>
      </c>
      <c r="BD85" s="802">
        <f t="shared" si="102"/>
        <v>0</v>
      </c>
      <c r="BE85" s="801"/>
      <c r="BF85" s="119">
        <f>SUM(BF86,BF92,BF98,BF102,BF105:BF107,BF111:BF113,BF117,BF121:BF122,BF126:BF131)</f>
        <v>0</v>
      </c>
      <c r="BG85" s="119">
        <f>SUM(BG86,BG92,BG98,BG102,BG105:BG107,BG111:BG113,BG117,BG121:BG122,BG126:BG131)</f>
        <v>0</v>
      </c>
      <c r="BH85" s="119">
        <f>SUM(BH86,BH92,BH98,BH102,BH105:BH107,BH111:BH113,BH117,BH121:BH122,BH126:BH131)</f>
        <v>0</v>
      </c>
      <c r="BI85" s="802">
        <f t="shared" si="103"/>
        <v>0</v>
      </c>
      <c r="BJ85" s="571"/>
      <c r="BK85" s="119">
        <f t="shared" si="80"/>
        <v>18961693.169999998</v>
      </c>
      <c r="BL85" s="851">
        <f>(BK85)/$BL$56</f>
        <v>2106854.7966666664</v>
      </c>
      <c r="BM85" s="121">
        <f t="shared" si="82"/>
        <v>5365.6897480253729</v>
      </c>
      <c r="BN85" s="121">
        <f t="shared" si="83"/>
        <v>4784.270165734586</v>
      </c>
      <c r="BO85" s="122">
        <f t="shared" si="84"/>
        <v>0.38203847092783666</v>
      </c>
      <c r="BP85" s="122">
        <f t="shared" si="85"/>
        <v>5.1467738043473404E-2</v>
      </c>
      <c r="BQ85" s="575"/>
      <c r="BR85" s="119">
        <f t="shared" si="86"/>
        <v>15584161.25</v>
      </c>
      <c r="BS85" s="851">
        <f t="shared" si="87"/>
        <v>2226308.75</v>
      </c>
      <c r="BT85" s="121">
        <f t="shared" si="88"/>
        <v>5024.5521665958149</v>
      </c>
      <c r="BU85" s="121">
        <f t="shared" si="89"/>
        <v>4379.2717672936842</v>
      </c>
      <c r="BV85" s="122">
        <f t="shared" si="90"/>
        <v>0.31399123945943691</v>
      </c>
      <c r="BW85" s="122">
        <f t="shared" si="91"/>
        <v>4.793507087342793E-2</v>
      </c>
    </row>
    <row r="86" spans="1:75" s="297" customFormat="1" ht="11.25" outlineLevel="1">
      <c r="A86" s="65" t="s">
        <v>35</v>
      </c>
      <c r="B86" s="805"/>
      <c r="C86" s="821">
        <f>SUM(C87:C91)</f>
        <v>650003.25</v>
      </c>
      <c r="D86" s="825">
        <f t="shared" ref="D86:D91" si="104">IF(C$5=0,0,C86/C$5*1000)</f>
        <v>3399.3141264329342</v>
      </c>
      <c r="E86" s="825">
        <f t="shared" ref="E86:E91" si="105">IF(C$27=0,0,C86/C$27*1000)</f>
        <v>3982.483471014757</v>
      </c>
      <c r="F86" s="823">
        <f t="shared" si="92"/>
        <v>43.982378040858833</v>
      </c>
      <c r="G86" s="808"/>
      <c r="H86" s="821">
        <f>SUM(H87:H91)</f>
        <v>913463.94</v>
      </c>
      <c r="I86" s="825">
        <f t="shared" ref="I86:I91" si="106">IF(H$5=0,0,H86/H$5*1000)</f>
        <v>3789.3633950053927</v>
      </c>
      <c r="J86" s="825">
        <f t="shared" ref="J86:J91" si="107">IF(H$27=0,0,H86/H$27*1000)</f>
        <v>3782.3669732292256</v>
      </c>
      <c r="K86" s="824">
        <f t="shared" si="93"/>
        <v>-63.84064996330644</v>
      </c>
      <c r="L86" s="805"/>
      <c r="M86" s="825">
        <f>SUM(M87:M91)</f>
        <v>1037013.5</v>
      </c>
      <c r="N86" s="825">
        <f t="shared" ref="N86:N91" si="108">IF(M$5=0,0,M86/M$5*1000)</f>
        <v>3018.2852148676757</v>
      </c>
      <c r="O86" s="825">
        <f t="shared" ref="O86:O91" si="109">IF(M$27=0,0,M86/M$27*1000)</f>
        <v>3136.3796246253105</v>
      </c>
      <c r="P86" s="824">
        <f t="shared" si="94"/>
        <v>0.16174249531844237</v>
      </c>
      <c r="Q86" s="808"/>
      <c r="R86" s="825">
        <f>SUM(R87:R91)</f>
        <v>1160407.0399999998</v>
      </c>
      <c r="S86" s="825">
        <f t="shared" ref="S86:S91" si="110">IF(R$5=0,0,R86/R$5*1000)</f>
        <v>2410.9999439015819</v>
      </c>
      <c r="T86" s="825">
        <f t="shared" ref="T86:T91" si="111">IF(R$27=0,0,R86/R$27*1000)</f>
        <v>1712.8666592173258</v>
      </c>
      <c r="U86" s="824">
        <f t="shared" si="95"/>
        <v>7.9170431813376574E-2</v>
      </c>
      <c r="V86" s="805"/>
      <c r="W86" s="825">
        <f>SUM(W87:W91)</f>
        <v>1114341.1499999999</v>
      </c>
      <c r="X86" s="825">
        <f t="shared" ref="X86:X91" si="112">IF(W$5=0,0,W86/W$5*1000)</f>
        <v>2221.108320626663</v>
      </c>
      <c r="Y86" s="825">
        <f t="shared" ref="Y86:Y91" si="113">IF(W$27=0,0,W86/W$27*1000)</f>
        <v>1889.9637522985538</v>
      </c>
      <c r="Z86" s="824">
        <f t="shared" si="96"/>
        <v>0.19353160804478495</v>
      </c>
      <c r="AA86" s="808"/>
      <c r="AB86" s="825">
        <f>SUM(AB87:AB91)</f>
        <v>1162752</v>
      </c>
      <c r="AC86" s="825">
        <f t="shared" ref="AC86:AC91" si="114">IF(AB$5=0,0,AB86/AB$5*1000)</f>
        <v>2590.4846776798745</v>
      </c>
      <c r="AD86" s="825">
        <f t="shared" ref="AD86:AD91" si="115">IF(AB$27=0,0,AB86/AB$27*1000)</f>
        <v>2316.4550001872685</v>
      </c>
      <c r="AE86" s="824">
        <f t="shared" si="97"/>
        <v>0.17290723917683032</v>
      </c>
      <c r="AF86" s="805"/>
      <c r="AG86" s="825">
        <f>SUM(AG87:AG91)</f>
        <v>1128559.7</v>
      </c>
      <c r="AH86" s="825">
        <f t="shared" ref="AH86:AH91" si="116">IF(AG$5=0,0,AG86/AG$5*1000)</f>
        <v>2250.1888184392074</v>
      </c>
      <c r="AI86" s="825">
        <f t="shared" ref="AI86:AI91" si="117">IF(AG$27=0,0,AG86/AG$27*1000)</f>
        <v>2352.0149720706486</v>
      </c>
      <c r="AJ86" s="824">
        <f t="shared" si="98"/>
        <v>0.20776041351991567</v>
      </c>
      <c r="AK86" s="808"/>
      <c r="AL86" s="825">
        <f>SUM(AL87:AL91)</f>
        <v>1099122.02</v>
      </c>
      <c r="AM86" s="825">
        <f t="shared" ref="AM86:AM91" si="118">IF(AL$5=0,0,AL86/AL$5*1000)</f>
        <v>2512.9796651866345</v>
      </c>
      <c r="AN86" s="825">
        <f t="shared" ref="AN86:AN91" si="119">IF(AL$27=0,0,AL86/AL$27*1000)</f>
        <v>2024.8019359305149</v>
      </c>
      <c r="AO86" s="824">
        <f t="shared" si="99"/>
        <v>0.17627009969514254</v>
      </c>
      <c r="AP86" s="805"/>
      <c r="AQ86" s="825">
        <f>SUM(AQ87:AQ91)</f>
        <v>938544</v>
      </c>
      <c r="AR86" s="825">
        <f t="shared" ref="AR86:AR91" si="120">IF(AQ$5=0,0,AQ86/AQ$5*1000)</f>
        <v>2416.9220389264583</v>
      </c>
      <c r="AS86" s="825">
        <f t="shared" ref="AS86:AS91" si="121">IF(AQ$27=0,0,AQ86/AQ$27*1000)</f>
        <v>2151.1683608567596</v>
      </c>
      <c r="AT86" s="824">
        <f t="shared" si="100"/>
        <v>0.21263973077524151</v>
      </c>
      <c r="AU86" s="808"/>
      <c r="AV86" s="825">
        <f>SUM(AV87:AV91)</f>
        <v>0</v>
      </c>
      <c r="AW86" s="825">
        <f t="shared" ref="AW86:AW91" si="122">IF(AV$5=0,0,AV86/AV$5*1000)</f>
        <v>0</v>
      </c>
      <c r="AX86" s="825">
        <f t="shared" ref="AX86:AX91" si="123">IF(AV$27=0,0,AV86/AV$27*1000)</f>
        <v>0</v>
      </c>
      <c r="AY86" s="824">
        <f t="shared" si="101"/>
        <v>0</v>
      </c>
      <c r="AZ86" s="805"/>
      <c r="BA86" s="825">
        <f>SUM(BA87:BA91)</f>
        <v>0</v>
      </c>
      <c r="BB86" s="825">
        <f t="shared" ref="BB86:BB91" si="124">IF(BA$5=0,0,BA86/BA$5*1000)</f>
        <v>0</v>
      </c>
      <c r="BC86" s="825">
        <f t="shared" ref="BC86:BC91" si="125">IF(BA$27=0,0,BA86/BA$27*1000)</f>
        <v>0</v>
      </c>
      <c r="BD86" s="824">
        <f t="shared" si="102"/>
        <v>0</v>
      </c>
      <c r="BE86" s="808"/>
      <c r="BF86" s="825">
        <f>SUM(BF87:BF91)</f>
        <v>0</v>
      </c>
      <c r="BG86" s="825">
        <f t="shared" ref="BG86:BG91" si="126">IF(BF$5=0,0,BF86/BF$5*1000)</f>
        <v>0</v>
      </c>
      <c r="BH86" s="825">
        <f t="shared" ref="BH86:BH91" si="127">IF(BF$27=0,0,BF86/BF$27*1000)</f>
        <v>0</v>
      </c>
      <c r="BI86" s="824">
        <f t="shared" si="103"/>
        <v>0</v>
      </c>
      <c r="BJ86" s="811"/>
      <c r="BK86" s="825">
        <f t="shared" si="80"/>
        <v>9204206.5999999996</v>
      </c>
      <c r="BL86" s="349">
        <f t="shared" ref="BL86:BL131" si="128">BK86/$BL$56</f>
        <v>1022689.6222222222</v>
      </c>
      <c r="BM86" s="852">
        <f t="shared" si="82"/>
        <v>2604.5626068068837</v>
      </c>
      <c r="BN86" s="852">
        <f t="shared" si="83"/>
        <v>2322.3353864467881</v>
      </c>
      <c r="BO86" s="853">
        <f t="shared" si="84"/>
        <v>0.18544551818459271</v>
      </c>
      <c r="BP86" s="853">
        <f t="shared" si="85"/>
        <v>2.4982984902229017E-2</v>
      </c>
      <c r="BQ86" s="814"/>
      <c r="BR86" s="825">
        <f t="shared" si="86"/>
        <v>7640739.4100000001</v>
      </c>
      <c r="BS86" s="349">
        <f t="shared" si="87"/>
        <v>1091534.2014285715</v>
      </c>
      <c r="BT86" s="852">
        <f t="shared" si="88"/>
        <v>2463.4815529074131</v>
      </c>
      <c r="BU86" s="852">
        <f t="shared" si="89"/>
        <v>2147.107813034288</v>
      </c>
      <c r="BV86" s="853">
        <f t="shared" si="90"/>
        <v>0.15394638179404532</v>
      </c>
      <c r="BW86" s="853">
        <f t="shared" si="91"/>
        <v>2.3502027428248275E-2</v>
      </c>
    </row>
    <row r="87" spans="1:75" s="297" customFormat="1" ht="11.25" outlineLevel="1">
      <c r="A87" s="72" t="s">
        <v>400</v>
      </c>
      <c r="B87" s="854"/>
      <c r="C87" s="306">
        <v>494140.25</v>
      </c>
      <c r="D87" s="855">
        <f t="shared" si="104"/>
        <v>2584.1992824868212</v>
      </c>
      <c r="E87" s="855">
        <f t="shared" si="105"/>
        <v>3027.5315977083192</v>
      </c>
      <c r="F87" s="856">
        <f t="shared" si="92"/>
        <v>33.435930175279111</v>
      </c>
      <c r="G87" s="808"/>
      <c r="H87" s="306">
        <v>633818.43999999994</v>
      </c>
      <c r="I87" s="855">
        <f t="shared" si="106"/>
        <v>2629.2974363229068</v>
      </c>
      <c r="J87" s="855">
        <f t="shared" si="107"/>
        <v>2624.4428811055964</v>
      </c>
      <c r="K87" s="857">
        <f t="shared" si="93"/>
        <v>-44.296637662926187</v>
      </c>
      <c r="L87" s="805"/>
      <c r="M87" s="162">
        <v>699975</v>
      </c>
      <c r="N87" s="855">
        <f t="shared" si="108"/>
        <v>2037.3159975998396</v>
      </c>
      <c r="O87" s="855">
        <f t="shared" si="109"/>
        <v>2117.0286864607856</v>
      </c>
      <c r="P87" s="857">
        <f t="shared" si="94"/>
        <v>0.10917476306771966</v>
      </c>
      <c r="Q87" s="808"/>
      <c r="R87" s="162">
        <v>870017.34</v>
      </c>
      <c r="S87" s="855">
        <f t="shared" si="110"/>
        <v>1807.6516994703893</v>
      </c>
      <c r="T87" s="855">
        <f t="shared" si="111"/>
        <v>1284.2249687031756</v>
      </c>
      <c r="U87" s="857">
        <f t="shared" si="95"/>
        <v>5.9358178741250378E-2</v>
      </c>
      <c r="V87" s="805"/>
      <c r="W87" s="162">
        <v>815057.7</v>
      </c>
      <c r="X87" s="855">
        <f t="shared" si="112"/>
        <v>1624.5755972135019</v>
      </c>
      <c r="Y87" s="855">
        <f t="shared" si="113"/>
        <v>1382.3679660684065</v>
      </c>
      <c r="Z87" s="857">
        <f t="shared" si="96"/>
        <v>0.1415539822165626</v>
      </c>
      <c r="AA87" s="808"/>
      <c r="AB87" s="162">
        <v>861546</v>
      </c>
      <c r="AC87" s="855">
        <f t="shared" si="114"/>
        <v>1919.4305510688307</v>
      </c>
      <c r="AD87" s="855">
        <f t="shared" si="115"/>
        <v>1716.3871054114209</v>
      </c>
      <c r="AE87" s="857">
        <f t="shared" si="97"/>
        <v>0.12811634835617694</v>
      </c>
      <c r="AF87" s="805"/>
      <c r="AG87" s="162">
        <v>851706</v>
      </c>
      <c r="AH87" s="855">
        <f t="shared" si="116"/>
        <v>1698.1816006699366</v>
      </c>
      <c r="AI87" s="855">
        <f t="shared" si="117"/>
        <v>1775.0281742316367</v>
      </c>
      <c r="AJ87" s="857">
        <f t="shared" si="98"/>
        <v>0.15679346937285932</v>
      </c>
      <c r="AK87" s="808"/>
      <c r="AL87" s="162">
        <v>797322</v>
      </c>
      <c r="AM87" s="855">
        <f t="shared" si="118"/>
        <v>1822.9586307496033</v>
      </c>
      <c r="AN87" s="855">
        <f t="shared" si="119"/>
        <v>1468.8261173768406</v>
      </c>
      <c r="AO87" s="857">
        <f t="shared" si="99"/>
        <v>0.12786935924469098</v>
      </c>
      <c r="AP87" s="805"/>
      <c r="AQ87" s="162">
        <v>674206</v>
      </c>
      <c r="AR87" s="855">
        <f t="shared" si="120"/>
        <v>1736.2034600151421</v>
      </c>
      <c r="AS87" s="855">
        <f t="shared" si="121"/>
        <v>1545.2984792399639</v>
      </c>
      <c r="AT87" s="857">
        <f t="shared" si="100"/>
        <v>0.15275041162380504</v>
      </c>
      <c r="AU87" s="808"/>
      <c r="AV87" s="162"/>
      <c r="AW87" s="855">
        <f t="shared" si="122"/>
        <v>0</v>
      </c>
      <c r="AX87" s="855">
        <f t="shared" si="123"/>
        <v>0</v>
      </c>
      <c r="AY87" s="857">
        <f t="shared" si="101"/>
        <v>0</v>
      </c>
      <c r="AZ87" s="805"/>
      <c r="BA87" s="162"/>
      <c r="BB87" s="855">
        <f t="shared" si="124"/>
        <v>0</v>
      </c>
      <c r="BC87" s="855">
        <f t="shared" si="125"/>
        <v>0</v>
      </c>
      <c r="BD87" s="857">
        <f t="shared" si="102"/>
        <v>0</v>
      </c>
      <c r="BE87" s="808"/>
      <c r="BF87" s="162"/>
      <c r="BG87" s="855">
        <f t="shared" si="126"/>
        <v>0</v>
      </c>
      <c r="BH87" s="855">
        <f t="shared" si="127"/>
        <v>0</v>
      </c>
      <c r="BI87" s="857">
        <f t="shared" si="103"/>
        <v>0</v>
      </c>
      <c r="BJ87" s="811"/>
      <c r="BK87" s="162">
        <f t="shared" si="80"/>
        <v>6697788.7299999995</v>
      </c>
      <c r="BL87" s="163">
        <f t="shared" si="128"/>
        <v>744198.74777777772</v>
      </c>
      <c r="BM87" s="164">
        <f t="shared" si="82"/>
        <v>1895.3083989282209</v>
      </c>
      <c r="BN87" s="164">
        <f t="shared" si="83"/>
        <v>1689.9350975697885</v>
      </c>
      <c r="BO87" s="165">
        <f t="shared" si="84"/>
        <v>0.13494643869964579</v>
      </c>
      <c r="BP87" s="165">
        <f t="shared" si="85"/>
        <v>1.8179812991150117E-2</v>
      </c>
      <c r="BQ87" s="820"/>
      <c r="BR87" s="162">
        <f t="shared" si="86"/>
        <v>5569830.04</v>
      </c>
      <c r="BS87" s="163">
        <f t="shared" si="87"/>
        <v>795690.00571428577</v>
      </c>
      <c r="BT87" s="164">
        <f t="shared" si="88"/>
        <v>1795.7913259561824</v>
      </c>
      <c r="BU87" s="164">
        <f t="shared" si="89"/>
        <v>1565.1660074292577</v>
      </c>
      <c r="BV87" s="165">
        <f t="shared" si="90"/>
        <v>0.11222149269265325</v>
      </c>
      <c r="BW87" s="165">
        <f t="shared" si="91"/>
        <v>1.7132150613517808E-2</v>
      </c>
    </row>
    <row r="88" spans="1:75" s="297" customFormat="1" ht="11.25" outlineLevel="1">
      <c r="A88" s="72" t="s">
        <v>401</v>
      </c>
      <c r="B88" s="854"/>
      <c r="C88" s="858"/>
      <c r="D88" s="855">
        <f t="shared" si="104"/>
        <v>0</v>
      </c>
      <c r="E88" s="855">
        <f t="shared" si="105"/>
        <v>0</v>
      </c>
      <c r="F88" s="856">
        <f t="shared" si="92"/>
        <v>0</v>
      </c>
      <c r="G88" s="808"/>
      <c r="H88" s="858">
        <v>-3000</v>
      </c>
      <c r="I88" s="855">
        <f t="shared" si="106"/>
        <v>-12.445034431261925</v>
      </c>
      <c r="J88" s="855">
        <f t="shared" si="107"/>
        <v>-12.422056769627574</v>
      </c>
      <c r="K88" s="857">
        <f t="shared" si="93"/>
        <v>0.20966558339447897</v>
      </c>
      <c r="L88" s="805"/>
      <c r="M88" s="859"/>
      <c r="N88" s="855">
        <f t="shared" si="108"/>
        <v>0</v>
      </c>
      <c r="O88" s="855">
        <f t="shared" si="109"/>
        <v>0</v>
      </c>
      <c r="P88" s="857">
        <f t="shared" si="94"/>
        <v>0</v>
      </c>
      <c r="Q88" s="808"/>
      <c r="R88" s="859">
        <v>-11000</v>
      </c>
      <c r="S88" s="855">
        <f t="shared" si="110"/>
        <v>-22.854910793127736</v>
      </c>
      <c r="T88" s="855">
        <f t="shared" si="111"/>
        <v>-16.237003570221866</v>
      </c>
      <c r="U88" s="857">
        <f t="shared" si="95"/>
        <v>-7.5049075016568535E-4</v>
      </c>
      <c r="V88" s="805"/>
      <c r="W88" s="859">
        <v>-19993</v>
      </c>
      <c r="X88" s="855">
        <f t="shared" si="112"/>
        <v>-39.850111121077127</v>
      </c>
      <c r="Y88" s="855">
        <f t="shared" si="113"/>
        <v>-33.908866507985451</v>
      </c>
      <c r="Z88" s="857">
        <f t="shared" si="96"/>
        <v>-3.4722557267488378E-3</v>
      </c>
      <c r="AA88" s="808"/>
      <c r="AB88" s="859">
        <v>-9152</v>
      </c>
      <c r="AC88" s="855">
        <f t="shared" si="114"/>
        <v>-20.389658130131114</v>
      </c>
      <c r="AD88" s="855">
        <f t="shared" si="115"/>
        <v>-18.232775485842105</v>
      </c>
      <c r="AE88" s="857">
        <f t="shared" si="97"/>
        <v>-1.3609497579418063E-3</v>
      </c>
      <c r="AF88" s="805"/>
      <c r="AG88" s="859">
        <v>-19000</v>
      </c>
      <c r="AH88" s="855">
        <f t="shared" si="116"/>
        <v>-37.883319376320934</v>
      </c>
      <c r="AI88" s="855">
        <f t="shared" si="117"/>
        <v>-39.597625601323813</v>
      </c>
      <c r="AJ88" s="857">
        <f t="shared" si="98"/>
        <v>-3.4977749576547857E-3</v>
      </c>
      <c r="AK88" s="808"/>
      <c r="AL88" s="859">
        <v>-17174.68</v>
      </c>
      <c r="AM88" s="855">
        <f t="shared" si="118"/>
        <v>-39.267361412782535</v>
      </c>
      <c r="AN88" s="855">
        <f t="shared" si="119"/>
        <v>-31.639185349946043</v>
      </c>
      <c r="AO88" s="857">
        <f t="shared" si="99"/>
        <v>-2.7543643933474926E-3</v>
      </c>
      <c r="AP88" s="805"/>
      <c r="AQ88" s="859">
        <v>-10000</v>
      </c>
      <c r="AR88" s="855">
        <f t="shared" si="120"/>
        <v>-25.751824516767016</v>
      </c>
      <c r="AS88" s="855">
        <f t="shared" si="121"/>
        <v>-22.920271834423957</v>
      </c>
      <c r="AT88" s="857">
        <f t="shared" si="100"/>
        <v>-2.2656341181153095E-3</v>
      </c>
      <c r="AU88" s="808"/>
      <c r="AV88" s="859"/>
      <c r="AW88" s="855">
        <f t="shared" si="122"/>
        <v>0</v>
      </c>
      <c r="AX88" s="855">
        <f t="shared" si="123"/>
        <v>0</v>
      </c>
      <c r="AY88" s="857">
        <f t="shared" si="101"/>
        <v>0</v>
      </c>
      <c r="AZ88" s="805"/>
      <c r="BA88" s="859"/>
      <c r="BB88" s="855">
        <f t="shared" si="124"/>
        <v>0</v>
      </c>
      <c r="BC88" s="855">
        <f t="shared" si="125"/>
        <v>0</v>
      </c>
      <c r="BD88" s="857">
        <f t="shared" si="102"/>
        <v>0</v>
      </c>
      <c r="BE88" s="808"/>
      <c r="BF88" s="859"/>
      <c r="BG88" s="855">
        <f t="shared" si="126"/>
        <v>0</v>
      </c>
      <c r="BH88" s="855">
        <f t="shared" si="127"/>
        <v>0</v>
      </c>
      <c r="BI88" s="857">
        <f t="shared" si="103"/>
        <v>0</v>
      </c>
      <c r="BJ88" s="811"/>
      <c r="BK88" s="162">
        <f t="shared" si="80"/>
        <v>-89319.679999999993</v>
      </c>
      <c r="BL88" s="163">
        <f t="shared" si="128"/>
        <v>-9924.4088888888873</v>
      </c>
      <c r="BM88" s="164">
        <f t="shared" si="82"/>
        <v>-25.275258225946018</v>
      </c>
      <c r="BN88" s="164">
        <f t="shared" si="83"/>
        <v>-22.536462140050556</v>
      </c>
      <c r="BO88" s="165">
        <f t="shared" si="84"/>
        <v>-1.7996047961029039E-3</v>
      </c>
      <c r="BP88" s="165">
        <f t="shared" si="85"/>
        <v>-2.4244047465339674E-4</v>
      </c>
      <c r="BQ88" s="820"/>
      <c r="BR88" s="162">
        <f t="shared" si="86"/>
        <v>-86319.679999999993</v>
      </c>
      <c r="BS88" s="163">
        <f t="shared" si="87"/>
        <v>-12331.382857142857</v>
      </c>
      <c r="BT88" s="164">
        <f t="shared" si="88"/>
        <v>-27.830675530507449</v>
      </c>
      <c r="BU88" s="164">
        <f t="shared" si="89"/>
        <v>-24.256508356253384</v>
      </c>
      <c r="BV88" s="165">
        <f t="shared" si="90"/>
        <v>-1.739177545595658E-3</v>
      </c>
      <c r="BW88" s="165">
        <f t="shared" si="91"/>
        <v>-2.6550931501505217E-4</v>
      </c>
    </row>
    <row r="89" spans="1:75" s="297" customFormat="1" ht="11.25" outlineLevel="1">
      <c r="A89" s="72" t="s">
        <v>402</v>
      </c>
      <c r="B89" s="854"/>
      <c r="C89" s="306">
        <v>64863</v>
      </c>
      <c r="D89" s="855">
        <f t="shared" si="104"/>
        <v>339.21324575349342</v>
      </c>
      <c r="E89" s="855">
        <f t="shared" si="105"/>
        <v>397.40697508886336</v>
      </c>
      <c r="F89" s="856">
        <f t="shared" si="92"/>
        <v>4.3889457273701726</v>
      </c>
      <c r="G89" s="808"/>
      <c r="H89" s="306">
        <v>248865.3</v>
      </c>
      <c r="I89" s="855">
        <f t="shared" si="106"/>
        <v>1032.3790757487764</v>
      </c>
      <c r="J89" s="855">
        <f t="shared" si="107"/>
        <v>1030.4729615301324</v>
      </c>
      <c r="K89" s="857">
        <f t="shared" si="93"/>
        <v>-17.392829437047343</v>
      </c>
      <c r="L89" s="805"/>
      <c r="M89" s="162">
        <v>234344.5</v>
      </c>
      <c r="N89" s="855">
        <f t="shared" si="108"/>
        <v>682.07264373661292</v>
      </c>
      <c r="O89" s="855">
        <f t="shared" si="109"/>
        <v>708.75964000758529</v>
      </c>
      <c r="P89" s="857">
        <f t="shared" si="94"/>
        <v>3.6550598612412194E-2</v>
      </c>
      <c r="Q89" s="808"/>
      <c r="R89" s="162">
        <v>224847.5</v>
      </c>
      <c r="S89" s="855">
        <f t="shared" si="110"/>
        <v>467.16995950525353</v>
      </c>
      <c r="T89" s="855">
        <f t="shared" si="111"/>
        <v>331.89542365958738</v>
      </c>
      <c r="U89" s="857">
        <f t="shared" si="95"/>
        <v>1.5340542631625358E-2</v>
      </c>
      <c r="V89" s="805"/>
      <c r="W89" s="162">
        <v>212036.45</v>
      </c>
      <c r="X89" s="855">
        <f t="shared" si="112"/>
        <v>422.63172581497099</v>
      </c>
      <c r="Y89" s="855">
        <f t="shared" si="113"/>
        <v>359.62165147187176</v>
      </c>
      <c r="Z89" s="857">
        <f t="shared" si="96"/>
        <v>3.682512768428918E-2</v>
      </c>
      <c r="AA89" s="808"/>
      <c r="AB89" s="162">
        <v>217030</v>
      </c>
      <c r="AC89" s="855">
        <f t="shared" si="114"/>
        <v>483.51917657149858</v>
      </c>
      <c r="AD89" s="855">
        <f t="shared" si="115"/>
        <v>432.3709859803663</v>
      </c>
      <c r="AE89" s="857">
        <f t="shared" si="97"/>
        <v>3.2273484043499806E-2</v>
      </c>
      <c r="AF89" s="805"/>
      <c r="AG89" s="162">
        <v>217000.7</v>
      </c>
      <c r="AH89" s="855">
        <f t="shared" si="116"/>
        <v>432.66878015711615</v>
      </c>
      <c r="AI89" s="855">
        <f t="shared" si="117"/>
        <v>452.24802493816782</v>
      </c>
      <c r="AJ89" s="857">
        <f t="shared" si="98"/>
        <v>3.994840075018731E-2</v>
      </c>
      <c r="AK89" s="808"/>
      <c r="AL89" s="162">
        <v>233004</v>
      </c>
      <c r="AM89" s="855">
        <f t="shared" si="118"/>
        <v>532.72912675077384</v>
      </c>
      <c r="AN89" s="855">
        <f t="shared" si="119"/>
        <v>429.23983115137094</v>
      </c>
      <c r="AO89" s="857">
        <f t="shared" si="99"/>
        <v>3.7367678530693969E-2</v>
      </c>
      <c r="AP89" s="805"/>
      <c r="AQ89" s="162">
        <v>217020</v>
      </c>
      <c r="AR89" s="855">
        <f t="shared" si="120"/>
        <v>558.86609566287768</v>
      </c>
      <c r="AS89" s="855">
        <f t="shared" si="121"/>
        <v>497.41573935066867</v>
      </c>
      <c r="AT89" s="857">
        <f t="shared" si="100"/>
        <v>4.916879163133845E-2</v>
      </c>
      <c r="AU89" s="808"/>
      <c r="AV89" s="162"/>
      <c r="AW89" s="855">
        <f t="shared" si="122"/>
        <v>0</v>
      </c>
      <c r="AX89" s="855">
        <f t="shared" si="123"/>
        <v>0</v>
      </c>
      <c r="AY89" s="857">
        <f t="shared" si="101"/>
        <v>0</v>
      </c>
      <c r="AZ89" s="805"/>
      <c r="BA89" s="162"/>
      <c r="BB89" s="855">
        <f t="shared" si="124"/>
        <v>0</v>
      </c>
      <c r="BC89" s="855">
        <f t="shared" si="125"/>
        <v>0</v>
      </c>
      <c r="BD89" s="857">
        <f t="shared" si="102"/>
        <v>0</v>
      </c>
      <c r="BE89" s="808"/>
      <c r="BF89" s="162"/>
      <c r="BG89" s="855">
        <f t="shared" si="126"/>
        <v>0</v>
      </c>
      <c r="BH89" s="855">
        <f t="shared" si="127"/>
        <v>0</v>
      </c>
      <c r="BI89" s="857">
        <f t="shared" si="103"/>
        <v>0</v>
      </c>
      <c r="BJ89" s="811"/>
      <c r="BK89" s="162">
        <f t="shared" si="80"/>
        <v>1869011.45</v>
      </c>
      <c r="BL89" s="163">
        <f t="shared" si="128"/>
        <v>207667.93888888889</v>
      </c>
      <c r="BM89" s="164">
        <f t="shared" si="82"/>
        <v>528.88397076657452</v>
      </c>
      <c r="BN89" s="164">
        <f t="shared" si="83"/>
        <v>471.57475018099029</v>
      </c>
      <c r="BO89" s="165">
        <f t="shared" si="84"/>
        <v>3.7656672856320607E-2</v>
      </c>
      <c r="BP89" s="165">
        <f t="shared" si="85"/>
        <v>5.0730591855079783E-3</v>
      </c>
      <c r="BQ89" s="820"/>
      <c r="BR89" s="162">
        <f t="shared" si="86"/>
        <v>1555283.15</v>
      </c>
      <c r="BS89" s="163">
        <f t="shared" si="87"/>
        <v>222183.30714285714</v>
      </c>
      <c r="BT89" s="164">
        <f t="shared" si="88"/>
        <v>501.44510157724807</v>
      </c>
      <c r="BU89" s="164">
        <f t="shared" si="89"/>
        <v>437.04678613631432</v>
      </c>
      <c r="BV89" s="165">
        <f t="shared" si="90"/>
        <v>3.1336000452310338E-2</v>
      </c>
      <c r="BW89" s="165">
        <f t="shared" si="91"/>
        <v>4.7838704199430846E-3</v>
      </c>
    </row>
    <row r="90" spans="1:75" s="297" customFormat="1" ht="11.25" outlineLevel="1">
      <c r="A90" s="72" t="s">
        <v>403</v>
      </c>
      <c r="B90" s="854"/>
      <c r="C90" s="306">
        <v>91000</v>
      </c>
      <c r="D90" s="855">
        <f t="shared" si="104"/>
        <v>475.90159819261987</v>
      </c>
      <c r="E90" s="855">
        <f t="shared" si="105"/>
        <v>557.54489821757488</v>
      </c>
      <c r="F90" s="856">
        <f t="shared" si="92"/>
        <v>6.1575021382095452</v>
      </c>
      <c r="G90" s="808"/>
      <c r="H90" s="306">
        <v>12000</v>
      </c>
      <c r="I90" s="855">
        <f t="shared" si="106"/>
        <v>49.780137725047702</v>
      </c>
      <c r="J90" s="855">
        <f t="shared" si="107"/>
        <v>49.688227078510295</v>
      </c>
      <c r="K90" s="857">
        <f t="shared" si="93"/>
        <v>-0.83866233357791586</v>
      </c>
      <c r="L90" s="805"/>
      <c r="M90" s="162">
        <v>42000</v>
      </c>
      <c r="N90" s="855">
        <f t="shared" si="108"/>
        <v>122.24332568905071</v>
      </c>
      <c r="O90" s="855">
        <f t="shared" si="109"/>
        <v>127.02625783971283</v>
      </c>
      <c r="P90" s="857">
        <f t="shared" si="94"/>
        <v>6.5507197383395483E-3</v>
      </c>
      <c r="Q90" s="808"/>
      <c r="R90" s="162">
        <v>54000</v>
      </c>
      <c r="S90" s="855">
        <f t="shared" si="110"/>
        <v>112.19683480262707</v>
      </c>
      <c r="T90" s="855">
        <f t="shared" si="111"/>
        <v>79.708926617452803</v>
      </c>
      <c r="U90" s="857">
        <f t="shared" si="95"/>
        <v>3.6842273189951827E-3</v>
      </c>
      <c r="V90" s="805"/>
      <c r="W90" s="162">
        <v>46004</v>
      </c>
      <c r="X90" s="855">
        <f t="shared" si="112"/>
        <v>91.695318962338433</v>
      </c>
      <c r="Y90" s="855">
        <f t="shared" si="113"/>
        <v>78.024483310826909</v>
      </c>
      <c r="Z90" s="857">
        <f t="shared" si="96"/>
        <v>7.9896790103212885E-3</v>
      </c>
      <c r="AA90" s="808"/>
      <c r="AB90" s="162">
        <v>32004</v>
      </c>
      <c r="AC90" s="855">
        <f t="shared" si="114"/>
        <v>71.30142250838243</v>
      </c>
      <c r="AD90" s="855">
        <f t="shared" si="115"/>
        <v>63.758932107614811</v>
      </c>
      <c r="AE90" s="857">
        <f t="shared" si="97"/>
        <v>4.7591604079075134E-3</v>
      </c>
      <c r="AF90" s="805"/>
      <c r="AG90" s="162">
        <v>32004</v>
      </c>
      <c r="AH90" s="855">
        <f t="shared" si="116"/>
        <v>63.811460701040794</v>
      </c>
      <c r="AI90" s="855">
        <f t="shared" si="117"/>
        <v>66.699074197093026</v>
      </c>
      <c r="AJ90" s="857">
        <f t="shared" si="98"/>
        <v>5.8917257760412508E-3</v>
      </c>
      <c r="AK90" s="808"/>
      <c r="AL90" s="162">
        <v>32004</v>
      </c>
      <c r="AM90" s="855">
        <f t="shared" si="118"/>
        <v>73.172404647696041</v>
      </c>
      <c r="AN90" s="855">
        <f t="shared" si="119"/>
        <v>58.957749893428762</v>
      </c>
      <c r="AO90" s="857">
        <f t="shared" si="99"/>
        <v>5.132595078609508E-3</v>
      </c>
      <c r="AP90" s="805"/>
      <c r="AQ90" s="162">
        <v>8004</v>
      </c>
      <c r="AR90" s="855">
        <f t="shared" si="120"/>
        <v>20.611760343220318</v>
      </c>
      <c r="AS90" s="855">
        <f t="shared" si="121"/>
        <v>18.345385576272935</v>
      </c>
      <c r="AT90" s="857">
        <f t="shared" si="100"/>
        <v>1.8134135481394937E-3</v>
      </c>
      <c r="AU90" s="808"/>
      <c r="AV90" s="162"/>
      <c r="AW90" s="855">
        <f t="shared" si="122"/>
        <v>0</v>
      </c>
      <c r="AX90" s="855">
        <f t="shared" si="123"/>
        <v>0</v>
      </c>
      <c r="AY90" s="857">
        <f t="shared" si="101"/>
        <v>0</v>
      </c>
      <c r="AZ90" s="805"/>
      <c r="BA90" s="162"/>
      <c r="BB90" s="855">
        <f t="shared" si="124"/>
        <v>0</v>
      </c>
      <c r="BC90" s="855">
        <f t="shared" si="125"/>
        <v>0</v>
      </c>
      <c r="BD90" s="857">
        <f t="shared" si="102"/>
        <v>0</v>
      </c>
      <c r="BE90" s="808"/>
      <c r="BF90" s="162"/>
      <c r="BG90" s="855">
        <f t="shared" si="126"/>
        <v>0</v>
      </c>
      <c r="BH90" s="855">
        <f t="shared" si="127"/>
        <v>0</v>
      </c>
      <c r="BI90" s="857">
        <f t="shared" si="103"/>
        <v>0</v>
      </c>
      <c r="BJ90" s="811"/>
      <c r="BK90" s="162">
        <f t="shared" si="80"/>
        <v>349020</v>
      </c>
      <c r="BL90" s="163">
        <f t="shared" si="128"/>
        <v>38780</v>
      </c>
      <c r="BM90" s="164">
        <f t="shared" si="82"/>
        <v>98.764019598140976</v>
      </c>
      <c r="BN90" s="164">
        <f t="shared" si="83"/>
        <v>88.062071159686695</v>
      </c>
      <c r="BO90" s="165">
        <f t="shared" si="84"/>
        <v>7.0320232443268444E-3</v>
      </c>
      <c r="BP90" s="165">
        <f t="shared" si="85"/>
        <v>9.4734524870138961E-4</v>
      </c>
      <c r="BQ90" s="820"/>
      <c r="BR90" s="162">
        <f t="shared" si="86"/>
        <v>246020</v>
      </c>
      <c r="BS90" s="163">
        <f t="shared" si="87"/>
        <v>35145.714285714283</v>
      </c>
      <c r="BT90" s="164">
        <f t="shared" si="88"/>
        <v>79.320298615743752</v>
      </c>
      <c r="BU90" s="164">
        <f t="shared" si="89"/>
        <v>69.133553157350192</v>
      </c>
      <c r="BV90" s="165">
        <f t="shared" si="90"/>
        <v>4.956835564814928E-3</v>
      </c>
      <c r="BW90" s="165">
        <f t="shared" si="91"/>
        <v>7.5672896007032394E-4</v>
      </c>
    </row>
    <row r="91" spans="1:75" s="297" customFormat="1" ht="11.25" outlineLevel="1">
      <c r="A91" s="72" t="s">
        <v>404</v>
      </c>
      <c r="B91" s="854"/>
      <c r="C91" s="306"/>
      <c r="D91" s="855">
        <f t="shared" si="104"/>
        <v>0</v>
      </c>
      <c r="E91" s="855">
        <f t="shared" si="105"/>
        <v>0</v>
      </c>
      <c r="F91" s="856">
        <f t="shared" si="92"/>
        <v>0</v>
      </c>
      <c r="G91" s="808"/>
      <c r="H91" s="306">
        <v>21780.2</v>
      </c>
      <c r="I91" s="855">
        <f t="shared" si="106"/>
        <v>90.351779639923677</v>
      </c>
      <c r="J91" s="855">
        <f t="shared" si="107"/>
        <v>90.184960284614178</v>
      </c>
      <c r="K91" s="857">
        <f t="shared" si="93"/>
        <v>-1.5221861131494769</v>
      </c>
      <c r="L91" s="805"/>
      <c r="M91" s="162">
        <v>60694</v>
      </c>
      <c r="N91" s="855">
        <f t="shared" si="108"/>
        <v>176.65324784217245</v>
      </c>
      <c r="O91" s="855">
        <f t="shared" si="109"/>
        <v>183.56504031722693</v>
      </c>
      <c r="P91" s="857">
        <f t="shared" si="94"/>
        <v>9.4664138999709657E-3</v>
      </c>
      <c r="Q91" s="808"/>
      <c r="R91" s="162">
        <v>22542.2</v>
      </c>
      <c r="S91" s="855">
        <f t="shared" si="110"/>
        <v>46.83636091644037</v>
      </c>
      <c r="T91" s="855">
        <f t="shared" si="111"/>
        <v>33.274343807332301</v>
      </c>
      <c r="U91" s="857">
        <f t="shared" si="95"/>
        <v>1.5379738716713557E-3</v>
      </c>
      <c r="V91" s="805"/>
      <c r="W91" s="162">
        <v>61236</v>
      </c>
      <c r="X91" s="855">
        <f t="shared" si="112"/>
        <v>122.05578975692887</v>
      </c>
      <c r="Y91" s="855">
        <f t="shared" si="113"/>
        <v>103.85851795543424</v>
      </c>
      <c r="Z91" s="857">
        <f t="shared" si="96"/>
        <v>1.0635074860360718E-2</v>
      </c>
      <c r="AA91" s="808"/>
      <c r="AB91" s="162">
        <v>61324</v>
      </c>
      <c r="AC91" s="855">
        <f t="shared" si="114"/>
        <v>136.62318566129375</v>
      </c>
      <c r="AD91" s="855">
        <f t="shared" si="115"/>
        <v>122.17075217370862</v>
      </c>
      <c r="AE91" s="857">
        <f t="shared" si="97"/>
        <v>9.119196127187864E-3</v>
      </c>
      <c r="AF91" s="805"/>
      <c r="AG91" s="162">
        <v>46849</v>
      </c>
      <c r="AH91" s="855">
        <f t="shared" si="116"/>
        <v>93.410296287434704</v>
      </c>
      <c r="AI91" s="855">
        <f t="shared" si="117"/>
        <v>97.637324305074699</v>
      </c>
      <c r="AJ91" s="857">
        <f t="shared" si="98"/>
        <v>8.6245925784825817E-3</v>
      </c>
      <c r="AK91" s="808"/>
      <c r="AL91" s="162">
        <v>53966.7</v>
      </c>
      <c r="AM91" s="855">
        <f t="shared" si="118"/>
        <v>123.38686445134414</v>
      </c>
      <c r="AN91" s="855">
        <f t="shared" si="119"/>
        <v>99.417422858820828</v>
      </c>
      <c r="AO91" s="857">
        <f t="shared" si="99"/>
        <v>8.6548312344955549E-3</v>
      </c>
      <c r="AP91" s="805"/>
      <c r="AQ91" s="162">
        <v>49314</v>
      </c>
      <c r="AR91" s="855">
        <f t="shared" si="120"/>
        <v>126.99254742198485</v>
      </c>
      <c r="AS91" s="855">
        <f t="shared" si="121"/>
        <v>113.02902852427829</v>
      </c>
      <c r="AT91" s="857">
        <f t="shared" si="100"/>
        <v>1.1172748090073837E-2</v>
      </c>
      <c r="AU91" s="808"/>
      <c r="AV91" s="162"/>
      <c r="AW91" s="855">
        <f t="shared" si="122"/>
        <v>0</v>
      </c>
      <c r="AX91" s="855">
        <f t="shared" si="123"/>
        <v>0</v>
      </c>
      <c r="AY91" s="857">
        <f t="shared" si="101"/>
        <v>0</v>
      </c>
      <c r="AZ91" s="805"/>
      <c r="BA91" s="162"/>
      <c r="BB91" s="855">
        <f t="shared" si="124"/>
        <v>0</v>
      </c>
      <c r="BC91" s="855">
        <f t="shared" si="125"/>
        <v>0</v>
      </c>
      <c r="BD91" s="857">
        <f t="shared" si="102"/>
        <v>0</v>
      </c>
      <c r="BE91" s="808"/>
      <c r="BF91" s="162"/>
      <c r="BG91" s="855">
        <f t="shared" si="126"/>
        <v>0</v>
      </c>
      <c r="BH91" s="855">
        <f t="shared" si="127"/>
        <v>0</v>
      </c>
      <c r="BI91" s="857">
        <f t="shared" si="103"/>
        <v>0</v>
      </c>
      <c r="BJ91" s="811"/>
      <c r="BK91" s="162">
        <f t="shared" si="80"/>
        <v>377706.10000000003</v>
      </c>
      <c r="BL91" s="163">
        <f t="shared" si="128"/>
        <v>41967.344444444447</v>
      </c>
      <c r="BM91" s="164">
        <f t="shared" si="82"/>
        <v>106.88147573989284</v>
      </c>
      <c r="BN91" s="164">
        <f t="shared" si="83"/>
        <v>95.299929676373111</v>
      </c>
      <c r="BO91" s="165">
        <f t="shared" si="84"/>
        <v>7.609988180402383E-3</v>
      </c>
      <c r="BP91" s="165">
        <f t="shared" si="85"/>
        <v>1.0252079515229268E-3</v>
      </c>
      <c r="BQ91" s="820"/>
      <c r="BR91" s="162">
        <f t="shared" si="86"/>
        <v>355925.9</v>
      </c>
      <c r="BS91" s="163">
        <f t="shared" si="87"/>
        <v>50846.557142857149</v>
      </c>
      <c r="BT91" s="164">
        <f t="shared" si="88"/>
        <v>114.75550228874624</v>
      </c>
      <c r="BU91" s="164">
        <f t="shared" si="89"/>
        <v>100.01797466761934</v>
      </c>
      <c r="BV91" s="165">
        <f t="shared" si="90"/>
        <v>7.1712306298624571E-3</v>
      </c>
      <c r="BW91" s="165">
        <f t="shared" si="91"/>
        <v>1.0947867497321118E-3</v>
      </c>
    </row>
    <row r="92" spans="1:75" s="297" customFormat="1" ht="11.25" outlineLevel="1">
      <c r="A92" s="65" t="s">
        <v>36</v>
      </c>
      <c r="B92" s="805"/>
      <c r="C92" s="821">
        <f>SUM(C93:C97)</f>
        <v>365985.41000000003</v>
      </c>
      <c r="D92" s="825">
        <f>SUM(D93:D97)</f>
        <v>1913.9894674085849</v>
      </c>
      <c r="E92" s="825">
        <f>SUM(E93:E97)</f>
        <v>2242.3439359073341</v>
      </c>
      <c r="F92" s="823">
        <f t="shared" si="92"/>
        <v>24.764351039873596</v>
      </c>
      <c r="G92" s="808"/>
      <c r="H92" s="821">
        <f>SUM(H93:H97)</f>
        <v>641682.03</v>
      </c>
      <c r="I92" s="825">
        <f>SUM(I93:I97)</f>
        <v>2661.9183190906833</v>
      </c>
      <c r="J92" s="825">
        <f>SUM(J93:J97)</f>
        <v>2657.0035349032883</v>
      </c>
      <c r="K92" s="824">
        <f t="shared" si="93"/>
        <v>-44.846212391234523</v>
      </c>
      <c r="L92" s="805"/>
      <c r="M92" s="825">
        <f>SUM(M93:M97)</f>
        <v>529144.46000000008</v>
      </c>
      <c r="N92" s="825">
        <f>SUM(N93:N97)</f>
        <v>1540.1042514365922</v>
      </c>
      <c r="O92" s="825">
        <f>SUM(O93:O97)</f>
        <v>1600.3628716765622</v>
      </c>
      <c r="P92" s="824">
        <f t="shared" si="94"/>
        <v>8.2530406156071962E-2</v>
      </c>
      <c r="Q92" s="808"/>
      <c r="R92" s="825">
        <f>SUM(R93:R97)</f>
        <v>513803.25</v>
      </c>
      <c r="S92" s="825">
        <f>SUM(S93:S97)</f>
        <v>1067.538858542646</v>
      </c>
      <c r="T92" s="825">
        <f>SUM(T93:T97)</f>
        <v>758.42047314923616</v>
      </c>
      <c r="U92" s="824">
        <f t="shared" si="95"/>
        <v>3.5054962411824292E-2</v>
      </c>
      <c r="V92" s="805"/>
      <c r="W92" s="825">
        <f>SUM(W93:W97)</f>
        <v>364514.56000000006</v>
      </c>
      <c r="X92" s="825">
        <f>SUM(X93:X97)</f>
        <v>726.55157911521712</v>
      </c>
      <c r="Y92" s="825">
        <f>SUM(Y93:Y97)</f>
        <v>618.23015831826399</v>
      </c>
      <c r="Z92" s="824">
        <f t="shared" si="96"/>
        <v>6.3306545713166254E-2</v>
      </c>
      <c r="AA92" s="808"/>
      <c r="AB92" s="825">
        <f>SUM(AB93:AB97)</f>
        <v>507037</v>
      </c>
      <c r="AC92" s="825">
        <f>SUM(AC93:AC97)</f>
        <v>1129.6231522429293</v>
      </c>
      <c r="AD92" s="825">
        <f>SUM(AD93:AD97)</f>
        <v>1010.1280358407914</v>
      </c>
      <c r="AE92" s="824">
        <f t="shared" si="97"/>
        <v>7.5399025613804585E-2</v>
      </c>
      <c r="AF92" s="805"/>
      <c r="AG92" s="825">
        <f>SUM(AG93:AG97)</f>
        <v>519491.26</v>
      </c>
      <c r="AH92" s="825">
        <f>SUM(AH93:AH97)</f>
        <v>1035.7922797782828</v>
      </c>
      <c r="AI92" s="825">
        <f>SUM(AI93:AI97)</f>
        <v>1082.6642324547349</v>
      </c>
      <c r="AJ92" s="824">
        <f t="shared" si="98"/>
        <v>9.5634922102554282E-2</v>
      </c>
      <c r="AK92" s="808"/>
      <c r="AL92" s="825">
        <f>SUM(AL93:AL97)</f>
        <v>502201.41000000003</v>
      </c>
      <c r="AM92" s="825">
        <f>SUM(AM93:AM97)</f>
        <v>1148.209123458427</v>
      </c>
      <c r="AN92" s="825">
        <f>SUM(AN93:AN97)</f>
        <v>925.15514082324944</v>
      </c>
      <c r="AO92" s="824">
        <f t="shared" si="99"/>
        <v>8.0539822692062113E-2</v>
      </c>
      <c r="AP92" s="805"/>
      <c r="AQ92" s="825">
        <f>SUM(AQ93:AQ97)</f>
        <v>351126.73</v>
      </c>
      <c r="AR92" s="825">
        <f>SUM(AR93:AR97)</f>
        <v>904.21539341062316</v>
      </c>
      <c r="AS92" s="825">
        <f>SUM(AS93:AS97)</f>
        <v>804.79200999323848</v>
      </c>
      <c r="AT92" s="824">
        <f t="shared" si="100"/>
        <v>7.9552469927026234E-2</v>
      </c>
      <c r="AU92" s="808"/>
      <c r="AV92" s="825">
        <f>SUM(AV93:AV97)</f>
        <v>0</v>
      </c>
      <c r="AW92" s="825">
        <f>SUM(AW93:AW97)</f>
        <v>0</v>
      </c>
      <c r="AX92" s="825">
        <f>SUM(AX93:AX97)</f>
        <v>0</v>
      </c>
      <c r="AY92" s="824">
        <f t="shared" si="101"/>
        <v>0</v>
      </c>
      <c r="AZ92" s="805"/>
      <c r="BA92" s="825">
        <f>SUM(BA93:BA97)</f>
        <v>0</v>
      </c>
      <c r="BB92" s="825">
        <f>SUM(BB93:BB97)</f>
        <v>0</v>
      </c>
      <c r="BC92" s="825">
        <f>SUM(BC93:BC97)</f>
        <v>0</v>
      </c>
      <c r="BD92" s="824">
        <f t="shared" si="102"/>
        <v>0</v>
      </c>
      <c r="BE92" s="808"/>
      <c r="BF92" s="825">
        <f>SUM(BF93:BF97)</f>
        <v>0</v>
      </c>
      <c r="BG92" s="825">
        <f>SUM(BG93:BG97)</f>
        <v>0</v>
      </c>
      <c r="BH92" s="825">
        <f>SUM(BH93:BH97)</f>
        <v>0</v>
      </c>
      <c r="BI92" s="824">
        <f t="shared" si="103"/>
        <v>0</v>
      </c>
      <c r="BJ92" s="811"/>
      <c r="BK92" s="825">
        <f t="shared" si="80"/>
        <v>4294986.1099999994</v>
      </c>
      <c r="BL92" s="349">
        <f t="shared" si="128"/>
        <v>477220.6788888888</v>
      </c>
      <c r="BM92" s="852">
        <f t="shared" si="82"/>
        <v>1215.3747416818039</v>
      </c>
      <c r="BN92" s="852">
        <f t="shared" si="83"/>
        <v>1083.6782202987965</v>
      </c>
      <c r="BO92" s="853">
        <f t="shared" si="84"/>
        <v>8.6534989856114061E-2</v>
      </c>
      <c r="BP92" s="853">
        <f t="shared" si="85"/>
        <v>1.1657884031135646E-2</v>
      </c>
      <c r="BQ92" s="814"/>
      <c r="BR92" s="825">
        <f t="shared" si="86"/>
        <v>3287318.6700000004</v>
      </c>
      <c r="BS92" s="349">
        <f t="shared" si="87"/>
        <v>469616.9528571429</v>
      </c>
      <c r="BT92" s="852">
        <f t="shared" si="88"/>
        <v>1059.8776463275735</v>
      </c>
      <c r="BU92" s="852">
        <f t="shared" si="89"/>
        <v>923.76237711403451</v>
      </c>
      <c r="BV92" s="853">
        <f t="shared" si="90"/>
        <v>6.6233225332640061E-2</v>
      </c>
      <c r="BW92" s="853">
        <f t="shared" si="91"/>
        <v>1.0111410611205841E-2</v>
      </c>
    </row>
    <row r="93" spans="1:75" s="297" customFormat="1" ht="11.25" outlineLevel="2">
      <c r="A93" s="72" t="s">
        <v>130</v>
      </c>
      <c r="B93" s="854"/>
      <c r="C93" s="306">
        <v>220000</v>
      </c>
      <c r="D93" s="855">
        <f t="shared" ref="D93:D131" si="129">IF(C$5=0,0,C93/C$5*1000)</f>
        <v>1150.5313362898501</v>
      </c>
      <c r="E93" s="855">
        <f t="shared" ref="E93:E131" si="130">IF(C$27=0,0,C93/C$27*1000)</f>
        <v>1347.9107429435876</v>
      </c>
      <c r="F93" s="856">
        <f t="shared" si="92"/>
        <v>14.886268905561538</v>
      </c>
      <c r="G93" s="463"/>
      <c r="H93" s="306">
        <v>220000</v>
      </c>
      <c r="I93" s="855">
        <f t="shared" ref="I93:I131" si="131">IF(H$5=0,0,H93/H$5*1000)</f>
        <v>912.63585829254123</v>
      </c>
      <c r="J93" s="855">
        <f t="shared" ref="J93:J131" si="132">IF(H$27=0,0,H93/H$27*1000)</f>
        <v>910.95082977268885</v>
      </c>
      <c r="K93" s="857">
        <f t="shared" si="93"/>
        <v>-15.375476115595125</v>
      </c>
      <c r="L93" s="854"/>
      <c r="M93" s="162">
        <v>220000</v>
      </c>
      <c r="N93" s="855">
        <f t="shared" ref="N93:N131" si="133">IF(M$5=0,0,M93/M$5*1000)</f>
        <v>640.32218218074172</v>
      </c>
      <c r="O93" s="855">
        <f t="shared" ref="O93:O131" si="134">IF(M$27=0,0,M93/M$27*1000)</f>
        <v>665.37563630325769</v>
      </c>
      <c r="P93" s="857">
        <f t="shared" si="94"/>
        <v>3.4313293867492871E-2</v>
      </c>
      <c r="Q93" s="463"/>
      <c r="R93" s="162">
        <v>220000</v>
      </c>
      <c r="S93" s="855">
        <f t="shared" ref="S93:S131" si="135">IF(R$5=0,0,R93/R$5*1000)</f>
        <v>457.09821586255475</v>
      </c>
      <c r="T93" s="855">
        <f t="shared" ref="T93:T131" si="136">IF(R$27=0,0,R93/R$27*1000)</f>
        <v>324.74007140443734</v>
      </c>
      <c r="U93" s="857">
        <f t="shared" si="95"/>
        <v>1.5009815003313708E-2</v>
      </c>
      <c r="V93" s="854"/>
      <c r="W93" s="162">
        <v>220000</v>
      </c>
      <c r="X93" s="855">
        <f t="shared" ref="X93:X131" si="137">IF(W$5=0,0,W93/W$5*1000)</f>
        <v>438.5046989764902</v>
      </c>
      <c r="Y93" s="855">
        <f t="shared" ref="Y93:Y131" si="138">IF(W$27=0,0,W93/W$27*1000)</f>
        <v>373.12812643209116</v>
      </c>
      <c r="Z93" s="857">
        <f t="shared" si="96"/>
        <v>3.8208185859287966E-2</v>
      </c>
      <c r="AA93" s="463"/>
      <c r="AB93" s="162">
        <v>220000</v>
      </c>
      <c r="AC93" s="855">
        <f t="shared" ref="AC93:AC131" si="139">IF(AB$5=0,0,AB93/AB$5*1000)</f>
        <v>490.13601274353636</v>
      </c>
      <c r="AD93" s="855">
        <f t="shared" ref="AD93:AD131" si="140">IF(AB$27=0,0,AB93/AB$27*1000)</f>
        <v>438.28787225581982</v>
      </c>
      <c r="AE93" s="857">
        <f t="shared" si="97"/>
        <v>3.2715138412062653E-2</v>
      </c>
      <c r="AF93" s="854"/>
      <c r="AG93" s="162">
        <v>220000</v>
      </c>
      <c r="AH93" s="855">
        <f t="shared" ref="AH93:AH131" si="141">IF(AG$5=0,0,AG93/AG$5*1000)</f>
        <v>438.64896119950555</v>
      </c>
      <c r="AI93" s="855">
        <f t="shared" ref="AI93:AI131" si="142">IF(AG$27=0,0,AG93/AG$27*1000)</f>
        <v>458.49882275217044</v>
      </c>
      <c r="AJ93" s="857">
        <f t="shared" si="98"/>
        <v>4.0500552141265939E-2</v>
      </c>
      <c r="AK93" s="463"/>
      <c r="AL93" s="162">
        <v>220000</v>
      </c>
      <c r="AM93" s="855">
        <f t="shared" ref="AM93:AM131" si="143">IF(AL$5=0,0,AL93/AL$5*1000)</f>
        <v>502.99740727700072</v>
      </c>
      <c r="AN93" s="855">
        <f t="shared" ref="AN93:AN131" si="144">IF(AL$27=0,0,AL93/AL$27*1000)</f>
        <v>405.28387003356852</v>
      </c>
      <c r="AO93" s="857">
        <f t="shared" si="99"/>
        <v>3.5282180892828766E-2</v>
      </c>
      <c r="AP93" s="854"/>
      <c r="AQ93" s="162">
        <v>220000</v>
      </c>
      <c r="AR93" s="855">
        <f t="shared" ref="AR93:AR131" si="145">IF(AQ$5=0,0,AQ93/AQ$5*1000)</f>
        <v>566.54013936887429</v>
      </c>
      <c r="AS93" s="855">
        <f t="shared" ref="AS93:AS131" si="146">IF(AQ$27=0,0,AQ93/AQ$27*1000)</f>
        <v>504.24598035732703</v>
      </c>
      <c r="AT93" s="857">
        <f t="shared" si="100"/>
        <v>4.9843950598536808E-2</v>
      </c>
      <c r="AU93" s="463"/>
      <c r="AV93" s="162"/>
      <c r="AW93" s="855">
        <f t="shared" ref="AW93:AW131" si="147">IF(AV$5=0,0,AV93/AV$5*1000)</f>
        <v>0</v>
      </c>
      <c r="AX93" s="855">
        <f t="shared" ref="AX93:AX131" si="148">IF(AV$27=0,0,AV93/AV$27*1000)</f>
        <v>0</v>
      </c>
      <c r="AY93" s="857">
        <f t="shared" si="101"/>
        <v>0</v>
      </c>
      <c r="AZ93" s="854"/>
      <c r="BA93" s="162"/>
      <c r="BB93" s="855">
        <f t="shared" ref="BB93:BB131" si="149">IF(BA$5=0,0,BA93/BA$5*1000)</f>
        <v>0</v>
      </c>
      <c r="BC93" s="855">
        <f t="shared" ref="BC93:BC131" si="150">IF(BA$27=0,0,BA93/BA$27*1000)</f>
        <v>0</v>
      </c>
      <c r="BD93" s="857">
        <f t="shared" si="102"/>
        <v>0</v>
      </c>
      <c r="BE93" s="463"/>
      <c r="BF93" s="162"/>
      <c r="BG93" s="855">
        <f t="shared" ref="BG93:BG131" si="151">IF(BF$5=0,0,BF93/BF$5*1000)</f>
        <v>0</v>
      </c>
      <c r="BH93" s="855">
        <f t="shared" ref="BH93:BH131" si="152">IF(BF$27=0,0,BF93/BF$27*1000)</f>
        <v>0</v>
      </c>
      <c r="BI93" s="857">
        <f t="shared" si="103"/>
        <v>0</v>
      </c>
      <c r="BJ93" s="860"/>
      <c r="BK93" s="162">
        <f t="shared" si="80"/>
        <v>1980000</v>
      </c>
      <c r="BL93" s="163">
        <f t="shared" si="128"/>
        <v>220000</v>
      </c>
      <c r="BM93" s="164">
        <f t="shared" si="82"/>
        <v>560.29098276407979</v>
      </c>
      <c r="BN93" s="164">
        <f t="shared" si="83"/>
        <v>499.57853674912519</v>
      </c>
      <c r="BO93" s="165">
        <f t="shared" si="84"/>
        <v>3.989286007611928E-2</v>
      </c>
      <c r="BP93" s="165">
        <f t="shared" si="85"/>
        <v>5.3743154903121634E-3</v>
      </c>
      <c r="BQ93" s="861"/>
      <c r="BR93" s="162">
        <f t="shared" si="86"/>
        <v>1540000</v>
      </c>
      <c r="BS93" s="163">
        <f t="shared" si="87"/>
        <v>220000</v>
      </c>
      <c r="BT93" s="164">
        <f t="shared" si="88"/>
        <v>496.51759965956171</v>
      </c>
      <c r="BU93" s="164">
        <f t="shared" si="89"/>
        <v>432.75210089553411</v>
      </c>
      <c r="BV93" s="165">
        <f t="shared" si="90"/>
        <v>3.1028074017620474E-2</v>
      </c>
      <c r="BW93" s="165">
        <f t="shared" si="91"/>
        <v>4.736861224730912E-3</v>
      </c>
    </row>
    <row r="94" spans="1:75" s="297" customFormat="1" ht="11.25" outlineLevel="2">
      <c r="A94" s="72" t="s">
        <v>47</v>
      </c>
      <c r="B94" s="854"/>
      <c r="C94" s="306">
        <v>70510.559999999998</v>
      </c>
      <c r="D94" s="855">
        <f t="shared" si="129"/>
        <v>368.74822190611661</v>
      </c>
      <c r="E94" s="855">
        <f t="shared" si="130"/>
        <v>432.00882415894739</v>
      </c>
      <c r="F94" s="856">
        <f t="shared" si="92"/>
        <v>4.7710870765533233</v>
      </c>
      <c r="G94" s="463"/>
      <c r="H94" s="306">
        <v>62323.83</v>
      </c>
      <c r="I94" s="855">
        <f t="shared" si="131"/>
        <v>258.54073674603836</v>
      </c>
      <c r="J94" s="855">
        <f t="shared" si="132"/>
        <v>258.06338478687275</v>
      </c>
      <c r="K94" s="857">
        <f t="shared" si="93"/>
        <v>-4.3557207254427768</v>
      </c>
      <c r="L94" s="854"/>
      <c r="M94" s="162">
        <v>65005.96</v>
      </c>
      <c r="N94" s="855">
        <f t="shared" si="133"/>
        <v>189.20344619070008</v>
      </c>
      <c r="O94" s="855">
        <f t="shared" si="134"/>
        <v>196.60628181138233</v>
      </c>
      <c r="P94" s="857">
        <f t="shared" si="94"/>
        <v>1.0138948220993123E-2</v>
      </c>
      <c r="Q94" s="463"/>
      <c r="R94" s="162">
        <v>68957.75</v>
      </c>
      <c r="S94" s="855">
        <f t="shared" si="135"/>
        <v>143.27483861316401</v>
      </c>
      <c r="T94" s="855">
        <f t="shared" si="136"/>
        <v>101.7879302676788</v>
      </c>
      <c r="U94" s="857">
        <f t="shared" si="95"/>
        <v>4.7047412297488902E-3</v>
      </c>
      <c r="V94" s="854"/>
      <c r="W94" s="162">
        <v>71792.66</v>
      </c>
      <c r="X94" s="855">
        <f t="shared" si="137"/>
        <v>143.0973580091887</v>
      </c>
      <c r="Y94" s="855">
        <f t="shared" si="138"/>
        <v>121.76300326080062</v>
      </c>
      <c r="Z94" s="857">
        <f t="shared" si="96"/>
        <v>1.2468487711875769E-2</v>
      </c>
      <c r="AA94" s="463"/>
      <c r="AB94" s="162">
        <v>65681.100000000006</v>
      </c>
      <c r="AC94" s="855">
        <f t="shared" si="139"/>
        <v>146.33032939367948</v>
      </c>
      <c r="AD94" s="855">
        <f t="shared" si="140"/>
        <v>130.85104348373514</v>
      </c>
      <c r="AE94" s="857">
        <f t="shared" si="97"/>
        <v>9.7671194434387643E-3</v>
      </c>
      <c r="AF94" s="854"/>
      <c r="AG94" s="162">
        <v>82828.81</v>
      </c>
      <c r="AH94" s="855">
        <f t="shared" si="141"/>
        <v>165.14896119950549</v>
      </c>
      <c r="AI94" s="855">
        <f t="shared" si="142"/>
        <v>172.6223267043782</v>
      </c>
      <c r="AJ94" s="857">
        <f t="shared" si="98"/>
        <v>1.5248238810018225E-2</v>
      </c>
      <c r="AK94" s="463"/>
      <c r="AL94" s="162">
        <v>67628.149999999994</v>
      </c>
      <c r="AM94" s="855">
        <f t="shared" si="143"/>
        <v>154.62174594972768</v>
      </c>
      <c r="AN94" s="855">
        <f t="shared" si="144"/>
        <v>124.58453797823034</v>
      </c>
      <c r="AO94" s="857">
        <f t="shared" si="99"/>
        <v>1.0845766462487989E-2</v>
      </c>
      <c r="AP94" s="854"/>
      <c r="AQ94" s="162">
        <v>58404.83</v>
      </c>
      <c r="AR94" s="855">
        <f t="shared" si="145"/>
        <v>150.40309330916097</v>
      </c>
      <c r="AS94" s="855">
        <f t="shared" si="146"/>
        <v>133.86545800433194</v>
      </c>
      <c r="AT94" s="857">
        <f t="shared" si="100"/>
        <v>1.3232397551072458E-2</v>
      </c>
      <c r="AU94" s="463"/>
      <c r="AV94" s="162"/>
      <c r="AW94" s="855">
        <f t="shared" si="147"/>
        <v>0</v>
      </c>
      <c r="AX94" s="855">
        <f t="shared" si="148"/>
        <v>0</v>
      </c>
      <c r="AY94" s="857">
        <f t="shared" si="101"/>
        <v>0</v>
      </c>
      <c r="AZ94" s="854"/>
      <c r="BA94" s="162"/>
      <c r="BB94" s="855">
        <f t="shared" si="149"/>
        <v>0</v>
      </c>
      <c r="BC94" s="855">
        <f t="shared" si="150"/>
        <v>0</v>
      </c>
      <c r="BD94" s="857">
        <f t="shared" si="102"/>
        <v>0</v>
      </c>
      <c r="BE94" s="463"/>
      <c r="BF94" s="162"/>
      <c r="BG94" s="855">
        <f t="shared" si="151"/>
        <v>0</v>
      </c>
      <c r="BH94" s="855">
        <f t="shared" si="152"/>
        <v>0</v>
      </c>
      <c r="BI94" s="857">
        <f t="shared" si="103"/>
        <v>0</v>
      </c>
      <c r="BJ94" s="860"/>
      <c r="BK94" s="162">
        <f t="shared" si="80"/>
        <v>613133.64999999991</v>
      </c>
      <c r="BL94" s="163">
        <f t="shared" si="128"/>
        <v>68125.961111111101</v>
      </c>
      <c r="BM94" s="164">
        <f t="shared" si="82"/>
        <v>173.50164410314508</v>
      </c>
      <c r="BN94" s="164">
        <f t="shared" si="83"/>
        <v>154.70121802962134</v>
      </c>
      <c r="BO94" s="165">
        <f t="shared" si="84"/>
        <v>1.2353361064348631E-2</v>
      </c>
      <c r="BP94" s="165">
        <f t="shared" si="85"/>
        <v>1.6642291276902203E-3</v>
      </c>
      <c r="BQ94" s="820"/>
      <c r="BR94" s="162">
        <f t="shared" si="86"/>
        <v>480299.25999999995</v>
      </c>
      <c r="BS94" s="163">
        <f t="shared" si="87"/>
        <v>68614.179999999993</v>
      </c>
      <c r="BT94" s="164">
        <f t="shared" si="88"/>
        <v>154.85521798276866</v>
      </c>
      <c r="BU94" s="164">
        <f t="shared" si="89"/>
        <v>134.96786611920152</v>
      </c>
      <c r="BV94" s="165">
        <f t="shared" si="90"/>
        <v>9.6771175259015192E-3</v>
      </c>
      <c r="BW94" s="165">
        <f t="shared" si="91"/>
        <v>1.47734476685776E-3</v>
      </c>
    </row>
    <row r="95" spans="1:75" s="297" customFormat="1" ht="11.25" outlineLevel="2">
      <c r="A95" s="72" t="s">
        <v>405</v>
      </c>
      <c r="B95" s="854"/>
      <c r="C95" s="306"/>
      <c r="D95" s="855">
        <f t="shared" si="129"/>
        <v>0</v>
      </c>
      <c r="E95" s="855">
        <f t="shared" si="130"/>
        <v>0</v>
      </c>
      <c r="F95" s="856">
        <f t="shared" si="92"/>
        <v>0</v>
      </c>
      <c r="G95" s="463"/>
      <c r="H95" s="306">
        <v>287179</v>
      </c>
      <c r="I95" s="855">
        <f t="shared" si="131"/>
        <v>1191.3175143117896</v>
      </c>
      <c r="J95" s="855">
        <f t="shared" si="132"/>
        <v>1189.1179470149591</v>
      </c>
      <c r="K95" s="857">
        <f t="shared" si="93"/>
        <v>-20.070517524547693</v>
      </c>
      <c r="L95" s="854"/>
      <c r="M95" s="162">
        <v>171416.6</v>
      </c>
      <c r="N95" s="855">
        <f t="shared" si="133"/>
        <v>498.91750624546978</v>
      </c>
      <c r="O95" s="855">
        <f t="shared" si="134"/>
        <v>518.43831499064095</v>
      </c>
      <c r="P95" s="857">
        <f t="shared" si="94"/>
        <v>2.6735764407120357E-2</v>
      </c>
      <c r="Q95" s="463"/>
      <c r="R95" s="162">
        <v>152123.6</v>
      </c>
      <c r="S95" s="855">
        <f t="shared" si="135"/>
        <v>316.07011886631329</v>
      </c>
      <c r="T95" s="855">
        <f t="shared" si="136"/>
        <v>224.54831239227303</v>
      </c>
      <c r="U95" s="857">
        <f t="shared" si="95"/>
        <v>1.0378850425627697E-2</v>
      </c>
      <c r="V95" s="854"/>
      <c r="W95" s="162"/>
      <c r="X95" s="855">
        <f t="shared" si="137"/>
        <v>0</v>
      </c>
      <c r="Y95" s="855">
        <f t="shared" si="138"/>
        <v>0</v>
      </c>
      <c r="Z95" s="857">
        <f t="shared" si="96"/>
        <v>0</v>
      </c>
      <c r="AA95" s="463"/>
      <c r="AB95" s="162">
        <v>148634</v>
      </c>
      <c r="AC95" s="855">
        <f t="shared" si="139"/>
        <v>331.1403459914672</v>
      </c>
      <c r="AD95" s="855">
        <f t="shared" si="140"/>
        <v>296.11127093123423</v>
      </c>
      <c r="AE95" s="857">
        <f t="shared" si="97"/>
        <v>2.2102644921538725E-2</v>
      </c>
      <c r="AF95" s="854"/>
      <c r="AG95" s="162">
        <v>143940.54999999999</v>
      </c>
      <c r="AH95" s="855">
        <f t="shared" si="141"/>
        <v>286.99714878175217</v>
      </c>
      <c r="AI95" s="855">
        <f t="shared" si="142"/>
        <v>299.9844214604542</v>
      </c>
      <c r="AJ95" s="857">
        <f t="shared" si="98"/>
        <v>2.6498507956897711E-2</v>
      </c>
      <c r="AK95" s="463"/>
      <c r="AL95" s="162">
        <v>141851.35999999999</v>
      </c>
      <c r="AM95" s="855">
        <f t="shared" si="143"/>
        <v>324.32211953962013</v>
      </c>
      <c r="AN95" s="855">
        <f t="shared" si="144"/>
        <v>261.31849159238607</v>
      </c>
      <c r="AO95" s="857">
        <f t="shared" si="99"/>
        <v>2.2749206106426247E-2</v>
      </c>
      <c r="AP95" s="854"/>
      <c r="AQ95" s="162">
        <v>0</v>
      </c>
      <c r="AR95" s="855">
        <f t="shared" si="145"/>
        <v>0</v>
      </c>
      <c r="AS95" s="855">
        <f t="shared" si="146"/>
        <v>0</v>
      </c>
      <c r="AT95" s="857">
        <f t="shared" si="100"/>
        <v>0</v>
      </c>
      <c r="AU95" s="463"/>
      <c r="AV95" s="162"/>
      <c r="AW95" s="855">
        <f t="shared" si="147"/>
        <v>0</v>
      </c>
      <c r="AX95" s="855">
        <f t="shared" si="148"/>
        <v>0</v>
      </c>
      <c r="AY95" s="857">
        <f t="shared" si="101"/>
        <v>0</v>
      </c>
      <c r="AZ95" s="854"/>
      <c r="BA95" s="162"/>
      <c r="BB95" s="855">
        <f t="shared" si="149"/>
        <v>0</v>
      </c>
      <c r="BC95" s="855">
        <f t="shared" si="150"/>
        <v>0</v>
      </c>
      <c r="BD95" s="857">
        <f t="shared" si="102"/>
        <v>0</v>
      </c>
      <c r="BE95" s="463"/>
      <c r="BF95" s="162"/>
      <c r="BG95" s="855">
        <f t="shared" si="151"/>
        <v>0</v>
      </c>
      <c r="BH95" s="855">
        <f t="shared" si="152"/>
        <v>0</v>
      </c>
      <c r="BI95" s="857">
        <f t="shared" si="103"/>
        <v>0</v>
      </c>
      <c r="BJ95" s="860"/>
      <c r="BK95" s="162">
        <f t="shared" si="80"/>
        <v>1045145.11</v>
      </c>
      <c r="BL95" s="163">
        <f t="shared" si="128"/>
        <v>116127.23444444445</v>
      </c>
      <c r="BM95" s="164">
        <f t="shared" si="82"/>
        <v>295.75019232978394</v>
      </c>
      <c r="BN95" s="164">
        <f t="shared" si="83"/>
        <v>263.70306300217351</v>
      </c>
      <c r="BO95" s="165">
        <f t="shared" si="84"/>
        <v>2.1057488703267825E-2</v>
      </c>
      <c r="BP95" s="165">
        <f t="shared" si="85"/>
        <v>2.8368381587358638E-3</v>
      </c>
      <c r="BQ95" s="820"/>
      <c r="BR95" s="162">
        <f t="shared" si="86"/>
        <v>757966.11</v>
      </c>
      <c r="BS95" s="163">
        <f t="shared" si="87"/>
        <v>108280.87285714285</v>
      </c>
      <c r="BT95" s="164">
        <f t="shared" si="88"/>
        <v>244.37890490941254</v>
      </c>
      <c r="BU95" s="164">
        <f t="shared" si="89"/>
        <v>212.99443279877627</v>
      </c>
      <c r="BV95" s="165">
        <f t="shared" si="90"/>
        <v>1.5271576989563546E-2</v>
      </c>
      <c r="BW95" s="165">
        <f t="shared" si="91"/>
        <v>2.3314157637137176E-3</v>
      </c>
    </row>
    <row r="96" spans="1:75" s="297" customFormat="1" ht="11.25" outlineLevel="2">
      <c r="A96" s="72" t="s">
        <v>406</v>
      </c>
      <c r="B96" s="854"/>
      <c r="C96" s="306">
        <v>74379.199999999997</v>
      </c>
      <c r="D96" s="855">
        <f t="shared" si="129"/>
        <v>388.98000167350011</v>
      </c>
      <c r="E96" s="855">
        <f t="shared" si="130"/>
        <v>455.71146696158957</v>
      </c>
      <c r="F96" s="856">
        <f t="shared" si="92"/>
        <v>5.0328580553661029</v>
      </c>
      <c r="G96" s="463"/>
      <c r="H96" s="306">
        <v>69379.199999999997</v>
      </c>
      <c r="I96" s="855">
        <f t="shared" si="131"/>
        <v>287.8088442711358</v>
      </c>
      <c r="J96" s="855">
        <f t="shared" si="132"/>
        <v>287.27745367711509</v>
      </c>
      <c r="K96" s="857">
        <f t="shared" si="93"/>
        <v>-4.8488101478140786</v>
      </c>
      <c r="L96" s="854"/>
      <c r="M96" s="162">
        <v>69921.899999999994</v>
      </c>
      <c r="N96" s="855">
        <f t="shared" si="133"/>
        <v>203.51156177374367</v>
      </c>
      <c r="O96" s="855">
        <f t="shared" si="134"/>
        <v>211.47422138196703</v>
      </c>
      <c r="P96" s="857">
        <f t="shared" si="94"/>
        <v>1.0905685011242953E-2</v>
      </c>
      <c r="Q96" s="463"/>
      <c r="R96" s="162">
        <v>69921.899999999994</v>
      </c>
      <c r="S96" s="855">
        <f t="shared" si="135"/>
        <v>145.27807154418164</v>
      </c>
      <c r="T96" s="855">
        <f t="shared" si="136"/>
        <v>103.21110363060875</v>
      </c>
      <c r="U96" s="857">
        <f t="shared" si="95"/>
        <v>4.7705217440009119E-3</v>
      </c>
      <c r="V96" s="854"/>
      <c r="W96" s="162">
        <v>69921.899999999994</v>
      </c>
      <c r="X96" s="855">
        <f t="shared" si="137"/>
        <v>139.36855323347382</v>
      </c>
      <c r="Y96" s="855">
        <f t="shared" si="138"/>
        <v>118.59012519805469</v>
      </c>
      <c r="Z96" s="857">
        <f t="shared" si="96"/>
        <v>1.2143586140157031E-2</v>
      </c>
      <c r="AA96" s="463"/>
      <c r="AB96" s="162">
        <v>69921.899999999994</v>
      </c>
      <c r="AC96" s="855">
        <f t="shared" si="139"/>
        <v>155.77836940660123</v>
      </c>
      <c r="AD96" s="855">
        <f t="shared" si="140"/>
        <v>139.29963988674641</v>
      </c>
      <c r="AE96" s="857">
        <f t="shared" si="97"/>
        <v>1.0397748347883651E-2</v>
      </c>
      <c r="AF96" s="854"/>
      <c r="AG96" s="162">
        <v>69921.899999999994</v>
      </c>
      <c r="AH96" s="855">
        <f t="shared" si="141"/>
        <v>139.41440363679865</v>
      </c>
      <c r="AI96" s="855">
        <f t="shared" si="142"/>
        <v>145.72322197543176</v>
      </c>
      <c r="AJ96" s="857">
        <f t="shared" si="98"/>
        <v>1.2872161621665375E-2</v>
      </c>
      <c r="AK96" s="463"/>
      <c r="AL96" s="162">
        <v>69921.899999999994</v>
      </c>
      <c r="AM96" s="855">
        <f t="shared" si="143"/>
        <v>159.86606550855322</v>
      </c>
      <c r="AN96" s="855">
        <f t="shared" si="144"/>
        <v>128.81008287318261</v>
      </c>
      <c r="AO96" s="857">
        <f t="shared" si="99"/>
        <v>1.1213623291683107E-2</v>
      </c>
      <c r="AP96" s="854"/>
      <c r="AQ96" s="162">
        <v>69921.899999999994</v>
      </c>
      <c r="AR96" s="855">
        <f t="shared" si="145"/>
        <v>180.06164986789312</v>
      </c>
      <c r="AS96" s="855">
        <f t="shared" si="146"/>
        <v>160.26289551794082</v>
      </c>
      <c r="AT96" s="857">
        <f t="shared" si="100"/>
        <v>1.5841744224344683E-2</v>
      </c>
      <c r="AU96" s="463"/>
      <c r="AV96" s="162"/>
      <c r="AW96" s="855">
        <f t="shared" si="147"/>
        <v>0</v>
      </c>
      <c r="AX96" s="855">
        <f t="shared" si="148"/>
        <v>0</v>
      </c>
      <c r="AY96" s="857">
        <f t="shared" si="101"/>
        <v>0</v>
      </c>
      <c r="AZ96" s="854"/>
      <c r="BA96" s="162"/>
      <c r="BB96" s="855">
        <f t="shared" si="149"/>
        <v>0</v>
      </c>
      <c r="BC96" s="855">
        <f t="shared" si="150"/>
        <v>0</v>
      </c>
      <c r="BD96" s="857">
        <f t="shared" si="102"/>
        <v>0</v>
      </c>
      <c r="BE96" s="463"/>
      <c r="BF96" s="162"/>
      <c r="BG96" s="855">
        <f t="shared" si="151"/>
        <v>0</v>
      </c>
      <c r="BH96" s="855">
        <f t="shared" si="152"/>
        <v>0</v>
      </c>
      <c r="BI96" s="857">
        <f t="shared" si="103"/>
        <v>0</v>
      </c>
      <c r="BJ96" s="860"/>
      <c r="BK96" s="162">
        <f t="shared" si="80"/>
        <v>633211.70000000007</v>
      </c>
      <c r="BL96" s="163">
        <f t="shared" si="128"/>
        <v>70356.855555555565</v>
      </c>
      <c r="BM96" s="164">
        <f t="shared" si="82"/>
        <v>179.18323519733013</v>
      </c>
      <c r="BN96" s="164">
        <f t="shared" si="83"/>
        <v>159.76715885779095</v>
      </c>
      <c r="BO96" s="165">
        <f t="shared" si="84"/>
        <v>1.2757891791243243E-2</v>
      </c>
      <c r="BP96" s="165">
        <f t="shared" si="85"/>
        <v>1.7187269939176258E-3</v>
      </c>
      <c r="BQ96" s="820"/>
      <c r="BR96" s="162">
        <f t="shared" si="86"/>
        <v>489453.30000000005</v>
      </c>
      <c r="BS96" s="163">
        <f t="shared" si="87"/>
        <v>69921.900000000009</v>
      </c>
      <c r="BT96" s="164">
        <f t="shared" si="88"/>
        <v>157.80660887107234</v>
      </c>
      <c r="BU96" s="164">
        <f t="shared" si="89"/>
        <v>137.54022328912478</v>
      </c>
      <c r="BV96" s="165">
        <f t="shared" si="90"/>
        <v>9.8615540393302593E-3</v>
      </c>
      <c r="BW96" s="165">
        <f t="shared" si="91"/>
        <v>1.5055015312250561E-3</v>
      </c>
    </row>
    <row r="97" spans="1:75" s="297" customFormat="1" ht="11.25" outlineLevel="2">
      <c r="A97" s="72" t="s">
        <v>407</v>
      </c>
      <c r="B97" s="854"/>
      <c r="C97" s="306">
        <v>1095.6500000000001</v>
      </c>
      <c r="D97" s="855">
        <f t="shared" si="129"/>
        <v>5.7299075391180656</v>
      </c>
      <c r="E97" s="855">
        <f t="shared" si="130"/>
        <v>6.7129018432097363</v>
      </c>
      <c r="F97" s="856">
        <f t="shared" si="92"/>
        <v>7.4137002392629547E-2</v>
      </c>
      <c r="G97" s="463"/>
      <c r="H97" s="306">
        <v>2800</v>
      </c>
      <c r="I97" s="855">
        <f t="shared" si="131"/>
        <v>11.615365469177798</v>
      </c>
      <c r="J97" s="855">
        <f t="shared" si="132"/>
        <v>11.593919651652403</v>
      </c>
      <c r="K97" s="857">
        <f t="shared" si="93"/>
        <v>-0.19568787783484703</v>
      </c>
      <c r="L97" s="854"/>
      <c r="M97" s="162">
        <v>2800</v>
      </c>
      <c r="N97" s="855">
        <f t="shared" si="133"/>
        <v>8.1495550459367134</v>
      </c>
      <c r="O97" s="855">
        <f t="shared" si="134"/>
        <v>8.468417189314188</v>
      </c>
      <c r="P97" s="857">
        <f t="shared" si="94"/>
        <v>4.3671464922263658E-4</v>
      </c>
      <c r="Q97" s="463"/>
      <c r="R97" s="162">
        <v>2800</v>
      </c>
      <c r="S97" s="855">
        <f t="shared" si="135"/>
        <v>5.8176136564325143</v>
      </c>
      <c r="T97" s="855">
        <f t="shared" si="136"/>
        <v>4.1330554542382929</v>
      </c>
      <c r="U97" s="857">
        <f t="shared" si="95"/>
        <v>1.9103400913308356E-4</v>
      </c>
      <c r="V97" s="854"/>
      <c r="W97" s="162">
        <v>2800</v>
      </c>
      <c r="X97" s="855">
        <f t="shared" si="137"/>
        <v>5.5809688960644204</v>
      </c>
      <c r="Y97" s="855">
        <f t="shared" si="138"/>
        <v>4.7489034273175239</v>
      </c>
      <c r="Z97" s="857">
        <f t="shared" si="96"/>
        <v>4.8628600184548318E-4</v>
      </c>
      <c r="AA97" s="463"/>
      <c r="AB97" s="162">
        <v>2800</v>
      </c>
      <c r="AC97" s="855">
        <f t="shared" si="139"/>
        <v>6.2380947076450077</v>
      </c>
      <c r="AD97" s="855">
        <f t="shared" si="140"/>
        <v>5.5782092832558892</v>
      </c>
      <c r="AE97" s="857">
        <f t="shared" si="97"/>
        <v>4.1637448888079734E-4</v>
      </c>
      <c r="AF97" s="854"/>
      <c r="AG97" s="162">
        <v>2800</v>
      </c>
      <c r="AH97" s="855">
        <f t="shared" si="141"/>
        <v>5.5828049607209795</v>
      </c>
      <c r="AI97" s="855">
        <f t="shared" si="142"/>
        <v>5.8354395623003512</v>
      </c>
      <c r="AJ97" s="857">
        <f t="shared" si="98"/>
        <v>5.1546157270702107E-4</v>
      </c>
      <c r="AK97" s="463"/>
      <c r="AL97" s="162">
        <v>2800</v>
      </c>
      <c r="AM97" s="855">
        <f t="shared" si="143"/>
        <v>6.4017851835254636</v>
      </c>
      <c r="AN97" s="855">
        <f t="shared" si="144"/>
        <v>5.1581583458817812</v>
      </c>
      <c r="AO97" s="857">
        <f t="shared" si="99"/>
        <v>4.4904593863600244E-4</v>
      </c>
      <c r="AP97" s="854"/>
      <c r="AQ97" s="162">
        <v>2800</v>
      </c>
      <c r="AR97" s="855">
        <f t="shared" si="145"/>
        <v>7.2105108646947631</v>
      </c>
      <c r="AS97" s="855">
        <f t="shared" si="146"/>
        <v>6.4176761136387075</v>
      </c>
      <c r="AT97" s="857">
        <f t="shared" si="100"/>
        <v>6.3437755307228663E-4</v>
      </c>
      <c r="AU97" s="463"/>
      <c r="AV97" s="162"/>
      <c r="AW97" s="855">
        <f t="shared" si="147"/>
        <v>0</v>
      </c>
      <c r="AX97" s="855">
        <f t="shared" si="148"/>
        <v>0</v>
      </c>
      <c r="AY97" s="857">
        <f t="shared" si="101"/>
        <v>0</v>
      </c>
      <c r="AZ97" s="854"/>
      <c r="BA97" s="162"/>
      <c r="BB97" s="855">
        <f t="shared" si="149"/>
        <v>0</v>
      </c>
      <c r="BC97" s="855">
        <f t="shared" si="150"/>
        <v>0</v>
      </c>
      <c r="BD97" s="857">
        <f t="shared" si="102"/>
        <v>0</v>
      </c>
      <c r="BE97" s="463"/>
      <c r="BF97" s="162"/>
      <c r="BG97" s="855">
        <f t="shared" si="151"/>
        <v>0</v>
      </c>
      <c r="BH97" s="855">
        <f t="shared" si="152"/>
        <v>0</v>
      </c>
      <c r="BI97" s="857">
        <f t="shared" si="103"/>
        <v>0</v>
      </c>
      <c r="BJ97" s="860"/>
      <c r="BK97" s="162">
        <f t="shared" si="80"/>
        <v>23495.65</v>
      </c>
      <c r="BL97" s="163">
        <f t="shared" si="128"/>
        <v>2610.6277777777777</v>
      </c>
      <c r="BM97" s="164">
        <f t="shared" si="82"/>
        <v>6.6486872874650764</v>
      </c>
      <c r="BN97" s="164">
        <f t="shared" si="83"/>
        <v>5.9282436600856485</v>
      </c>
      <c r="BO97" s="165">
        <f t="shared" si="84"/>
        <v>4.733882211350869E-4</v>
      </c>
      <c r="BP97" s="165">
        <f t="shared" si="85"/>
        <v>6.3774260479774241E-5</v>
      </c>
      <c r="BQ97" s="861"/>
      <c r="BR97" s="162">
        <f t="shared" si="86"/>
        <v>19600</v>
      </c>
      <c r="BS97" s="163">
        <f t="shared" si="87"/>
        <v>2800</v>
      </c>
      <c r="BT97" s="164">
        <f t="shared" si="88"/>
        <v>6.319314904758059</v>
      </c>
      <c r="BU97" s="164">
        <f t="shared" si="89"/>
        <v>5.507754011397707</v>
      </c>
      <c r="BV97" s="165">
        <f t="shared" si="90"/>
        <v>3.9490276022426059E-4</v>
      </c>
      <c r="BW97" s="165">
        <f t="shared" si="91"/>
        <v>6.0287324678393418E-5</v>
      </c>
    </row>
    <row r="98" spans="1:75" s="297" customFormat="1" ht="11.25" outlineLevel="1">
      <c r="A98" s="65" t="s">
        <v>37</v>
      </c>
      <c r="B98" s="805"/>
      <c r="C98" s="821">
        <f>SUM(C99:C101)</f>
        <v>269020.78999999998</v>
      </c>
      <c r="D98" s="825">
        <f t="shared" si="129"/>
        <v>1406.8947682202324</v>
      </c>
      <c r="E98" s="825">
        <f t="shared" si="130"/>
        <v>1648.254604164413</v>
      </c>
      <c r="F98" s="823">
        <f t="shared" si="92"/>
        <v>18.203253732393637</v>
      </c>
      <c r="G98" s="808"/>
      <c r="H98" s="821">
        <f>SUM(H99:H101)</f>
        <v>234786.84</v>
      </c>
      <c r="I98" s="825">
        <f t="shared" si="131"/>
        <v>973.97676926906161</v>
      </c>
      <c r="J98" s="825">
        <f t="shared" si="132"/>
        <v>972.17848508048871</v>
      </c>
      <c r="K98" s="824">
        <f t="shared" si="93"/>
        <v>-16.408906593982064</v>
      </c>
      <c r="L98" s="805"/>
      <c r="M98" s="825">
        <f>SUM(M99:M101)</f>
        <v>503503.44999999995</v>
      </c>
      <c r="N98" s="825">
        <f t="shared" si="133"/>
        <v>1465.4746719978725</v>
      </c>
      <c r="O98" s="825">
        <f t="shared" si="134"/>
        <v>1522.8133110210701</v>
      </c>
      <c r="P98" s="824">
        <f t="shared" si="94"/>
        <v>7.8531190196120468E-2</v>
      </c>
      <c r="Q98" s="808"/>
      <c r="R98" s="825">
        <f>SUM(R99:R101)</f>
        <v>679591.84000000008</v>
      </c>
      <c r="S98" s="825">
        <f t="shared" si="135"/>
        <v>1412.0009889943217</v>
      </c>
      <c r="T98" s="825">
        <f t="shared" si="136"/>
        <v>1003.1395574885136</v>
      </c>
      <c r="U98" s="824">
        <f t="shared" si="95"/>
        <v>4.6366126346188953E-2</v>
      </c>
      <c r="V98" s="805"/>
      <c r="W98" s="825">
        <f>SUM(W99:W101)</f>
        <v>214090.32</v>
      </c>
      <c r="X98" s="825">
        <f t="shared" si="137"/>
        <v>426.72550602445665</v>
      </c>
      <c r="Y98" s="825">
        <f t="shared" si="138"/>
        <v>363.10509085839482</v>
      </c>
      <c r="Z98" s="824">
        <f t="shared" si="96"/>
        <v>3.7181830623792891E-2</v>
      </c>
      <c r="AA98" s="808"/>
      <c r="AB98" s="825">
        <f>SUM(AB99:AB101)</f>
        <v>196614.56</v>
      </c>
      <c r="AC98" s="825">
        <f t="shared" si="139"/>
        <v>438.03580220783994</v>
      </c>
      <c r="AD98" s="825">
        <f t="shared" si="140"/>
        <v>391.69898707688282</v>
      </c>
      <c r="AE98" s="824">
        <f t="shared" si="97"/>
        <v>2.9237602473758166E-2</v>
      </c>
      <c r="AF98" s="805"/>
      <c r="AG98" s="825">
        <f>SUM(AG99:AG101)</f>
        <v>313271.03999999998</v>
      </c>
      <c r="AH98" s="825">
        <f t="shared" si="141"/>
        <v>624.61825577222157</v>
      </c>
      <c r="AI98" s="825">
        <f t="shared" si="142"/>
        <v>652.88365019249125</v>
      </c>
      <c r="AJ98" s="824">
        <f t="shared" si="98"/>
        <v>5.7671136772130031E-2</v>
      </c>
      <c r="AK98" s="808"/>
      <c r="AL98" s="825">
        <f>SUM(AL99:AL101)</f>
        <v>276927.06</v>
      </c>
      <c r="AM98" s="825">
        <f t="shared" si="143"/>
        <v>633.15269629473812</v>
      </c>
      <c r="AN98" s="825">
        <f t="shared" si="144"/>
        <v>510.15486633553741</v>
      </c>
      <c r="AO98" s="824">
        <f t="shared" si="99"/>
        <v>4.4411775568360207E-2</v>
      </c>
      <c r="AP98" s="805"/>
      <c r="AQ98" s="825">
        <f>SUM(AQ99:AQ101)</f>
        <v>275120.94</v>
      </c>
      <c r="AR98" s="825">
        <f t="shared" si="145"/>
        <v>708.48661677679866</v>
      </c>
      <c r="AS98" s="825">
        <f t="shared" si="146"/>
        <v>630.58467321422427</v>
      </c>
      <c r="AT98" s="824">
        <f t="shared" si="100"/>
        <v>6.2332338827195501E-2</v>
      </c>
      <c r="AU98" s="808"/>
      <c r="AV98" s="825">
        <f>SUM(AV99:AV101)</f>
        <v>0</v>
      </c>
      <c r="AW98" s="825">
        <f t="shared" si="147"/>
        <v>0</v>
      </c>
      <c r="AX98" s="825">
        <f t="shared" si="148"/>
        <v>0</v>
      </c>
      <c r="AY98" s="824">
        <f t="shared" si="101"/>
        <v>0</v>
      </c>
      <c r="AZ98" s="805"/>
      <c r="BA98" s="825">
        <f>SUM(BA99:BA101)</f>
        <v>0</v>
      </c>
      <c r="BB98" s="825">
        <f t="shared" si="149"/>
        <v>0</v>
      </c>
      <c r="BC98" s="825">
        <f t="shared" si="150"/>
        <v>0</v>
      </c>
      <c r="BD98" s="824">
        <f t="shared" si="102"/>
        <v>0</v>
      </c>
      <c r="BE98" s="808"/>
      <c r="BF98" s="825">
        <f>SUM(BF99:BF101)</f>
        <v>0</v>
      </c>
      <c r="BG98" s="825">
        <f t="shared" si="151"/>
        <v>0</v>
      </c>
      <c r="BH98" s="825">
        <f t="shared" si="152"/>
        <v>0</v>
      </c>
      <c r="BI98" s="824">
        <f t="shared" si="103"/>
        <v>0</v>
      </c>
      <c r="BJ98" s="811"/>
      <c r="BK98" s="825">
        <f t="shared" ref="BK98:BK129" si="153">SUM(C98,H98,M98,R98,W98,AB98,AG98,AL98,AQ98,AV98,BA98,BF98)</f>
        <v>2962926.84</v>
      </c>
      <c r="BL98" s="349">
        <f t="shared" si="128"/>
        <v>329214.09333333332</v>
      </c>
      <c r="BM98" s="852">
        <f t="shared" ref="BM98:BM129" si="154">BK98/$BL$5*1000</f>
        <v>838.43494497054007</v>
      </c>
      <c r="BN98" s="852">
        <f t="shared" ref="BN98:BN129" si="155">BK98/$BK$27*1000</f>
        <v>747.58315920298446</v>
      </c>
      <c r="BO98" s="853">
        <f t="shared" ref="BO98:BO129" si="156">BK98/$BK$151</f>
        <v>5.969678072924154E-2</v>
      </c>
      <c r="BP98" s="853">
        <f t="shared" ref="BP98:BP129" si="157">BK98/$BL$27</f>
        <v>8.0422745519563976E-3</v>
      </c>
      <c r="BQ98" s="814"/>
      <c r="BR98" s="825">
        <f t="shared" ref="BR98:BR129" si="158">SUM(M98,R98,W98,AB98,AG98,AL98,AQ98,AV98,BA98,BF98)</f>
        <v>2459119.21</v>
      </c>
      <c r="BS98" s="349">
        <f t="shared" ref="BS98:BS129" si="159">BR98/$BS$56</f>
        <v>351302.74428571429</v>
      </c>
      <c r="BT98" s="852">
        <f t="shared" ref="BT98:BT129" si="160">BR98/$BS$5*1000</f>
        <v>792.85452430254395</v>
      </c>
      <c r="BU98" s="852">
        <f t="shared" ref="BU98:BU129" si="161">BR98/$BR$27*1000</f>
        <v>691.03182109095201</v>
      </c>
      <c r="BV98" s="853">
        <f t="shared" ref="BV98:BV129" si="162">BR98/$BR$151</f>
        <v>4.9546579783137909E-2</v>
      </c>
      <c r="BW98" s="853">
        <f t="shared" ref="BW98:BW129" si="163">BR98/$BS$27</f>
        <v>7.5639652161298126E-3</v>
      </c>
    </row>
    <row r="99" spans="1:75" s="297" customFormat="1" ht="11.25" outlineLevel="1">
      <c r="A99" s="131" t="s">
        <v>408</v>
      </c>
      <c r="B99" s="805"/>
      <c r="C99" s="862">
        <v>269020.78999999998</v>
      </c>
      <c r="D99" s="855">
        <f t="shared" si="129"/>
        <v>1406.8947682202324</v>
      </c>
      <c r="E99" s="855">
        <f t="shared" si="130"/>
        <v>1648.254604164413</v>
      </c>
      <c r="F99" s="856">
        <f t="shared" si="92"/>
        <v>18.203253732393637</v>
      </c>
      <c r="G99" s="808"/>
      <c r="H99" s="862">
        <v>234786.84</v>
      </c>
      <c r="I99" s="855">
        <f t="shared" si="131"/>
        <v>973.97676926906161</v>
      </c>
      <c r="J99" s="855">
        <f t="shared" si="132"/>
        <v>972.17848508048871</v>
      </c>
      <c r="K99" s="857">
        <f t="shared" si="93"/>
        <v>-16.408906593982064</v>
      </c>
      <c r="L99" s="805"/>
      <c r="M99" s="863">
        <v>247506.18</v>
      </c>
      <c r="N99" s="855">
        <f t="shared" si="133"/>
        <v>720.38044218554307</v>
      </c>
      <c r="O99" s="855">
        <f t="shared" si="134"/>
        <v>748.56628184767555</v>
      </c>
      <c r="P99" s="857">
        <f t="shared" si="94"/>
        <v>3.860341949254812E-2</v>
      </c>
      <c r="Q99" s="808"/>
      <c r="R99" s="863">
        <v>267803.32</v>
      </c>
      <c r="S99" s="855">
        <f t="shared" si="135"/>
        <v>556.42008988213104</v>
      </c>
      <c r="T99" s="855">
        <f t="shared" si="136"/>
        <v>395.3021329961154</v>
      </c>
      <c r="U99" s="857">
        <f t="shared" si="95"/>
        <v>1.8271264956696464E-2</v>
      </c>
      <c r="V99" s="805"/>
      <c r="W99" s="863">
        <v>179079.65</v>
      </c>
      <c r="X99" s="855">
        <f t="shared" si="137"/>
        <v>356.94212734575098</v>
      </c>
      <c r="Y99" s="855">
        <f t="shared" si="138"/>
        <v>303.72570130279382</v>
      </c>
      <c r="Z99" s="857">
        <f t="shared" si="96"/>
        <v>3.1101402503710174E-2</v>
      </c>
      <c r="AA99" s="808"/>
      <c r="AB99" s="863">
        <v>150415.71</v>
      </c>
      <c r="AC99" s="855">
        <f t="shared" si="139"/>
        <v>335.10980160630936</v>
      </c>
      <c r="AD99" s="855">
        <f t="shared" si="140"/>
        <v>299.66082495340203</v>
      </c>
      <c r="AE99" s="857">
        <f t="shared" si="97"/>
        <v>2.2367594418175797E-2</v>
      </c>
      <c r="AF99" s="805"/>
      <c r="AG99" s="863">
        <v>135029.76999999999</v>
      </c>
      <c r="AH99" s="855">
        <f t="shared" si="141"/>
        <v>269.23031064321884</v>
      </c>
      <c r="AI99" s="855">
        <f t="shared" si="142"/>
        <v>281.41359355225609</v>
      </c>
      <c r="AJ99" s="857">
        <f t="shared" si="98"/>
        <v>2.4858092002309758E-2</v>
      </c>
      <c r="AK99" s="808"/>
      <c r="AL99" s="863">
        <v>140934.66</v>
      </c>
      <c r="AM99" s="855">
        <f t="shared" si="143"/>
        <v>322.22622079757099</v>
      </c>
      <c r="AN99" s="855">
        <f t="shared" si="144"/>
        <v>259.62974739393258</v>
      </c>
      <c r="AO99" s="857">
        <f t="shared" si="99"/>
        <v>2.2602191673587811E-2</v>
      </c>
      <c r="AP99" s="805"/>
      <c r="AQ99" s="863">
        <v>139128.54</v>
      </c>
      <c r="AR99" s="855">
        <f t="shared" si="145"/>
        <v>358.28137473539999</v>
      </c>
      <c r="AS99" s="855">
        <f t="shared" si="146"/>
        <v>318.88639567265272</v>
      </c>
      <c r="AT99" s="857">
        <f t="shared" si="100"/>
        <v>3.1521436702757061E-2</v>
      </c>
      <c r="AU99" s="808"/>
      <c r="AV99" s="863"/>
      <c r="AW99" s="855">
        <f t="shared" si="147"/>
        <v>0</v>
      </c>
      <c r="AX99" s="855">
        <f t="shared" si="148"/>
        <v>0</v>
      </c>
      <c r="AY99" s="857">
        <f t="shared" si="101"/>
        <v>0</v>
      </c>
      <c r="AZ99" s="805"/>
      <c r="BA99" s="863"/>
      <c r="BB99" s="855">
        <f t="shared" si="149"/>
        <v>0</v>
      </c>
      <c r="BC99" s="855">
        <f t="shared" si="150"/>
        <v>0</v>
      </c>
      <c r="BD99" s="857">
        <f t="shared" si="102"/>
        <v>0</v>
      </c>
      <c r="BE99" s="808"/>
      <c r="BF99" s="863"/>
      <c r="BG99" s="855">
        <f t="shared" si="151"/>
        <v>0</v>
      </c>
      <c r="BH99" s="855">
        <f t="shared" si="152"/>
        <v>0</v>
      </c>
      <c r="BI99" s="857">
        <f t="shared" si="103"/>
        <v>0</v>
      </c>
      <c r="BJ99" s="811"/>
      <c r="BK99" s="162">
        <f t="shared" si="153"/>
        <v>1763705.46</v>
      </c>
      <c r="BL99" s="163">
        <f t="shared" si="128"/>
        <v>195967.27333333332</v>
      </c>
      <c r="BM99" s="164">
        <f t="shared" si="154"/>
        <v>499.08498257059256</v>
      </c>
      <c r="BN99" s="164">
        <f t="shared" si="155"/>
        <v>445.0047439208297</v>
      </c>
      <c r="BO99" s="165">
        <f t="shared" si="156"/>
        <v>3.5534977339024033E-2</v>
      </c>
      <c r="BP99" s="165">
        <f t="shared" si="157"/>
        <v>4.7872270575889594E-3</v>
      </c>
      <c r="BQ99" s="820"/>
      <c r="BR99" s="162">
        <f t="shared" si="158"/>
        <v>1259897.83</v>
      </c>
      <c r="BS99" s="163">
        <f t="shared" si="159"/>
        <v>179985.40428571429</v>
      </c>
      <c r="BT99" s="164">
        <f t="shared" si="160"/>
        <v>406.20873140772119</v>
      </c>
      <c r="BU99" s="164">
        <f t="shared" si="161"/>
        <v>354.04119015988607</v>
      </c>
      <c r="BV99" s="165">
        <f t="shared" si="162"/>
        <v>2.5384547483038585E-2</v>
      </c>
      <c r="BW99" s="165">
        <f t="shared" si="163"/>
        <v>3.8752994662659859E-3</v>
      </c>
    </row>
    <row r="100" spans="1:75" s="297" customFormat="1" ht="11.25" outlineLevel="1">
      <c r="A100" s="131" t="s">
        <v>409</v>
      </c>
      <c r="B100" s="805"/>
      <c r="C100" s="862"/>
      <c r="D100" s="855">
        <f t="shared" si="129"/>
        <v>0</v>
      </c>
      <c r="E100" s="855">
        <f t="shared" si="130"/>
        <v>0</v>
      </c>
      <c r="F100" s="856">
        <f t="shared" si="92"/>
        <v>0</v>
      </c>
      <c r="G100" s="808"/>
      <c r="H100" s="862"/>
      <c r="I100" s="855">
        <f t="shared" si="131"/>
        <v>0</v>
      </c>
      <c r="J100" s="855">
        <f t="shared" si="132"/>
        <v>0</v>
      </c>
      <c r="K100" s="857">
        <f t="shared" si="93"/>
        <v>0</v>
      </c>
      <c r="L100" s="805"/>
      <c r="M100" s="863">
        <v>174819.03</v>
      </c>
      <c r="N100" s="855">
        <f t="shared" si="133"/>
        <v>508.82046716509342</v>
      </c>
      <c r="O100" s="855">
        <f t="shared" si="134"/>
        <v>528.72874238258316</v>
      </c>
      <c r="P100" s="857">
        <f t="shared" si="94"/>
        <v>2.726643977281842E-2</v>
      </c>
      <c r="Q100" s="808"/>
      <c r="R100" s="863">
        <v>43766.720000000001</v>
      </c>
      <c r="S100" s="855">
        <f t="shared" si="135"/>
        <v>90.934952846163597</v>
      </c>
      <c r="T100" s="855">
        <f t="shared" si="136"/>
        <v>64.60367171790007</v>
      </c>
      <c r="U100" s="857">
        <f t="shared" si="95"/>
        <v>2.9860471386446825E-3</v>
      </c>
      <c r="V100" s="805"/>
      <c r="W100" s="863">
        <v>18957.47</v>
      </c>
      <c r="X100" s="855">
        <f t="shared" si="137"/>
        <v>37.786089435026561</v>
      </c>
      <c r="Y100" s="855">
        <f t="shared" si="138"/>
        <v>32.152569377238983</v>
      </c>
      <c r="Z100" s="857">
        <f t="shared" si="96"/>
        <v>3.2924115326448903E-3</v>
      </c>
      <c r="AA100" s="808"/>
      <c r="AB100" s="863">
        <v>30056.65</v>
      </c>
      <c r="AC100" s="855">
        <f t="shared" si="139"/>
        <v>66.962939033763689</v>
      </c>
      <c r="AD100" s="855">
        <f t="shared" si="140"/>
        <v>59.879387161990401</v>
      </c>
      <c r="AE100" s="857">
        <f t="shared" si="97"/>
        <v>4.4695793861496491E-3</v>
      </c>
      <c r="AF100" s="805"/>
      <c r="AG100" s="863">
        <v>2411.87</v>
      </c>
      <c r="AH100" s="855">
        <f t="shared" si="141"/>
        <v>4.8089285002193236</v>
      </c>
      <c r="AI100" s="855">
        <f t="shared" si="142"/>
        <v>5.0265434346876239</v>
      </c>
      <c r="AJ100" s="857">
        <f t="shared" si="98"/>
        <v>4.4400939405888674E-4</v>
      </c>
      <c r="AK100" s="808"/>
      <c r="AL100" s="863">
        <v>19872</v>
      </c>
      <c r="AM100" s="855">
        <f t="shared" si="143"/>
        <v>45.434383988220716</v>
      </c>
      <c r="AN100" s="855">
        <f t="shared" si="144"/>
        <v>36.608186660486702</v>
      </c>
      <c r="AO100" s="857">
        <f t="shared" si="99"/>
        <v>3.1869431759195144E-3</v>
      </c>
      <c r="AP100" s="805"/>
      <c r="AQ100" s="863">
        <v>19872</v>
      </c>
      <c r="AR100" s="855">
        <f t="shared" si="145"/>
        <v>51.174025679719414</v>
      </c>
      <c r="AS100" s="855">
        <f t="shared" si="146"/>
        <v>45.547164189367287</v>
      </c>
      <c r="AT100" s="857">
        <f t="shared" si="100"/>
        <v>4.5022681195187432E-3</v>
      </c>
      <c r="AU100" s="808"/>
      <c r="AV100" s="863"/>
      <c r="AW100" s="855">
        <f t="shared" si="147"/>
        <v>0</v>
      </c>
      <c r="AX100" s="855">
        <f t="shared" si="148"/>
        <v>0</v>
      </c>
      <c r="AY100" s="857">
        <f t="shared" si="101"/>
        <v>0</v>
      </c>
      <c r="AZ100" s="805"/>
      <c r="BA100" s="863"/>
      <c r="BB100" s="855">
        <f t="shared" si="149"/>
        <v>0</v>
      </c>
      <c r="BC100" s="855">
        <f t="shared" si="150"/>
        <v>0</v>
      </c>
      <c r="BD100" s="857">
        <f t="shared" si="102"/>
        <v>0</v>
      </c>
      <c r="BE100" s="808"/>
      <c r="BF100" s="863"/>
      <c r="BG100" s="855">
        <f t="shared" si="151"/>
        <v>0</v>
      </c>
      <c r="BH100" s="855">
        <f t="shared" si="152"/>
        <v>0</v>
      </c>
      <c r="BI100" s="857">
        <f t="shared" si="103"/>
        <v>0</v>
      </c>
      <c r="BJ100" s="811"/>
      <c r="BK100" s="162">
        <f t="shared" si="153"/>
        <v>309755.74</v>
      </c>
      <c r="BL100" s="163">
        <f t="shared" si="128"/>
        <v>34417.304444444446</v>
      </c>
      <c r="BM100" s="164">
        <f t="shared" si="154"/>
        <v>87.653206051219584</v>
      </c>
      <c r="BN100" s="164">
        <f t="shared" si="155"/>
        <v>78.155211787294178</v>
      </c>
      <c r="BO100" s="165">
        <f t="shared" si="156"/>
        <v>6.240930501815547E-3</v>
      </c>
      <c r="BP100" s="165">
        <f t="shared" si="157"/>
        <v>8.4077023822985199E-4</v>
      </c>
      <c r="BQ100" s="820"/>
      <c r="BR100" s="162">
        <f t="shared" si="158"/>
        <v>309755.74</v>
      </c>
      <c r="BS100" s="163">
        <f t="shared" si="159"/>
        <v>44250.82</v>
      </c>
      <c r="BT100" s="164">
        <f t="shared" si="160"/>
        <v>99.869595133487849</v>
      </c>
      <c r="BU100" s="164">
        <f t="shared" si="161"/>
        <v>87.043796915227801</v>
      </c>
      <c r="BV100" s="165">
        <f t="shared" si="162"/>
        <v>6.2409896286381838E-3</v>
      </c>
      <c r="BW100" s="165">
        <f t="shared" si="163"/>
        <v>9.5277269736612324E-4</v>
      </c>
    </row>
    <row r="101" spans="1:75" s="297" customFormat="1" ht="11.25" outlineLevel="1">
      <c r="A101" s="131" t="s">
        <v>410</v>
      </c>
      <c r="B101" s="805"/>
      <c r="C101" s="862"/>
      <c r="D101" s="855">
        <f t="shared" si="129"/>
        <v>0</v>
      </c>
      <c r="E101" s="855">
        <f t="shared" si="130"/>
        <v>0</v>
      </c>
      <c r="F101" s="856">
        <f t="shared" si="92"/>
        <v>0</v>
      </c>
      <c r="G101" s="808"/>
      <c r="H101" s="862"/>
      <c r="I101" s="855">
        <f t="shared" si="131"/>
        <v>0</v>
      </c>
      <c r="J101" s="855">
        <f t="shared" si="132"/>
        <v>0</v>
      </c>
      <c r="K101" s="857">
        <f t="shared" si="93"/>
        <v>0</v>
      </c>
      <c r="L101" s="805"/>
      <c r="M101" s="863">
        <v>81178.240000000005</v>
      </c>
      <c r="N101" s="855">
        <f t="shared" si="133"/>
        <v>236.27376264723628</v>
      </c>
      <c r="O101" s="855">
        <f t="shared" si="134"/>
        <v>245.51828679081166</v>
      </c>
      <c r="P101" s="857">
        <f t="shared" si="94"/>
        <v>1.2661330930753931E-2</v>
      </c>
      <c r="Q101" s="808"/>
      <c r="R101" s="863">
        <v>368021.8</v>
      </c>
      <c r="S101" s="855">
        <f t="shared" si="135"/>
        <v>764.64594626602695</v>
      </c>
      <c r="T101" s="855">
        <f t="shared" si="136"/>
        <v>543.23375277449793</v>
      </c>
      <c r="U101" s="857">
        <f t="shared" si="95"/>
        <v>2.5108814250847801E-2</v>
      </c>
      <c r="V101" s="805"/>
      <c r="W101" s="863">
        <v>16053.2</v>
      </c>
      <c r="X101" s="855">
        <f t="shared" si="137"/>
        <v>31.997289243679056</v>
      </c>
      <c r="Y101" s="855">
        <f t="shared" si="138"/>
        <v>27.226820178362029</v>
      </c>
      <c r="Z101" s="857">
        <f t="shared" si="96"/>
        <v>2.7880165874378253E-3</v>
      </c>
      <c r="AA101" s="808"/>
      <c r="AB101" s="863">
        <v>16142.2</v>
      </c>
      <c r="AC101" s="855">
        <f t="shared" si="139"/>
        <v>35.963061567766871</v>
      </c>
      <c r="AD101" s="855">
        <f t="shared" si="140"/>
        <v>32.158774961490437</v>
      </c>
      <c r="AE101" s="857">
        <f t="shared" si="97"/>
        <v>2.4004286694327167E-3</v>
      </c>
      <c r="AF101" s="805"/>
      <c r="AG101" s="863">
        <v>175829.4</v>
      </c>
      <c r="AH101" s="855">
        <f t="shared" si="141"/>
        <v>350.57901662878334</v>
      </c>
      <c r="AI101" s="855">
        <f t="shared" si="142"/>
        <v>366.44351320554762</v>
      </c>
      <c r="AJ101" s="857">
        <f t="shared" si="98"/>
        <v>3.2369035375761385E-2</v>
      </c>
      <c r="AK101" s="808"/>
      <c r="AL101" s="863">
        <v>116120.4</v>
      </c>
      <c r="AM101" s="855">
        <f t="shared" si="143"/>
        <v>265.49209150894649</v>
      </c>
      <c r="AN101" s="855">
        <f t="shared" si="144"/>
        <v>213.91693228111814</v>
      </c>
      <c r="AO101" s="857">
        <f t="shared" si="99"/>
        <v>1.8622640718852879E-2</v>
      </c>
      <c r="AP101" s="805"/>
      <c r="AQ101" s="863">
        <v>116120.4</v>
      </c>
      <c r="AR101" s="855">
        <f t="shared" si="145"/>
        <v>299.03121636167924</v>
      </c>
      <c r="AS101" s="855">
        <f t="shared" si="146"/>
        <v>266.15111335220439</v>
      </c>
      <c r="AT101" s="857">
        <f t="shared" si="100"/>
        <v>2.6308634004919697E-2</v>
      </c>
      <c r="AU101" s="808"/>
      <c r="AV101" s="863"/>
      <c r="AW101" s="855">
        <f t="shared" si="147"/>
        <v>0</v>
      </c>
      <c r="AX101" s="855">
        <f t="shared" si="148"/>
        <v>0</v>
      </c>
      <c r="AY101" s="857">
        <f t="shared" si="101"/>
        <v>0</v>
      </c>
      <c r="AZ101" s="805"/>
      <c r="BA101" s="863"/>
      <c r="BB101" s="855">
        <f t="shared" si="149"/>
        <v>0</v>
      </c>
      <c r="BC101" s="855">
        <f t="shared" si="150"/>
        <v>0</v>
      </c>
      <c r="BD101" s="857">
        <f t="shared" si="102"/>
        <v>0</v>
      </c>
      <c r="BE101" s="808"/>
      <c r="BF101" s="863"/>
      <c r="BG101" s="855">
        <f t="shared" si="151"/>
        <v>0</v>
      </c>
      <c r="BH101" s="855">
        <f t="shared" si="152"/>
        <v>0</v>
      </c>
      <c r="BI101" s="857">
        <f t="shared" si="103"/>
        <v>0</v>
      </c>
      <c r="BJ101" s="811"/>
      <c r="BK101" s="162">
        <f t="shared" si="153"/>
        <v>889465.64</v>
      </c>
      <c r="BL101" s="163">
        <f t="shared" si="128"/>
        <v>98829.515555555554</v>
      </c>
      <c r="BM101" s="164">
        <f t="shared" si="154"/>
        <v>251.69675634872786</v>
      </c>
      <c r="BN101" s="164">
        <f t="shared" si="155"/>
        <v>224.4232034948607</v>
      </c>
      <c r="BO101" s="165">
        <f t="shared" si="156"/>
        <v>1.7920872888401961E-2</v>
      </c>
      <c r="BP101" s="165">
        <f t="shared" si="157"/>
        <v>2.4142772561375871E-3</v>
      </c>
      <c r="BQ101" s="820"/>
      <c r="BR101" s="162">
        <f t="shared" si="158"/>
        <v>889465.64</v>
      </c>
      <c r="BS101" s="163">
        <f t="shared" si="159"/>
        <v>127066.52</v>
      </c>
      <c r="BT101" s="164">
        <f t="shared" si="160"/>
        <v>286.77619776133503</v>
      </c>
      <c r="BU101" s="164">
        <f t="shared" si="161"/>
        <v>249.94683401583819</v>
      </c>
      <c r="BV101" s="165">
        <f t="shared" si="162"/>
        <v>1.7921042671461145E-2</v>
      </c>
      <c r="BW101" s="165">
        <f t="shared" si="163"/>
        <v>2.7358930524977042E-3</v>
      </c>
    </row>
    <row r="102" spans="1:75" s="297" customFormat="1" ht="11.25" outlineLevel="1">
      <c r="A102" s="65" t="s">
        <v>411</v>
      </c>
      <c r="B102" s="805"/>
      <c r="C102" s="821">
        <f>SUM(C103:C104)</f>
        <v>47125</v>
      </c>
      <c r="D102" s="825">
        <f t="shared" si="129"/>
        <v>246.44904192117815</v>
      </c>
      <c r="E102" s="825">
        <f t="shared" si="130"/>
        <v>288.72860800552985</v>
      </c>
      <c r="F102" s="823">
        <f t="shared" si="92"/>
        <v>3.1887064644299432</v>
      </c>
      <c r="G102" s="808"/>
      <c r="H102" s="821">
        <f>SUM(H103:H104)</f>
        <v>4899</v>
      </c>
      <c r="I102" s="825">
        <f t="shared" si="131"/>
        <v>20.322741226250724</v>
      </c>
      <c r="J102" s="825">
        <f t="shared" si="132"/>
        <v>20.285218704801828</v>
      </c>
      <c r="K102" s="824">
        <f t="shared" si="93"/>
        <v>-0.34238389768318417</v>
      </c>
      <c r="L102" s="805"/>
      <c r="M102" s="825">
        <f>SUM(M103:M104)</f>
        <v>6210</v>
      </c>
      <c r="N102" s="825">
        <f t="shared" si="133"/>
        <v>18.074548869738212</v>
      </c>
      <c r="O102" s="825">
        <f t="shared" si="134"/>
        <v>18.781739552014681</v>
      </c>
      <c r="P102" s="824">
        <f t="shared" si="94"/>
        <v>9.6857070416877611E-4</v>
      </c>
      <c r="Q102" s="808"/>
      <c r="R102" s="825">
        <f>SUM(R103:R104)</f>
        <v>7480</v>
      </c>
      <c r="S102" s="825">
        <f t="shared" si="135"/>
        <v>15.541339339326861</v>
      </c>
      <c r="T102" s="825">
        <f t="shared" si="136"/>
        <v>11.041162427750869</v>
      </c>
      <c r="U102" s="824">
        <f t="shared" si="95"/>
        <v>5.1033371011266601E-4</v>
      </c>
      <c r="V102" s="805"/>
      <c r="W102" s="825">
        <f>SUM(W103:W104)</f>
        <v>26664</v>
      </c>
      <c r="X102" s="825">
        <f t="shared" si="137"/>
        <v>53.146769515950602</v>
      </c>
      <c r="Y102" s="825">
        <f t="shared" si="138"/>
        <v>45.223128923569455</v>
      </c>
      <c r="Z102" s="824">
        <f t="shared" si="96"/>
        <v>4.6308321261457012E-3</v>
      </c>
      <c r="AA102" s="808"/>
      <c r="AB102" s="825">
        <f>SUM(AB103:AB104)</f>
        <v>20636</v>
      </c>
      <c r="AC102" s="825">
        <f t="shared" si="139"/>
        <v>45.974757995343708</v>
      </c>
      <c r="AD102" s="825">
        <f t="shared" si="140"/>
        <v>41.111402417595897</v>
      </c>
      <c r="AE102" s="824">
        <f t="shared" si="97"/>
        <v>3.0686799830514765E-3</v>
      </c>
      <c r="AF102" s="805"/>
      <c r="AG102" s="825">
        <f>SUM(AG103:AG104)</f>
        <v>12510</v>
      </c>
      <c r="AH102" s="825">
        <f t="shared" si="141"/>
        <v>24.94317502093552</v>
      </c>
      <c r="AI102" s="825">
        <f t="shared" si="142"/>
        <v>26.071910330134784</v>
      </c>
      <c r="AJ102" s="824">
        <f t="shared" si="98"/>
        <v>2.3030086694874404E-3</v>
      </c>
      <c r="AK102" s="808"/>
      <c r="AL102" s="825">
        <f>SUM(AL103:AL104)</f>
        <v>17532</v>
      </c>
      <c r="AM102" s="825">
        <f t="shared" si="143"/>
        <v>40.084320656274436</v>
      </c>
      <c r="AN102" s="825">
        <f t="shared" si="144"/>
        <v>32.29744004285692</v>
      </c>
      <c r="AO102" s="824">
        <f t="shared" si="99"/>
        <v>2.8116690700594267E-3</v>
      </c>
      <c r="AP102" s="805"/>
      <c r="AQ102" s="825">
        <f>SUM(AQ103:AQ104)</f>
        <v>160110</v>
      </c>
      <c r="AR102" s="825">
        <f t="shared" si="145"/>
        <v>412.31246233795667</v>
      </c>
      <c r="AS102" s="825">
        <f t="shared" si="146"/>
        <v>366.976472340962</v>
      </c>
      <c r="AT102" s="824">
        <f t="shared" si="100"/>
        <v>3.6275067865144221E-2</v>
      </c>
      <c r="AU102" s="808"/>
      <c r="AV102" s="825">
        <f>SUM(AV103:AV104)</f>
        <v>0</v>
      </c>
      <c r="AW102" s="825">
        <f t="shared" si="147"/>
        <v>0</v>
      </c>
      <c r="AX102" s="825">
        <f t="shared" si="148"/>
        <v>0</v>
      </c>
      <c r="AY102" s="824">
        <f t="shared" si="101"/>
        <v>0</v>
      </c>
      <c r="AZ102" s="805"/>
      <c r="BA102" s="825">
        <f>SUM(BA103:BA104)</f>
        <v>0</v>
      </c>
      <c r="BB102" s="825">
        <f t="shared" si="149"/>
        <v>0</v>
      </c>
      <c r="BC102" s="825">
        <f t="shared" si="150"/>
        <v>0</v>
      </c>
      <c r="BD102" s="824">
        <f t="shared" si="102"/>
        <v>0</v>
      </c>
      <c r="BE102" s="808"/>
      <c r="BF102" s="825">
        <f>SUM(BF103:BF104)</f>
        <v>0</v>
      </c>
      <c r="BG102" s="825">
        <f t="shared" si="151"/>
        <v>0</v>
      </c>
      <c r="BH102" s="825">
        <f t="shared" si="152"/>
        <v>0</v>
      </c>
      <c r="BI102" s="824">
        <f t="shared" si="103"/>
        <v>0</v>
      </c>
      <c r="BJ102" s="811"/>
      <c r="BK102" s="825">
        <f t="shared" si="153"/>
        <v>303166</v>
      </c>
      <c r="BL102" s="349">
        <f t="shared" si="128"/>
        <v>33685.111111111109</v>
      </c>
      <c r="BM102" s="852">
        <f t="shared" si="154"/>
        <v>85.78847276800758</v>
      </c>
      <c r="BN102" s="852">
        <f t="shared" si="155"/>
        <v>76.492538723275402</v>
      </c>
      <c r="BO102" s="853">
        <f t="shared" si="156"/>
        <v>6.1081610191094839E-3</v>
      </c>
      <c r="BP102" s="853">
        <f t="shared" si="157"/>
        <v>8.2288370198786741E-4</v>
      </c>
      <c r="BQ102" s="814"/>
      <c r="BR102" s="825">
        <f t="shared" si="158"/>
        <v>251142</v>
      </c>
      <c r="BS102" s="349">
        <f t="shared" si="159"/>
        <v>35877.428571428572</v>
      </c>
      <c r="BT102" s="852">
        <f t="shared" si="160"/>
        <v>80.971703255650425</v>
      </c>
      <c r="BU102" s="852">
        <f t="shared" si="161"/>
        <v>70.572875404614436</v>
      </c>
      <c r="BV102" s="853">
        <f t="shared" si="162"/>
        <v>5.0600341330735328E-3</v>
      </c>
      <c r="BW102" s="853">
        <f t="shared" si="163"/>
        <v>7.7248363746842247E-4</v>
      </c>
    </row>
    <row r="103" spans="1:75" s="297" customFormat="1" ht="11.25" outlineLevel="1">
      <c r="A103" s="131" t="s">
        <v>412</v>
      </c>
      <c r="B103" s="805"/>
      <c r="C103" s="862">
        <v>47125</v>
      </c>
      <c r="D103" s="855">
        <f t="shared" si="129"/>
        <v>246.44904192117815</v>
      </c>
      <c r="E103" s="855">
        <f t="shared" si="130"/>
        <v>288.72860800552985</v>
      </c>
      <c r="F103" s="856">
        <f t="shared" si="92"/>
        <v>3.1887064644299432</v>
      </c>
      <c r="G103" s="808"/>
      <c r="H103" s="862">
        <v>4899</v>
      </c>
      <c r="I103" s="855">
        <f t="shared" si="131"/>
        <v>20.322741226250724</v>
      </c>
      <c r="J103" s="855">
        <f t="shared" si="132"/>
        <v>20.285218704801828</v>
      </c>
      <c r="K103" s="857">
        <f t="shared" si="93"/>
        <v>-0.34238389768318417</v>
      </c>
      <c r="L103" s="805"/>
      <c r="M103" s="863">
        <v>6210</v>
      </c>
      <c r="N103" s="855">
        <f t="shared" si="133"/>
        <v>18.074548869738212</v>
      </c>
      <c r="O103" s="855">
        <f t="shared" si="134"/>
        <v>18.781739552014681</v>
      </c>
      <c r="P103" s="857">
        <f t="shared" si="94"/>
        <v>9.6857070416877611E-4</v>
      </c>
      <c r="Q103" s="808"/>
      <c r="R103" s="863">
        <v>7480</v>
      </c>
      <c r="S103" s="855">
        <f t="shared" si="135"/>
        <v>15.541339339326861</v>
      </c>
      <c r="T103" s="855">
        <f t="shared" si="136"/>
        <v>11.041162427750869</v>
      </c>
      <c r="U103" s="857">
        <f t="shared" si="95"/>
        <v>5.1033371011266601E-4</v>
      </c>
      <c r="V103" s="805"/>
      <c r="W103" s="863">
        <v>26664</v>
      </c>
      <c r="X103" s="855">
        <f t="shared" si="137"/>
        <v>53.146769515950602</v>
      </c>
      <c r="Y103" s="855">
        <f t="shared" si="138"/>
        <v>45.223128923569455</v>
      </c>
      <c r="Z103" s="857">
        <f t="shared" si="96"/>
        <v>4.6308321261457012E-3</v>
      </c>
      <c r="AA103" s="808"/>
      <c r="AB103" s="863">
        <v>20636</v>
      </c>
      <c r="AC103" s="855">
        <f t="shared" si="139"/>
        <v>45.974757995343708</v>
      </c>
      <c r="AD103" s="855">
        <f t="shared" si="140"/>
        <v>41.111402417595897</v>
      </c>
      <c r="AE103" s="857">
        <f t="shared" si="97"/>
        <v>3.0686799830514765E-3</v>
      </c>
      <c r="AF103" s="805"/>
      <c r="AG103" s="863">
        <v>12510</v>
      </c>
      <c r="AH103" s="855">
        <f t="shared" si="141"/>
        <v>24.94317502093552</v>
      </c>
      <c r="AI103" s="855">
        <f t="shared" si="142"/>
        <v>26.071910330134784</v>
      </c>
      <c r="AJ103" s="857">
        <f t="shared" si="98"/>
        <v>2.3030086694874404E-3</v>
      </c>
      <c r="AK103" s="808"/>
      <c r="AL103" s="863">
        <v>17532</v>
      </c>
      <c r="AM103" s="855">
        <f t="shared" si="143"/>
        <v>40.084320656274436</v>
      </c>
      <c r="AN103" s="855">
        <f t="shared" si="144"/>
        <v>32.29744004285692</v>
      </c>
      <c r="AO103" s="857">
        <f t="shared" si="99"/>
        <v>2.8116690700594267E-3</v>
      </c>
      <c r="AP103" s="805"/>
      <c r="AQ103" s="863">
        <v>160110</v>
      </c>
      <c r="AR103" s="855">
        <f t="shared" si="145"/>
        <v>412.31246233795667</v>
      </c>
      <c r="AS103" s="855">
        <f t="shared" si="146"/>
        <v>366.976472340962</v>
      </c>
      <c r="AT103" s="857">
        <f t="shared" si="100"/>
        <v>3.6275067865144221E-2</v>
      </c>
      <c r="AU103" s="808"/>
      <c r="AV103" s="863"/>
      <c r="AW103" s="855">
        <f t="shared" si="147"/>
        <v>0</v>
      </c>
      <c r="AX103" s="855">
        <f t="shared" si="148"/>
        <v>0</v>
      </c>
      <c r="AY103" s="857">
        <f t="shared" si="101"/>
        <v>0</v>
      </c>
      <c r="AZ103" s="805"/>
      <c r="BA103" s="863"/>
      <c r="BB103" s="855">
        <f t="shared" si="149"/>
        <v>0</v>
      </c>
      <c r="BC103" s="855">
        <f t="shared" si="150"/>
        <v>0</v>
      </c>
      <c r="BD103" s="857">
        <f t="shared" si="102"/>
        <v>0</v>
      </c>
      <c r="BE103" s="808"/>
      <c r="BF103" s="863"/>
      <c r="BG103" s="855">
        <f t="shared" si="151"/>
        <v>0</v>
      </c>
      <c r="BH103" s="855">
        <f t="shared" si="152"/>
        <v>0</v>
      </c>
      <c r="BI103" s="857">
        <f t="shared" si="103"/>
        <v>0</v>
      </c>
      <c r="BJ103" s="811"/>
      <c r="BK103" s="162">
        <f t="shared" si="153"/>
        <v>303166</v>
      </c>
      <c r="BL103" s="163">
        <f t="shared" si="128"/>
        <v>33685.111111111109</v>
      </c>
      <c r="BM103" s="164">
        <f t="shared" si="154"/>
        <v>85.78847276800758</v>
      </c>
      <c r="BN103" s="164">
        <f t="shared" si="155"/>
        <v>76.492538723275402</v>
      </c>
      <c r="BO103" s="165">
        <f t="shared" si="156"/>
        <v>6.1081610191094839E-3</v>
      </c>
      <c r="BP103" s="165">
        <f t="shared" si="157"/>
        <v>8.2288370198786741E-4</v>
      </c>
      <c r="BQ103" s="820"/>
      <c r="BR103" s="162">
        <f t="shared" si="158"/>
        <v>251142</v>
      </c>
      <c r="BS103" s="163">
        <f t="shared" si="159"/>
        <v>35877.428571428572</v>
      </c>
      <c r="BT103" s="164">
        <f t="shared" si="160"/>
        <v>80.971703255650425</v>
      </c>
      <c r="BU103" s="164">
        <f t="shared" si="161"/>
        <v>70.572875404614436</v>
      </c>
      <c r="BV103" s="165">
        <f t="shared" si="162"/>
        <v>5.0600341330735328E-3</v>
      </c>
      <c r="BW103" s="165">
        <f t="shared" si="163"/>
        <v>7.7248363746842247E-4</v>
      </c>
    </row>
    <row r="104" spans="1:75" s="297" customFormat="1" ht="11.25" outlineLevel="1">
      <c r="A104" s="131" t="s">
        <v>413</v>
      </c>
      <c r="B104" s="805"/>
      <c r="C104" s="862"/>
      <c r="D104" s="855">
        <f t="shared" si="129"/>
        <v>0</v>
      </c>
      <c r="E104" s="855">
        <f t="shared" si="130"/>
        <v>0</v>
      </c>
      <c r="F104" s="856">
        <f t="shared" si="92"/>
        <v>0</v>
      </c>
      <c r="G104" s="808"/>
      <c r="H104" s="862"/>
      <c r="I104" s="855">
        <f t="shared" si="131"/>
        <v>0</v>
      </c>
      <c r="J104" s="855">
        <f t="shared" si="132"/>
        <v>0</v>
      </c>
      <c r="K104" s="857">
        <f t="shared" si="93"/>
        <v>0</v>
      </c>
      <c r="L104" s="805"/>
      <c r="M104" s="863"/>
      <c r="N104" s="855">
        <f t="shared" si="133"/>
        <v>0</v>
      </c>
      <c r="O104" s="855">
        <f t="shared" si="134"/>
        <v>0</v>
      </c>
      <c r="P104" s="857">
        <f t="shared" si="94"/>
        <v>0</v>
      </c>
      <c r="Q104" s="808"/>
      <c r="R104" s="863"/>
      <c r="S104" s="855">
        <f t="shared" si="135"/>
        <v>0</v>
      </c>
      <c r="T104" s="855">
        <f t="shared" si="136"/>
        <v>0</v>
      </c>
      <c r="U104" s="857">
        <f t="shared" si="95"/>
        <v>0</v>
      </c>
      <c r="V104" s="805"/>
      <c r="W104" s="863"/>
      <c r="X104" s="855">
        <f t="shared" si="137"/>
        <v>0</v>
      </c>
      <c r="Y104" s="855">
        <f t="shared" si="138"/>
        <v>0</v>
      </c>
      <c r="Z104" s="857">
        <f t="shared" si="96"/>
        <v>0</v>
      </c>
      <c r="AA104" s="808"/>
      <c r="AB104" s="863"/>
      <c r="AC104" s="855">
        <f t="shared" si="139"/>
        <v>0</v>
      </c>
      <c r="AD104" s="855">
        <f t="shared" si="140"/>
        <v>0</v>
      </c>
      <c r="AE104" s="857">
        <f t="shared" si="97"/>
        <v>0</v>
      </c>
      <c r="AF104" s="805"/>
      <c r="AG104" s="863"/>
      <c r="AH104" s="855">
        <f t="shared" si="141"/>
        <v>0</v>
      </c>
      <c r="AI104" s="855">
        <f t="shared" si="142"/>
        <v>0</v>
      </c>
      <c r="AJ104" s="857">
        <f t="shared" si="98"/>
        <v>0</v>
      </c>
      <c r="AK104" s="808"/>
      <c r="AL104" s="863"/>
      <c r="AM104" s="855">
        <f t="shared" si="143"/>
        <v>0</v>
      </c>
      <c r="AN104" s="855">
        <f t="shared" si="144"/>
        <v>0</v>
      </c>
      <c r="AO104" s="857">
        <f t="shared" si="99"/>
        <v>0</v>
      </c>
      <c r="AP104" s="805"/>
      <c r="AQ104" s="863"/>
      <c r="AR104" s="855">
        <f t="shared" si="145"/>
        <v>0</v>
      </c>
      <c r="AS104" s="855">
        <f t="shared" si="146"/>
        <v>0</v>
      </c>
      <c r="AT104" s="857">
        <f t="shared" si="100"/>
        <v>0</v>
      </c>
      <c r="AU104" s="808"/>
      <c r="AV104" s="863"/>
      <c r="AW104" s="855">
        <f t="shared" si="147"/>
        <v>0</v>
      </c>
      <c r="AX104" s="855">
        <f t="shared" si="148"/>
        <v>0</v>
      </c>
      <c r="AY104" s="857">
        <f t="shared" si="101"/>
        <v>0</v>
      </c>
      <c r="AZ104" s="805"/>
      <c r="BA104" s="863"/>
      <c r="BB104" s="855">
        <f t="shared" si="149"/>
        <v>0</v>
      </c>
      <c r="BC104" s="855">
        <f t="shared" si="150"/>
        <v>0</v>
      </c>
      <c r="BD104" s="857">
        <f t="shared" si="102"/>
        <v>0</v>
      </c>
      <c r="BE104" s="808"/>
      <c r="BF104" s="863"/>
      <c r="BG104" s="855">
        <f t="shared" si="151"/>
        <v>0</v>
      </c>
      <c r="BH104" s="855">
        <f t="shared" si="152"/>
        <v>0</v>
      </c>
      <c r="BI104" s="857">
        <f t="shared" si="103"/>
        <v>0</v>
      </c>
      <c r="BJ104" s="811"/>
      <c r="BK104" s="162">
        <f t="shared" si="153"/>
        <v>0</v>
      </c>
      <c r="BL104" s="163">
        <f t="shared" si="128"/>
        <v>0</v>
      </c>
      <c r="BM104" s="164">
        <f t="shared" si="154"/>
        <v>0</v>
      </c>
      <c r="BN104" s="164">
        <f t="shared" si="155"/>
        <v>0</v>
      </c>
      <c r="BO104" s="165">
        <f t="shared" si="156"/>
        <v>0</v>
      </c>
      <c r="BP104" s="165">
        <f t="shared" si="157"/>
        <v>0</v>
      </c>
      <c r="BQ104" s="820"/>
      <c r="BR104" s="162">
        <f t="shared" si="158"/>
        <v>0</v>
      </c>
      <c r="BS104" s="163">
        <f t="shared" si="159"/>
        <v>0</v>
      </c>
      <c r="BT104" s="164">
        <f t="shared" si="160"/>
        <v>0</v>
      </c>
      <c r="BU104" s="164">
        <f t="shared" si="161"/>
        <v>0</v>
      </c>
      <c r="BV104" s="165">
        <f t="shared" si="162"/>
        <v>0</v>
      </c>
      <c r="BW104" s="165">
        <f t="shared" si="163"/>
        <v>0</v>
      </c>
    </row>
    <row r="105" spans="1:75" s="297" customFormat="1" ht="11.25" outlineLevel="1">
      <c r="A105" s="65" t="s">
        <v>414</v>
      </c>
      <c r="B105" s="805"/>
      <c r="C105" s="821">
        <v>10832</v>
      </c>
      <c r="D105" s="825">
        <f t="shared" si="129"/>
        <v>56.647979248598439</v>
      </c>
      <c r="E105" s="825">
        <f t="shared" si="130"/>
        <v>66.366223488931567</v>
      </c>
      <c r="F105" s="823">
        <f t="shared" si="92"/>
        <v>0.73294574902292087</v>
      </c>
      <c r="G105" s="808"/>
      <c r="H105" s="821">
        <v>64065</v>
      </c>
      <c r="I105" s="825">
        <f t="shared" si="131"/>
        <v>265.76371027959846</v>
      </c>
      <c r="J105" s="825">
        <f t="shared" si="132"/>
        <v>265.27302231539687</v>
      </c>
      <c r="K105" s="824">
        <f t="shared" si="93"/>
        <v>-4.4774085333890987</v>
      </c>
      <c r="L105" s="805"/>
      <c r="M105" s="825">
        <v>49480</v>
      </c>
      <c r="N105" s="825">
        <f t="shared" si="133"/>
        <v>144.01427988319594</v>
      </c>
      <c r="O105" s="825">
        <f t="shared" si="134"/>
        <v>149.64902947402359</v>
      </c>
      <c r="P105" s="824">
        <f t="shared" si="94"/>
        <v>7.7173717298343056E-3</v>
      </c>
      <c r="Q105" s="808"/>
      <c r="R105" s="825">
        <v>216564</v>
      </c>
      <c r="S105" s="825">
        <f t="shared" si="135"/>
        <v>449.9591728184468</v>
      </c>
      <c r="T105" s="825">
        <f t="shared" si="136"/>
        <v>319.66822192559346</v>
      </c>
      <c r="U105" s="824">
        <f t="shared" si="95"/>
        <v>1.4775388983534681E-2</v>
      </c>
      <c r="V105" s="805"/>
      <c r="W105" s="825">
        <v>118046</v>
      </c>
      <c r="X105" s="825">
        <f t="shared" si="137"/>
        <v>235.28966225172164</v>
      </c>
      <c r="Y105" s="825">
        <f t="shared" si="138"/>
        <v>200.21037642183015</v>
      </c>
      <c r="Z105" s="824">
        <f t="shared" si="96"/>
        <v>2.0501470490661398E-2</v>
      </c>
      <c r="AA105" s="808"/>
      <c r="AB105" s="825">
        <v>65380</v>
      </c>
      <c r="AC105" s="825">
        <f t="shared" si="139"/>
        <v>145.65951142351093</v>
      </c>
      <c r="AD105" s="825">
        <f t="shared" si="140"/>
        <v>130.25118676402499</v>
      </c>
      <c r="AE105" s="824">
        <f t="shared" si="97"/>
        <v>9.7223443153666191E-3</v>
      </c>
      <c r="AF105" s="805"/>
      <c r="AG105" s="825">
        <v>119620</v>
      </c>
      <c r="AH105" s="825">
        <f t="shared" si="141"/>
        <v>238.50540335765839</v>
      </c>
      <c r="AI105" s="825">
        <f t="shared" si="142"/>
        <v>249.29831444370285</v>
      </c>
      <c r="AJ105" s="824">
        <f t="shared" si="98"/>
        <v>2.2021254759719236E-2</v>
      </c>
      <c r="AK105" s="808"/>
      <c r="AL105" s="825">
        <v>119670</v>
      </c>
      <c r="AM105" s="825">
        <f t="shared" si="143"/>
        <v>273.60772604017575</v>
      </c>
      <c r="AN105" s="825">
        <f t="shared" si="144"/>
        <v>220.45600330416883</v>
      </c>
      <c r="AO105" s="824">
        <f t="shared" si="99"/>
        <v>1.9191902670203719E-2</v>
      </c>
      <c r="AP105" s="805"/>
      <c r="AQ105" s="825">
        <v>14475</v>
      </c>
      <c r="AR105" s="825">
        <f t="shared" si="145"/>
        <v>37.275765988020254</v>
      </c>
      <c r="AS105" s="825">
        <f t="shared" si="146"/>
        <v>33.177093480328679</v>
      </c>
      <c r="AT105" s="824">
        <f t="shared" si="100"/>
        <v>3.2795053859719105E-3</v>
      </c>
      <c r="AU105" s="808"/>
      <c r="AV105" s="825"/>
      <c r="AW105" s="825">
        <f t="shared" si="147"/>
        <v>0</v>
      </c>
      <c r="AX105" s="825">
        <f t="shared" si="148"/>
        <v>0</v>
      </c>
      <c r="AY105" s="824">
        <f t="shared" si="101"/>
        <v>0</v>
      </c>
      <c r="AZ105" s="805"/>
      <c r="BA105" s="825"/>
      <c r="BB105" s="825">
        <f t="shared" si="149"/>
        <v>0</v>
      </c>
      <c r="BC105" s="825">
        <f t="shared" si="150"/>
        <v>0</v>
      </c>
      <c r="BD105" s="824">
        <f t="shared" si="102"/>
        <v>0</v>
      </c>
      <c r="BE105" s="808"/>
      <c r="BF105" s="825"/>
      <c r="BG105" s="825">
        <f t="shared" si="151"/>
        <v>0</v>
      </c>
      <c r="BH105" s="825">
        <f t="shared" si="152"/>
        <v>0</v>
      </c>
      <c r="BI105" s="824">
        <f t="shared" si="103"/>
        <v>0</v>
      </c>
      <c r="BJ105" s="811"/>
      <c r="BK105" s="825">
        <f t="shared" si="153"/>
        <v>778132</v>
      </c>
      <c r="BL105" s="349">
        <f t="shared" si="128"/>
        <v>86459.111111111109</v>
      </c>
      <c r="BM105" s="852">
        <f t="shared" si="154"/>
        <v>220.1920924243328</v>
      </c>
      <c r="BN105" s="852">
        <f t="shared" si="155"/>
        <v>196.33234644326782</v>
      </c>
      <c r="BO105" s="853">
        <f t="shared" si="156"/>
        <v>1.5677732826641842E-2</v>
      </c>
      <c r="BP105" s="853">
        <f t="shared" si="157"/>
        <v>2.1120842732866587E-3</v>
      </c>
      <c r="BQ105" s="814"/>
      <c r="BR105" s="825">
        <f t="shared" si="158"/>
        <v>703235</v>
      </c>
      <c r="BS105" s="349">
        <f t="shared" si="159"/>
        <v>100462.14285714286</v>
      </c>
      <c r="BT105" s="852">
        <f t="shared" si="160"/>
        <v>226.73282740038434</v>
      </c>
      <c r="BU105" s="852">
        <f t="shared" si="161"/>
        <v>197.61456082679928</v>
      </c>
      <c r="BV105" s="853">
        <f t="shared" si="162"/>
        <v>1.416884911154632E-2</v>
      </c>
      <c r="BW105" s="853">
        <f t="shared" si="163"/>
        <v>2.1630692229698979E-3</v>
      </c>
    </row>
    <row r="106" spans="1:75" s="297" customFormat="1" ht="11.25" outlineLevel="1">
      <c r="A106" s="65" t="s">
        <v>415</v>
      </c>
      <c r="B106" s="805"/>
      <c r="C106" s="821">
        <v>1300</v>
      </c>
      <c r="D106" s="825">
        <f t="shared" si="129"/>
        <v>6.7985942598945694</v>
      </c>
      <c r="E106" s="825">
        <f t="shared" si="130"/>
        <v>7.9649271173939278</v>
      </c>
      <c r="F106" s="823">
        <f t="shared" si="92"/>
        <v>8.7964316260136358E-2</v>
      </c>
      <c r="G106" s="808"/>
      <c r="H106" s="821">
        <v>5800</v>
      </c>
      <c r="I106" s="825">
        <f t="shared" si="131"/>
        <v>24.060399900439727</v>
      </c>
      <c r="J106" s="825">
        <f t="shared" si="132"/>
        <v>24.015976421279976</v>
      </c>
      <c r="K106" s="824">
        <f t="shared" si="93"/>
        <v>-0.40535346122932603</v>
      </c>
      <c r="L106" s="805"/>
      <c r="M106" s="825">
        <v>5800</v>
      </c>
      <c r="N106" s="825">
        <f t="shared" si="133"/>
        <v>16.881221166583195</v>
      </c>
      <c r="O106" s="825">
        <f t="shared" si="134"/>
        <v>17.541721320722246</v>
      </c>
      <c r="P106" s="824">
        <f t="shared" si="94"/>
        <v>9.0462320196117577E-4</v>
      </c>
      <c r="Q106" s="808"/>
      <c r="R106" s="825">
        <v>8300</v>
      </c>
      <c r="S106" s="825">
        <f t="shared" si="135"/>
        <v>17.245069052996385</v>
      </c>
      <c r="T106" s="825">
        <f t="shared" si="136"/>
        <v>12.251557239349227</v>
      </c>
      <c r="U106" s="824">
        <f t="shared" si="95"/>
        <v>5.6627938421592626E-4</v>
      </c>
      <c r="V106" s="805"/>
      <c r="W106" s="825">
        <v>7127</v>
      </c>
      <c r="X106" s="825">
        <f t="shared" si="137"/>
        <v>14.205559043661117</v>
      </c>
      <c r="Y106" s="825">
        <f t="shared" si="138"/>
        <v>12.087655259461426</v>
      </c>
      <c r="Z106" s="824">
        <f t="shared" si="96"/>
        <v>1.2377715482688424E-3</v>
      </c>
      <c r="AA106" s="808"/>
      <c r="AB106" s="825">
        <v>7100</v>
      </c>
      <c r="AC106" s="825">
        <f t="shared" si="139"/>
        <v>15.818025865814128</v>
      </c>
      <c r="AD106" s="825">
        <f t="shared" si="140"/>
        <v>14.144744968256004</v>
      </c>
      <c r="AE106" s="824">
        <f t="shared" si="97"/>
        <v>1.0558067396620218E-3</v>
      </c>
      <c r="AF106" s="805"/>
      <c r="AG106" s="825">
        <v>5700</v>
      </c>
      <c r="AH106" s="825">
        <f t="shared" si="141"/>
        <v>11.364995812896279</v>
      </c>
      <c r="AI106" s="825">
        <f t="shared" si="142"/>
        <v>11.879287680397145</v>
      </c>
      <c r="AJ106" s="824">
        <f t="shared" si="98"/>
        <v>1.0493324872964357E-3</v>
      </c>
      <c r="AK106" s="808"/>
      <c r="AL106" s="825">
        <v>1000</v>
      </c>
      <c r="AM106" s="825">
        <f t="shared" si="143"/>
        <v>2.2863518512590937</v>
      </c>
      <c r="AN106" s="825">
        <f t="shared" si="144"/>
        <v>1.8421994092434935</v>
      </c>
      <c r="AO106" s="824">
        <f t="shared" si="99"/>
        <v>1.6037354951285802E-4</v>
      </c>
      <c r="AP106" s="805"/>
      <c r="AQ106" s="825">
        <v>40360</v>
      </c>
      <c r="AR106" s="825">
        <f t="shared" si="145"/>
        <v>103.93436374967166</v>
      </c>
      <c r="AS106" s="825">
        <f t="shared" si="146"/>
        <v>92.506217123735098</v>
      </c>
      <c r="AT106" s="824">
        <f t="shared" si="100"/>
        <v>9.1440993007133892E-3</v>
      </c>
      <c r="AU106" s="808"/>
      <c r="AV106" s="825"/>
      <c r="AW106" s="825">
        <f t="shared" si="147"/>
        <v>0</v>
      </c>
      <c r="AX106" s="825">
        <f t="shared" si="148"/>
        <v>0</v>
      </c>
      <c r="AY106" s="824">
        <f t="shared" si="101"/>
        <v>0</v>
      </c>
      <c r="AZ106" s="805"/>
      <c r="BA106" s="825"/>
      <c r="BB106" s="825">
        <f t="shared" si="149"/>
        <v>0</v>
      </c>
      <c r="BC106" s="825">
        <f t="shared" si="150"/>
        <v>0</v>
      </c>
      <c r="BD106" s="824">
        <f t="shared" si="102"/>
        <v>0</v>
      </c>
      <c r="BE106" s="808"/>
      <c r="BF106" s="825"/>
      <c r="BG106" s="825">
        <f t="shared" si="151"/>
        <v>0</v>
      </c>
      <c r="BH106" s="825">
        <f t="shared" si="152"/>
        <v>0</v>
      </c>
      <c r="BI106" s="824">
        <f t="shared" si="103"/>
        <v>0</v>
      </c>
      <c r="BJ106" s="811"/>
      <c r="BK106" s="825">
        <f t="shared" si="153"/>
        <v>82487</v>
      </c>
      <c r="BL106" s="349">
        <f t="shared" si="128"/>
        <v>9165.2222222222226</v>
      </c>
      <c r="BM106" s="852">
        <f t="shared" si="154"/>
        <v>23.341778937000328</v>
      </c>
      <c r="BN106" s="852">
        <f t="shared" si="155"/>
        <v>20.812492303447016</v>
      </c>
      <c r="BO106" s="853">
        <f t="shared" si="156"/>
        <v>1.6619405803529551E-3</v>
      </c>
      <c r="BP106" s="853">
        <f t="shared" si="157"/>
        <v>2.2389452618655527E-4</v>
      </c>
      <c r="BQ106" s="814"/>
      <c r="BR106" s="825">
        <f t="shared" si="158"/>
        <v>75387</v>
      </c>
      <c r="BS106" s="349">
        <f t="shared" si="159"/>
        <v>10769.571428571429</v>
      </c>
      <c r="BT106" s="852">
        <f t="shared" si="160"/>
        <v>24.30582615943856</v>
      </c>
      <c r="BU106" s="852">
        <f t="shared" si="161"/>
        <v>21.184339370267292</v>
      </c>
      <c r="BV106" s="853">
        <f t="shared" si="162"/>
        <v>1.518904815562568E-3</v>
      </c>
      <c r="BW106" s="853">
        <f t="shared" si="163"/>
        <v>2.3188166048622677E-4</v>
      </c>
    </row>
    <row r="107" spans="1:75" s="297" customFormat="1" ht="11.25" outlineLevel="1">
      <c r="A107" s="65" t="s">
        <v>416</v>
      </c>
      <c r="B107" s="805"/>
      <c r="C107" s="821">
        <f>SUM(C108:C110)</f>
        <v>4000</v>
      </c>
      <c r="D107" s="825">
        <f t="shared" si="129"/>
        <v>20.918751568906369</v>
      </c>
      <c r="E107" s="825">
        <f t="shared" si="130"/>
        <v>24.507468053519776</v>
      </c>
      <c r="F107" s="823">
        <f t="shared" si="92"/>
        <v>0.27065943464657344</v>
      </c>
      <c r="G107" s="808"/>
      <c r="H107" s="821">
        <f>SUM(H108:H110)</f>
        <v>19900.48</v>
      </c>
      <c r="I107" s="825">
        <f t="shared" si="131"/>
        <v>82.55405293287977</v>
      </c>
      <c r="J107" s="825">
        <f t="shared" si="132"/>
        <v>82.401630767612716</v>
      </c>
      <c r="K107" s="824">
        <f t="shared" si="93"/>
        <v>-1.3908152496767203</v>
      </c>
      <c r="L107" s="805"/>
      <c r="M107" s="825">
        <f>SUM(M108:M110)</f>
        <v>24903.63</v>
      </c>
      <c r="N107" s="825">
        <f t="shared" si="133"/>
        <v>72.483394117371759</v>
      </c>
      <c r="O107" s="825">
        <f t="shared" si="134"/>
        <v>75.319402988685908</v>
      </c>
      <c r="P107" s="824">
        <f t="shared" si="94"/>
        <v>3.8842071570786888E-3</v>
      </c>
      <c r="Q107" s="808"/>
      <c r="R107" s="825">
        <f>SUM(R108:R110)</f>
        <v>40135.160000000003</v>
      </c>
      <c r="S107" s="825">
        <f t="shared" si="135"/>
        <v>83.389591042537148</v>
      </c>
      <c r="T107" s="825">
        <f t="shared" si="136"/>
        <v>59.24315783740235</v>
      </c>
      <c r="U107" s="824">
        <f t="shared" si="95"/>
        <v>2.7382787578563465E-3</v>
      </c>
      <c r="V107" s="805"/>
      <c r="W107" s="825">
        <f>SUM(W108:W110)</f>
        <v>31704.35</v>
      </c>
      <c r="X107" s="825">
        <f t="shared" si="137"/>
        <v>63.193211149978573</v>
      </c>
      <c r="Y107" s="825">
        <f t="shared" si="138"/>
        <v>53.771748705669403</v>
      </c>
      <c r="Z107" s="824">
        <f t="shared" si="96"/>
        <v>5.5062077152178016E-3</v>
      </c>
      <c r="AA107" s="808"/>
      <c r="AB107" s="825">
        <f>SUM(AB108:AB110)</f>
        <v>27004.07</v>
      </c>
      <c r="AC107" s="825">
        <f t="shared" si="139"/>
        <v>60.162123625669757</v>
      </c>
      <c r="AD107" s="825">
        <f t="shared" si="140"/>
        <v>53.797983557032801</v>
      </c>
      <c r="AE107" s="824">
        <f t="shared" si="97"/>
        <v>4.0156449442683116E-3</v>
      </c>
      <c r="AF107" s="805"/>
      <c r="AG107" s="825">
        <f>SUM(AG108:AG110)</f>
        <v>32005.06</v>
      </c>
      <c r="AH107" s="825">
        <f t="shared" si="141"/>
        <v>63.813574191490211</v>
      </c>
      <c r="AI107" s="825">
        <f t="shared" si="142"/>
        <v>66.701283327784452</v>
      </c>
      <c r="AJ107" s="824">
        <f t="shared" si="98"/>
        <v>5.8919209150652043E-3</v>
      </c>
      <c r="AK107" s="808"/>
      <c r="AL107" s="825">
        <f>SUM(AL108:AL110)</f>
        <v>36004.57</v>
      </c>
      <c r="AM107" s="825">
        <f t="shared" si="143"/>
        <v>82.319115273287636</v>
      </c>
      <c r="AN107" s="825">
        <f t="shared" si="144"/>
        <v>66.327597584066012</v>
      </c>
      <c r="AO107" s="824">
        <f t="shared" si="99"/>
        <v>5.7741806895841626E-3</v>
      </c>
      <c r="AP107" s="805"/>
      <c r="AQ107" s="825">
        <f>SUM(AQ108:AQ110)</f>
        <v>37253.230000000003</v>
      </c>
      <c r="AR107" s="825">
        <f t="shared" si="145"/>
        <v>95.933864164276045</v>
      </c>
      <c r="AS107" s="825">
        <f t="shared" si="146"/>
        <v>85.385415831031764</v>
      </c>
      <c r="AT107" s="824">
        <f t="shared" si="100"/>
        <v>8.4402188897996794E-3</v>
      </c>
      <c r="AU107" s="808"/>
      <c r="AV107" s="825">
        <f>SUM(AV108:AV110)</f>
        <v>0</v>
      </c>
      <c r="AW107" s="825">
        <f t="shared" si="147"/>
        <v>0</v>
      </c>
      <c r="AX107" s="825">
        <f t="shared" si="148"/>
        <v>0</v>
      </c>
      <c r="AY107" s="824">
        <f t="shared" si="101"/>
        <v>0</v>
      </c>
      <c r="AZ107" s="805"/>
      <c r="BA107" s="825">
        <f>SUM(BA108:BA110)</f>
        <v>0</v>
      </c>
      <c r="BB107" s="825">
        <f t="shared" si="149"/>
        <v>0</v>
      </c>
      <c r="BC107" s="825">
        <f t="shared" si="150"/>
        <v>0</v>
      </c>
      <c r="BD107" s="824">
        <f t="shared" si="102"/>
        <v>0</v>
      </c>
      <c r="BE107" s="808"/>
      <c r="BF107" s="825">
        <f>SUM(BF108:BF110)</f>
        <v>0</v>
      </c>
      <c r="BG107" s="825">
        <f t="shared" si="151"/>
        <v>0</v>
      </c>
      <c r="BH107" s="825">
        <f t="shared" si="152"/>
        <v>0</v>
      </c>
      <c r="BI107" s="824">
        <f t="shared" si="103"/>
        <v>0</v>
      </c>
      <c r="BJ107" s="811"/>
      <c r="BK107" s="825">
        <f t="shared" si="153"/>
        <v>252910.55000000002</v>
      </c>
      <c r="BL107" s="349">
        <f t="shared" si="128"/>
        <v>28101.172222222223</v>
      </c>
      <c r="BM107" s="852">
        <f t="shared" si="154"/>
        <v>71.56742455096159</v>
      </c>
      <c r="BN107" s="852">
        <f t="shared" si="155"/>
        <v>63.812465907786098</v>
      </c>
      <c r="BO107" s="853">
        <f t="shared" si="156"/>
        <v>5.0956187792547325E-3</v>
      </c>
      <c r="BP107" s="853">
        <f t="shared" si="157"/>
        <v>6.8647529622644905E-4</v>
      </c>
      <c r="BQ107" s="814"/>
      <c r="BR107" s="825">
        <f t="shared" si="158"/>
        <v>229010.07000000004</v>
      </c>
      <c r="BS107" s="349">
        <f t="shared" si="159"/>
        <v>32715.724285714292</v>
      </c>
      <c r="BT107" s="852">
        <f t="shared" si="160"/>
        <v>73.836058606667677</v>
      </c>
      <c r="BU107" s="852">
        <f t="shared" si="161"/>
        <v>64.353629168008652</v>
      </c>
      <c r="BV107" s="853">
        <f t="shared" si="162"/>
        <v>4.614117793987303E-3</v>
      </c>
      <c r="BW107" s="853">
        <f t="shared" si="163"/>
        <v>7.0440839003630643E-4</v>
      </c>
    </row>
    <row r="108" spans="1:75" s="297" customFormat="1" ht="11.25" outlineLevel="1">
      <c r="A108" s="131" t="s">
        <v>417</v>
      </c>
      <c r="B108" s="805"/>
      <c r="C108" s="862"/>
      <c r="D108" s="855">
        <f t="shared" si="129"/>
        <v>0</v>
      </c>
      <c r="E108" s="855">
        <f t="shared" si="130"/>
        <v>0</v>
      </c>
      <c r="F108" s="856">
        <f t="shared" si="92"/>
        <v>0</v>
      </c>
      <c r="G108" s="808"/>
      <c r="H108" s="862">
        <v>15900.48</v>
      </c>
      <c r="I108" s="855">
        <f t="shared" si="131"/>
        <v>65.960673691197215</v>
      </c>
      <c r="J108" s="855">
        <f t="shared" si="132"/>
        <v>65.838888408109284</v>
      </c>
      <c r="K108" s="857">
        <f t="shared" si="93"/>
        <v>-1.1112611384840816</v>
      </c>
      <c r="L108" s="805"/>
      <c r="M108" s="863">
        <v>17903.63</v>
      </c>
      <c r="N108" s="855">
        <f t="shared" si="133"/>
        <v>52.109506502529975</v>
      </c>
      <c r="O108" s="855">
        <f t="shared" si="134"/>
        <v>54.148360015400421</v>
      </c>
      <c r="P108" s="857">
        <f t="shared" si="94"/>
        <v>2.7924205340220977E-3</v>
      </c>
      <c r="Q108" s="808"/>
      <c r="R108" s="863">
        <v>32135.16</v>
      </c>
      <c r="S108" s="855">
        <f t="shared" si="135"/>
        <v>66.767837738444243</v>
      </c>
      <c r="T108" s="855">
        <f t="shared" si="136"/>
        <v>47.434427968150082</v>
      </c>
      <c r="U108" s="857">
        <f t="shared" si="95"/>
        <v>2.1924673031903934E-3</v>
      </c>
      <c r="V108" s="805"/>
      <c r="W108" s="863">
        <v>26704.35</v>
      </c>
      <c r="X108" s="855">
        <f t="shared" si="137"/>
        <v>53.227195264149252</v>
      </c>
      <c r="Y108" s="855">
        <f t="shared" si="138"/>
        <v>45.291564014030968</v>
      </c>
      <c r="Z108" s="857">
        <f t="shared" si="96"/>
        <v>4.6378398547794386E-3</v>
      </c>
      <c r="AA108" s="808"/>
      <c r="AB108" s="863">
        <v>18004.07</v>
      </c>
      <c r="AC108" s="855">
        <f t="shared" si="139"/>
        <v>40.111104922525094</v>
      </c>
      <c r="AD108" s="855">
        <f t="shared" si="140"/>
        <v>35.868025146567447</v>
      </c>
      <c r="AE108" s="857">
        <f t="shared" si="97"/>
        <v>2.677298372865749E-3</v>
      </c>
      <c r="AF108" s="805"/>
      <c r="AG108" s="863">
        <v>28005.06</v>
      </c>
      <c r="AH108" s="855">
        <f t="shared" si="141"/>
        <v>55.838138533317384</v>
      </c>
      <c r="AI108" s="855">
        <f t="shared" si="142"/>
        <v>58.36494109592681</v>
      </c>
      <c r="AJ108" s="857">
        <f t="shared" si="98"/>
        <v>5.1555472397694603E-3</v>
      </c>
      <c r="AK108" s="808"/>
      <c r="AL108" s="863">
        <v>28004.57</v>
      </c>
      <c r="AM108" s="855">
        <f t="shared" si="143"/>
        <v>64.028300463214876</v>
      </c>
      <c r="AN108" s="855">
        <f t="shared" si="144"/>
        <v>51.590002310118059</v>
      </c>
      <c r="AO108" s="857">
        <f t="shared" si="99"/>
        <v>4.491192293481298E-3</v>
      </c>
      <c r="AP108" s="805"/>
      <c r="AQ108" s="863">
        <v>33253.230000000003</v>
      </c>
      <c r="AR108" s="855">
        <f t="shared" si="145"/>
        <v>85.633134357569233</v>
      </c>
      <c r="AS108" s="855">
        <f t="shared" si="146"/>
        <v>76.217307097262179</v>
      </c>
      <c r="AT108" s="857">
        <f t="shared" si="100"/>
        <v>7.5339652425535563E-3</v>
      </c>
      <c r="AU108" s="808"/>
      <c r="AV108" s="863"/>
      <c r="AW108" s="855">
        <f t="shared" si="147"/>
        <v>0</v>
      </c>
      <c r="AX108" s="855">
        <f t="shared" si="148"/>
        <v>0</v>
      </c>
      <c r="AY108" s="857">
        <f t="shared" si="101"/>
        <v>0</v>
      </c>
      <c r="AZ108" s="805"/>
      <c r="BA108" s="863"/>
      <c r="BB108" s="855">
        <f t="shared" si="149"/>
        <v>0</v>
      </c>
      <c r="BC108" s="855">
        <f t="shared" si="150"/>
        <v>0</v>
      </c>
      <c r="BD108" s="857">
        <f t="shared" si="102"/>
        <v>0</v>
      </c>
      <c r="BE108" s="808"/>
      <c r="BF108" s="863"/>
      <c r="BG108" s="855">
        <f t="shared" si="151"/>
        <v>0</v>
      </c>
      <c r="BH108" s="855">
        <f t="shared" si="152"/>
        <v>0</v>
      </c>
      <c r="BI108" s="857">
        <f t="shared" si="103"/>
        <v>0</v>
      </c>
      <c r="BJ108" s="811"/>
      <c r="BK108" s="162">
        <f t="shared" si="153"/>
        <v>199910.55000000002</v>
      </c>
      <c r="BL108" s="163">
        <f t="shared" si="128"/>
        <v>22212.283333333336</v>
      </c>
      <c r="BM108" s="164">
        <f t="shared" si="154"/>
        <v>56.569736628488741</v>
      </c>
      <c r="BN108" s="164">
        <f t="shared" si="155"/>
        <v>50.439909116016587</v>
      </c>
      <c r="BO108" s="165">
        <f t="shared" si="156"/>
        <v>4.0277795953990144E-3</v>
      </c>
      <c r="BP108" s="165">
        <f t="shared" si="157"/>
        <v>5.4261735633425476E-4</v>
      </c>
      <c r="BQ108" s="820"/>
      <c r="BR108" s="162">
        <f t="shared" si="158"/>
        <v>184010.07</v>
      </c>
      <c r="BS108" s="163">
        <f t="shared" si="159"/>
        <v>26287.152857142857</v>
      </c>
      <c r="BT108" s="164">
        <f t="shared" si="160"/>
        <v>59.327427447784373</v>
      </c>
      <c r="BU108" s="164">
        <f t="shared" si="161"/>
        <v>51.708275570411885</v>
      </c>
      <c r="BV108" s="165">
        <f t="shared" si="162"/>
        <v>3.7074532934724186E-3</v>
      </c>
      <c r="BW108" s="165">
        <f t="shared" si="163"/>
        <v>5.6599361398897456E-4</v>
      </c>
    </row>
    <row r="109" spans="1:75" s="297" customFormat="1" ht="11.25" outlineLevel="1">
      <c r="A109" s="131" t="s">
        <v>418</v>
      </c>
      <c r="B109" s="805"/>
      <c r="C109" s="862">
        <v>4000</v>
      </c>
      <c r="D109" s="855">
        <f t="shared" si="129"/>
        <v>20.918751568906369</v>
      </c>
      <c r="E109" s="855">
        <f t="shared" si="130"/>
        <v>24.507468053519776</v>
      </c>
      <c r="F109" s="856">
        <f t="shared" si="92"/>
        <v>0.27065943464657344</v>
      </c>
      <c r="G109" s="808"/>
      <c r="H109" s="862">
        <v>4000</v>
      </c>
      <c r="I109" s="855">
        <f t="shared" si="131"/>
        <v>16.59337924168257</v>
      </c>
      <c r="J109" s="855">
        <f t="shared" si="132"/>
        <v>16.562742359503432</v>
      </c>
      <c r="K109" s="857">
        <f t="shared" si="93"/>
        <v>-0.27955411119263862</v>
      </c>
      <c r="L109" s="805"/>
      <c r="M109" s="863">
        <f>7000</f>
        <v>7000</v>
      </c>
      <c r="N109" s="855">
        <f t="shared" si="133"/>
        <v>20.373887614841784</v>
      </c>
      <c r="O109" s="855">
        <f t="shared" si="134"/>
        <v>21.17104297328547</v>
      </c>
      <c r="P109" s="857">
        <f t="shared" si="94"/>
        <v>1.0917866230565913E-3</v>
      </c>
      <c r="Q109" s="808"/>
      <c r="R109" s="863">
        <v>8000</v>
      </c>
      <c r="S109" s="855">
        <f t="shared" si="135"/>
        <v>16.621753304092898</v>
      </c>
      <c r="T109" s="855">
        <f t="shared" si="136"/>
        <v>11.808729869252266</v>
      </c>
      <c r="U109" s="857">
        <f t="shared" si="95"/>
        <v>5.4581145466595299E-4</v>
      </c>
      <c r="V109" s="805"/>
      <c r="W109" s="863">
        <v>1000</v>
      </c>
      <c r="X109" s="855">
        <f t="shared" si="137"/>
        <v>1.9932031771658643</v>
      </c>
      <c r="Y109" s="855">
        <f t="shared" si="138"/>
        <v>1.6960369383276872</v>
      </c>
      <c r="Z109" s="857">
        <f t="shared" si="96"/>
        <v>1.7367357208767257E-4</v>
      </c>
      <c r="AA109" s="808"/>
      <c r="AB109" s="863">
        <v>3000</v>
      </c>
      <c r="AC109" s="855">
        <f t="shared" si="139"/>
        <v>6.6836729010482232</v>
      </c>
      <c r="AD109" s="855">
        <f t="shared" si="140"/>
        <v>5.9766528034884523</v>
      </c>
      <c r="AE109" s="857">
        <f t="shared" si="97"/>
        <v>4.4611552380085433E-4</v>
      </c>
      <c r="AF109" s="805"/>
      <c r="AG109" s="863">
        <v>1000</v>
      </c>
      <c r="AH109" s="855">
        <f t="shared" si="141"/>
        <v>1.9938589145432071</v>
      </c>
      <c r="AI109" s="855">
        <f t="shared" si="142"/>
        <v>2.0840855579644111</v>
      </c>
      <c r="AJ109" s="857">
        <f t="shared" si="98"/>
        <v>1.8409341882393609E-4</v>
      </c>
      <c r="AK109" s="808"/>
      <c r="AL109" s="863">
        <v>2000</v>
      </c>
      <c r="AM109" s="855">
        <f t="shared" si="143"/>
        <v>4.5727037025181874</v>
      </c>
      <c r="AN109" s="855">
        <f t="shared" si="144"/>
        <v>3.6843988184869869</v>
      </c>
      <c r="AO109" s="857">
        <f t="shared" si="99"/>
        <v>3.2074709902571604E-4</v>
      </c>
      <c r="AP109" s="805"/>
      <c r="AQ109" s="863">
        <v>1000</v>
      </c>
      <c r="AR109" s="855">
        <f t="shared" si="145"/>
        <v>2.5751824516767012</v>
      </c>
      <c r="AS109" s="855">
        <f t="shared" si="146"/>
        <v>2.2920271834423955</v>
      </c>
      <c r="AT109" s="857">
        <f t="shared" si="100"/>
        <v>2.2656341181153094E-4</v>
      </c>
      <c r="AU109" s="808"/>
      <c r="AV109" s="863"/>
      <c r="AW109" s="855">
        <f t="shared" si="147"/>
        <v>0</v>
      </c>
      <c r="AX109" s="855">
        <f t="shared" si="148"/>
        <v>0</v>
      </c>
      <c r="AY109" s="857">
        <f t="shared" si="101"/>
        <v>0</v>
      </c>
      <c r="AZ109" s="805"/>
      <c r="BA109" s="863"/>
      <c r="BB109" s="855">
        <f t="shared" si="149"/>
        <v>0</v>
      </c>
      <c r="BC109" s="855">
        <f t="shared" si="150"/>
        <v>0</v>
      </c>
      <c r="BD109" s="857">
        <f t="shared" si="102"/>
        <v>0</v>
      </c>
      <c r="BE109" s="808"/>
      <c r="BF109" s="863"/>
      <c r="BG109" s="855">
        <f t="shared" si="151"/>
        <v>0</v>
      </c>
      <c r="BH109" s="855">
        <f t="shared" si="152"/>
        <v>0</v>
      </c>
      <c r="BI109" s="857">
        <f t="shared" si="103"/>
        <v>0</v>
      </c>
      <c r="BJ109" s="811"/>
      <c r="BK109" s="162">
        <f t="shared" si="153"/>
        <v>31000</v>
      </c>
      <c r="BL109" s="163">
        <f t="shared" si="128"/>
        <v>3444.4444444444443</v>
      </c>
      <c r="BM109" s="164">
        <f t="shared" si="154"/>
        <v>8.7722325584275129</v>
      </c>
      <c r="BN109" s="164">
        <f t="shared" si="155"/>
        <v>7.8216841612236774</v>
      </c>
      <c r="BO109" s="165">
        <f t="shared" si="156"/>
        <v>6.2458518300994833E-4</v>
      </c>
      <c r="BP109" s="165">
        <f t="shared" si="157"/>
        <v>8.4143323333170239E-5</v>
      </c>
      <c r="BQ109" s="820"/>
      <c r="BR109" s="162">
        <f t="shared" si="158"/>
        <v>23000</v>
      </c>
      <c r="BS109" s="163">
        <f t="shared" si="159"/>
        <v>3285.7142857142858</v>
      </c>
      <c r="BT109" s="164">
        <f t="shared" si="160"/>
        <v>7.4155225923181298</v>
      </c>
      <c r="BU109" s="164">
        <f t="shared" si="161"/>
        <v>6.4631807276605739</v>
      </c>
      <c r="BV109" s="165">
        <f t="shared" si="162"/>
        <v>4.6340630026316294E-4</v>
      </c>
      <c r="BW109" s="165">
        <f t="shared" si="163"/>
        <v>7.0745329979747385E-5</v>
      </c>
    </row>
    <row r="110" spans="1:75" s="297" customFormat="1" ht="11.25" outlineLevel="1">
      <c r="A110" s="131" t="s">
        <v>419</v>
      </c>
      <c r="B110" s="805"/>
      <c r="C110" s="862"/>
      <c r="D110" s="855">
        <f t="shared" si="129"/>
        <v>0</v>
      </c>
      <c r="E110" s="855">
        <f t="shared" si="130"/>
        <v>0</v>
      </c>
      <c r="F110" s="856">
        <f t="shared" si="92"/>
        <v>0</v>
      </c>
      <c r="G110" s="808"/>
      <c r="H110" s="862"/>
      <c r="I110" s="855">
        <f t="shared" si="131"/>
        <v>0</v>
      </c>
      <c r="J110" s="855">
        <f t="shared" si="132"/>
        <v>0</v>
      </c>
      <c r="K110" s="857">
        <f t="shared" si="93"/>
        <v>0</v>
      </c>
      <c r="L110" s="805"/>
      <c r="M110" s="863"/>
      <c r="N110" s="855">
        <f t="shared" si="133"/>
        <v>0</v>
      </c>
      <c r="O110" s="855">
        <f t="shared" si="134"/>
        <v>0</v>
      </c>
      <c r="P110" s="857">
        <f t="shared" si="94"/>
        <v>0</v>
      </c>
      <c r="Q110" s="808"/>
      <c r="R110" s="863"/>
      <c r="S110" s="855">
        <f t="shared" si="135"/>
        <v>0</v>
      </c>
      <c r="T110" s="855">
        <f t="shared" si="136"/>
        <v>0</v>
      </c>
      <c r="U110" s="857">
        <f t="shared" si="95"/>
        <v>0</v>
      </c>
      <c r="V110" s="805"/>
      <c r="W110" s="863">
        <v>4000</v>
      </c>
      <c r="X110" s="855">
        <f t="shared" si="137"/>
        <v>7.972812708663457</v>
      </c>
      <c r="Y110" s="855">
        <f t="shared" si="138"/>
        <v>6.7841477533107488</v>
      </c>
      <c r="Z110" s="857">
        <f t="shared" si="96"/>
        <v>6.9469428835069026E-4</v>
      </c>
      <c r="AA110" s="808"/>
      <c r="AB110" s="863">
        <v>6000</v>
      </c>
      <c r="AC110" s="855">
        <f t="shared" si="139"/>
        <v>13.367345802096446</v>
      </c>
      <c r="AD110" s="855">
        <f t="shared" si="140"/>
        <v>11.953305606976905</v>
      </c>
      <c r="AE110" s="857">
        <f t="shared" si="97"/>
        <v>8.9223104760170866E-4</v>
      </c>
      <c r="AF110" s="805"/>
      <c r="AG110" s="863">
        <v>3000</v>
      </c>
      <c r="AH110" s="855">
        <f t="shared" si="141"/>
        <v>5.9815767436296214</v>
      </c>
      <c r="AI110" s="855">
        <f t="shared" si="142"/>
        <v>6.2522566738932328</v>
      </c>
      <c r="AJ110" s="857">
        <f t="shared" si="98"/>
        <v>5.5228025647180825E-4</v>
      </c>
      <c r="AK110" s="808"/>
      <c r="AL110" s="863">
        <v>6000</v>
      </c>
      <c r="AM110" s="855">
        <f t="shared" si="143"/>
        <v>13.718111107554565</v>
      </c>
      <c r="AN110" s="855">
        <f t="shared" si="144"/>
        <v>11.053196455460959</v>
      </c>
      <c r="AO110" s="857">
        <f t="shared" si="99"/>
        <v>9.6224129707714811E-4</v>
      </c>
      <c r="AP110" s="805"/>
      <c r="AQ110" s="863">
        <v>3000</v>
      </c>
      <c r="AR110" s="855">
        <f t="shared" si="145"/>
        <v>7.7255473550301037</v>
      </c>
      <c r="AS110" s="855">
        <f t="shared" si="146"/>
        <v>6.8760815503271866</v>
      </c>
      <c r="AT110" s="857">
        <f t="shared" si="100"/>
        <v>6.7969023543459287E-4</v>
      </c>
      <c r="AU110" s="808"/>
      <c r="AV110" s="863"/>
      <c r="AW110" s="855">
        <f t="shared" si="147"/>
        <v>0</v>
      </c>
      <c r="AX110" s="855">
        <f t="shared" si="148"/>
        <v>0</v>
      </c>
      <c r="AY110" s="857">
        <f t="shared" si="101"/>
        <v>0</v>
      </c>
      <c r="AZ110" s="805"/>
      <c r="BA110" s="863"/>
      <c r="BB110" s="855">
        <f t="shared" si="149"/>
        <v>0</v>
      </c>
      <c r="BC110" s="855">
        <f t="shared" si="150"/>
        <v>0</v>
      </c>
      <c r="BD110" s="857">
        <f t="shared" si="102"/>
        <v>0</v>
      </c>
      <c r="BE110" s="808"/>
      <c r="BF110" s="863"/>
      <c r="BG110" s="855">
        <f t="shared" si="151"/>
        <v>0</v>
      </c>
      <c r="BH110" s="855">
        <f t="shared" si="152"/>
        <v>0</v>
      </c>
      <c r="BI110" s="857">
        <f t="shared" si="103"/>
        <v>0</v>
      </c>
      <c r="BJ110" s="811"/>
      <c r="BK110" s="162">
        <f t="shared" si="153"/>
        <v>22000</v>
      </c>
      <c r="BL110" s="163">
        <f t="shared" si="128"/>
        <v>2444.4444444444443</v>
      </c>
      <c r="BM110" s="164">
        <f t="shared" si="154"/>
        <v>6.225455364045331</v>
      </c>
      <c r="BN110" s="164">
        <f t="shared" si="155"/>
        <v>5.5508726305458351</v>
      </c>
      <c r="BO110" s="165">
        <f t="shared" si="156"/>
        <v>4.4325400084576977E-4</v>
      </c>
      <c r="BP110" s="165">
        <f t="shared" si="157"/>
        <v>5.9714616559024042E-5</v>
      </c>
      <c r="BQ110" s="820"/>
      <c r="BR110" s="162">
        <f t="shared" si="158"/>
        <v>22000</v>
      </c>
      <c r="BS110" s="163">
        <f t="shared" si="159"/>
        <v>3142.8571428571427</v>
      </c>
      <c r="BT110" s="164">
        <f t="shared" si="160"/>
        <v>7.0931085665651681</v>
      </c>
      <c r="BU110" s="164">
        <f t="shared" si="161"/>
        <v>6.1821728699362017</v>
      </c>
      <c r="BV110" s="165">
        <f t="shared" si="162"/>
        <v>4.4325820025172105E-4</v>
      </c>
      <c r="BW110" s="165">
        <f t="shared" si="163"/>
        <v>6.7669446067584446E-5</v>
      </c>
    </row>
    <row r="111" spans="1:75" s="297" customFormat="1" ht="11.25" outlineLevel="1">
      <c r="A111" s="65" t="s">
        <v>420</v>
      </c>
      <c r="B111" s="805"/>
      <c r="C111" s="821">
        <v>24455</v>
      </c>
      <c r="D111" s="825">
        <f t="shared" si="129"/>
        <v>127.89201740440132</v>
      </c>
      <c r="E111" s="825">
        <f t="shared" si="130"/>
        <v>149.83253281220655</v>
      </c>
      <c r="F111" s="823">
        <f t="shared" si="92"/>
        <v>1.6547441185704883</v>
      </c>
      <c r="G111" s="808"/>
      <c r="H111" s="821">
        <v>15749.42</v>
      </c>
      <c r="I111" s="825">
        <f t="shared" si="131"/>
        <v>65.334024724135077</v>
      </c>
      <c r="J111" s="825">
        <f t="shared" si="132"/>
        <v>65.213396442902635</v>
      </c>
      <c r="K111" s="824">
        <f t="shared" si="93"/>
        <v>-1.1007037774748916</v>
      </c>
      <c r="L111" s="805"/>
      <c r="M111" s="825">
        <v>13753.44</v>
      </c>
      <c r="N111" s="825">
        <f t="shared" si="133"/>
        <v>40.030148696781367</v>
      </c>
      <c r="O111" s="825">
        <f t="shared" si="134"/>
        <v>41.596381324357615</v>
      </c>
      <c r="P111" s="824">
        <f t="shared" si="94"/>
        <v>2.1451174018587782E-3</v>
      </c>
      <c r="Q111" s="808"/>
      <c r="R111" s="825">
        <v>18676.52</v>
      </c>
      <c r="S111" s="825">
        <f t="shared" si="135"/>
        <v>38.804563502369639</v>
      </c>
      <c r="T111" s="825">
        <f t="shared" si="136"/>
        <v>27.568247447210918</v>
      </c>
      <c r="U111" s="824">
        <f t="shared" si="95"/>
        <v>1.2742323186622207E-3</v>
      </c>
      <c r="V111" s="805"/>
      <c r="W111" s="825">
        <v>12545.04</v>
      </c>
      <c r="X111" s="825">
        <f t="shared" si="137"/>
        <v>25.004813585672856</v>
      </c>
      <c r="Y111" s="825">
        <f t="shared" si="138"/>
        <v>21.276851232798371</v>
      </c>
      <c r="Z111" s="824">
        <f t="shared" si="96"/>
        <v>2.1787419087827362E-3</v>
      </c>
      <c r="AA111" s="808"/>
      <c r="AB111" s="825">
        <v>22523.919999999998</v>
      </c>
      <c r="AC111" s="825">
        <f t="shared" si="139"/>
        <v>50.180837909792693</v>
      </c>
      <c r="AD111" s="825">
        <f t="shared" si="140"/>
        <v>44.872549871183203</v>
      </c>
      <c r="AE111" s="824">
        <f t="shared" si="97"/>
        <v>3.349423456282846E-3</v>
      </c>
      <c r="AF111" s="805"/>
      <c r="AG111" s="825">
        <v>19396.080000000002</v>
      </c>
      <c r="AH111" s="825">
        <f t="shared" si="141"/>
        <v>38.673047015193212</v>
      </c>
      <c r="AI111" s="825">
        <f t="shared" si="142"/>
        <v>40.423090209122357</v>
      </c>
      <c r="AJ111" s="824">
        <f t="shared" si="98"/>
        <v>3.5706906789825708E-3</v>
      </c>
      <c r="AK111" s="808"/>
      <c r="AL111" s="825">
        <v>24250.12</v>
      </c>
      <c r="AM111" s="825">
        <f t="shared" si="143"/>
        <v>55.444306755255177</v>
      </c>
      <c r="AN111" s="825">
        <f t="shared" si="144"/>
        <v>44.673556738083818</v>
      </c>
      <c r="AO111" s="824">
        <f t="shared" si="99"/>
        <v>3.8890778205127484E-3</v>
      </c>
      <c r="AP111" s="805"/>
      <c r="AQ111" s="825">
        <v>2624.4</v>
      </c>
      <c r="AR111" s="825">
        <f t="shared" si="145"/>
        <v>6.7583088261803352</v>
      </c>
      <c r="AS111" s="825">
        <f t="shared" si="146"/>
        <v>6.0151961402262231</v>
      </c>
      <c r="AT111" s="824">
        <f t="shared" si="100"/>
        <v>5.9459301795818185E-4</v>
      </c>
      <c r="AU111" s="808"/>
      <c r="AV111" s="825"/>
      <c r="AW111" s="825">
        <f t="shared" si="147"/>
        <v>0</v>
      </c>
      <c r="AX111" s="825">
        <f t="shared" si="148"/>
        <v>0</v>
      </c>
      <c r="AY111" s="824">
        <f t="shared" si="101"/>
        <v>0</v>
      </c>
      <c r="AZ111" s="805"/>
      <c r="BA111" s="825"/>
      <c r="BB111" s="825">
        <f t="shared" si="149"/>
        <v>0</v>
      </c>
      <c r="BC111" s="825">
        <f t="shared" si="150"/>
        <v>0</v>
      </c>
      <c r="BD111" s="824">
        <f t="shared" si="102"/>
        <v>0</v>
      </c>
      <c r="BE111" s="808"/>
      <c r="BF111" s="825"/>
      <c r="BG111" s="825">
        <f t="shared" si="151"/>
        <v>0</v>
      </c>
      <c r="BH111" s="825">
        <f t="shared" si="152"/>
        <v>0</v>
      </c>
      <c r="BI111" s="824">
        <f t="shared" si="103"/>
        <v>0</v>
      </c>
      <c r="BJ111" s="811"/>
      <c r="BK111" s="825">
        <f t="shared" si="153"/>
        <v>153973.94</v>
      </c>
      <c r="BL111" s="349">
        <f t="shared" si="128"/>
        <v>17108.215555555555</v>
      </c>
      <c r="BM111" s="852">
        <f t="shared" si="154"/>
        <v>43.57081321346336</v>
      </c>
      <c r="BN111" s="852">
        <f t="shared" si="155"/>
        <v>38.849533152877576</v>
      </c>
      <c r="BO111" s="853">
        <f t="shared" si="156"/>
        <v>3.1022529514084774E-3</v>
      </c>
      <c r="BP111" s="853">
        <f t="shared" si="157"/>
        <v>4.1793158123555336E-4</v>
      </c>
      <c r="BQ111" s="814"/>
      <c r="BR111" s="825">
        <f t="shared" si="158"/>
        <v>113769.51999999999</v>
      </c>
      <c r="BS111" s="349">
        <f t="shared" si="159"/>
        <v>16252.788571428569</v>
      </c>
      <c r="BT111" s="852">
        <f t="shared" si="160"/>
        <v>36.680888951182141</v>
      </c>
      <c r="BU111" s="852">
        <f t="shared" si="161"/>
        <v>31.970129089530182</v>
      </c>
      <c r="BV111" s="853">
        <f t="shared" si="162"/>
        <v>2.2922396672137354E-3</v>
      </c>
      <c r="BW111" s="853">
        <f t="shared" si="163"/>
        <v>3.4994183626249864E-4</v>
      </c>
    </row>
    <row r="112" spans="1:75" s="297" customFormat="1" ht="11.25" outlineLevel="1">
      <c r="A112" s="65" t="s">
        <v>151</v>
      </c>
      <c r="B112" s="805"/>
      <c r="C112" s="821"/>
      <c r="D112" s="825">
        <f t="shared" si="129"/>
        <v>0</v>
      </c>
      <c r="E112" s="825">
        <f t="shared" si="130"/>
        <v>0</v>
      </c>
      <c r="F112" s="823">
        <f t="shared" ref="F112:F143" si="164">IF(C112=0,0,C112/C$151)</f>
        <v>0</v>
      </c>
      <c r="G112" s="808"/>
      <c r="H112" s="821"/>
      <c r="I112" s="825">
        <f t="shared" si="131"/>
        <v>0</v>
      </c>
      <c r="J112" s="825">
        <f t="shared" si="132"/>
        <v>0</v>
      </c>
      <c r="K112" s="824">
        <f t="shared" ref="K112:K143" si="165">IF(H112=0,0,H112/H$151)</f>
        <v>0</v>
      </c>
      <c r="L112" s="805"/>
      <c r="M112" s="825"/>
      <c r="N112" s="825">
        <f t="shared" si="133"/>
        <v>0</v>
      </c>
      <c r="O112" s="825">
        <f t="shared" si="134"/>
        <v>0</v>
      </c>
      <c r="P112" s="824">
        <f t="shared" ref="P112:P143" si="166">IF(M112=0,0,M112/M$151)</f>
        <v>0</v>
      </c>
      <c r="Q112" s="808"/>
      <c r="R112" s="825"/>
      <c r="S112" s="825">
        <f t="shared" si="135"/>
        <v>0</v>
      </c>
      <c r="T112" s="825">
        <f t="shared" si="136"/>
        <v>0</v>
      </c>
      <c r="U112" s="824">
        <f t="shared" ref="U112:U143" si="167">IF(R112=0,0,R112/R$151)</f>
        <v>0</v>
      </c>
      <c r="V112" s="805"/>
      <c r="W112" s="825">
        <v>22060</v>
      </c>
      <c r="X112" s="825">
        <f t="shared" si="137"/>
        <v>43.970062088278972</v>
      </c>
      <c r="Y112" s="825">
        <f t="shared" si="138"/>
        <v>37.414574859508775</v>
      </c>
      <c r="Z112" s="824">
        <f t="shared" ref="Z112:Z143" si="168">IF(W112=0,0,W112/W$151)</f>
        <v>3.8312390002540569E-3</v>
      </c>
      <c r="AA112" s="808"/>
      <c r="AB112" s="825">
        <v>12720</v>
      </c>
      <c r="AC112" s="825">
        <f t="shared" si="139"/>
        <v>28.338773100444463</v>
      </c>
      <c r="AD112" s="825">
        <f t="shared" si="140"/>
        <v>25.34100788679104</v>
      </c>
      <c r="AE112" s="824">
        <f t="shared" ref="AE112:AE143" si="169">IF(AB112=0,0,AB112/AB$151)</f>
        <v>1.8915298209156222E-3</v>
      </c>
      <c r="AF112" s="805"/>
      <c r="AG112" s="825">
        <v>35884.519999999997</v>
      </c>
      <c r="AH112" s="825">
        <f t="shared" si="141"/>
        <v>71.54867009610399</v>
      </c>
      <c r="AI112" s="825">
        <f t="shared" si="142"/>
        <v>74.78640988648506</v>
      </c>
      <c r="AJ112" s="824">
        <f t="shared" ref="AJ112:AJ143" si="170">IF(AG112=0,0,AG112/AG$151)</f>
        <v>6.6061039696559106E-3</v>
      </c>
      <c r="AK112" s="808"/>
      <c r="AL112" s="825">
        <v>12720</v>
      </c>
      <c r="AM112" s="825">
        <f t="shared" si="143"/>
        <v>29.082395548015676</v>
      </c>
      <c r="AN112" s="825">
        <f t="shared" si="144"/>
        <v>23.432776485577236</v>
      </c>
      <c r="AO112" s="824">
        <f t="shared" ref="AO112:AO143" si="171">IF(AL112=0,0,AL112/AL$151)</f>
        <v>2.0399515498035542E-3</v>
      </c>
      <c r="AP112" s="805"/>
      <c r="AQ112" s="825">
        <v>31729.040000000001</v>
      </c>
      <c r="AR112" s="825">
        <f t="shared" si="145"/>
        <v>81.708067016548114</v>
      </c>
      <c r="AS112" s="825">
        <f t="shared" si="146"/>
        <v>72.723822184531102</v>
      </c>
      <c r="AT112" s="824">
        <f t="shared" ref="AT112:AT143" si="172">IF(AQ112=0,0,AQ112/AQ$151)</f>
        <v>7.1886395559045378E-3</v>
      </c>
      <c r="AU112" s="808"/>
      <c r="AV112" s="825"/>
      <c r="AW112" s="825">
        <f t="shared" si="147"/>
        <v>0</v>
      </c>
      <c r="AX112" s="825">
        <f t="shared" si="148"/>
        <v>0</v>
      </c>
      <c r="AY112" s="824">
        <f t="shared" ref="AY112:AY143" si="173">IF(AV112=0,0,AV112/AV$151)</f>
        <v>0</v>
      </c>
      <c r="AZ112" s="805"/>
      <c r="BA112" s="825"/>
      <c r="BB112" s="825">
        <f t="shared" si="149"/>
        <v>0</v>
      </c>
      <c r="BC112" s="825">
        <f t="shared" si="150"/>
        <v>0</v>
      </c>
      <c r="BD112" s="824">
        <f t="shared" ref="BD112:BD143" si="174">IF(BA112=0,0,BA112/BA$151)</f>
        <v>0</v>
      </c>
      <c r="BE112" s="808"/>
      <c r="BF112" s="825"/>
      <c r="BG112" s="825">
        <f t="shared" si="151"/>
        <v>0</v>
      </c>
      <c r="BH112" s="825">
        <f t="shared" si="152"/>
        <v>0</v>
      </c>
      <c r="BI112" s="824">
        <f t="shared" ref="BI112:BI143" si="175">IF(BF112=0,0,BF112/BF$151)</f>
        <v>0</v>
      </c>
      <c r="BJ112" s="811"/>
      <c r="BK112" s="825">
        <f t="shared" si="153"/>
        <v>115113.56</v>
      </c>
      <c r="BL112" s="349">
        <f t="shared" si="128"/>
        <v>12790.395555555555</v>
      </c>
      <c r="BM112" s="852">
        <f t="shared" si="154"/>
        <v>32.574287708016094</v>
      </c>
      <c r="BN112" s="852">
        <f t="shared" si="155"/>
        <v>29.044577709486177</v>
      </c>
      <c r="BO112" s="853">
        <f t="shared" si="156"/>
        <v>2.3192975464363442E-3</v>
      </c>
      <c r="BP112" s="853">
        <f t="shared" si="157"/>
        <v>3.1245282255200942E-4</v>
      </c>
      <c r="BQ112" s="814"/>
      <c r="BR112" s="825">
        <f t="shared" si="158"/>
        <v>115113.56</v>
      </c>
      <c r="BS112" s="349">
        <f t="shared" si="159"/>
        <v>16444.794285714284</v>
      </c>
      <c r="BT112" s="852">
        <f t="shared" si="160"/>
        <v>37.114226298355156</v>
      </c>
      <c r="BU112" s="852">
        <f t="shared" si="161"/>
        <v>32.347814890626047</v>
      </c>
      <c r="BV112" s="853">
        <f t="shared" si="162"/>
        <v>2.3193195195531139E-3</v>
      </c>
      <c r="BW112" s="853">
        <f t="shared" si="163"/>
        <v>3.540759472758021E-4</v>
      </c>
    </row>
    <row r="113" spans="1:75" s="297" customFormat="1" ht="11.25" outlineLevel="1">
      <c r="A113" s="65" t="s">
        <v>43</v>
      </c>
      <c r="B113" s="805"/>
      <c r="C113" s="821">
        <f>SUM(C114:C116)</f>
        <v>3960</v>
      </c>
      <c r="D113" s="822">
        <f t="shared" si="129"/>
        <v>20.709564053217306</v>
      </c>
      <c r="E113" s="822">
        <f t="shared" si="130"/>
        <v>24.26239337298458</v>
      </c>
      <c r="F113" s="823">
        <f t="shared" si="164"/>
        <v>0.26795284030010769</v>
      </c>
      <c r="G113" s="808"/>
      <c r="H113" s="821">
        <f>SUM(H114:H116)</f>
        <v>6190</v>
      </c>
      <c r="I113" s="822">
        <f t="shared" si="131"/>
        <v>25.678254376503773</v>
      </c>
      <c r="J113" s="822">
        <f t="shared" si="132"/>
        <v>25.630843801331565</v>
      </c>
      <c r="K113" s="824">
        <f t="shared" si="165"/>
        <v>-0.43260998707060827</v>
      </c>
      <c r="L113" s="805"/>
      <c r="M113" s="825">
        <f>SUM(M114:M116)</f>
        <v>13945</v>
      </c>
      <c r="N113" s="822">
        <f t="shared" si="133"/>
        <v>40.587694684138384</v>
      </c>
      <c r="O113" s="822">
        <f t="shared" si="134"/>
        <v>42.175742037495127</v>
      </c>
      <c r="P113" s="824">
        <f t="shared" si="166"/>
        <v>2.1749949226463096E-3</v>
      </c>
      <c r="Q113" s="808"/>
      <c r="R113" s="825">
        <f>SUM(R114:R116)</f>
        <v>11780</v>
      </c>
      <c r="S113" s="822">
        <f t="shared" si="135"/>
        <v>24.475531740276793</v>
      </c>
      <c r="T113" s="822">
        <f t="shared" si="136"/>
        <v>17.38835473247396</v>
      </c>
      <c r="U113" s="824">
        <f t="shared" si="167"/>
        <v>8.0370736699561583E-4</v>
      </c>
      <c r="V113" s="805"/>
      <c r="W113" s="825">
        <f>SUM(W114:W116)</f>
        <v>28025</v>
      </c>
      <c r="X113" s="822">
        <f t="shared" si="137"/>
        <v>55.859519040073351</v>
      </c>
      <c r="Y113" s="822">
        <f t="shared" si="138"/>
        <v>47.531435196633431</v>
      </c>
      <c r="Z113" s="824">
        <f t="shared" si="168"/>
        <v>4.8672018577570241E-3</v>
      </c>
      <c r="AA113" s="808"/>
      <c r="AB113" s="825">
        <f>SUM(AB114:AB116)</f>
        <v>13175</v>
      </c>
      <c r="AC113" s="822">
        <f t="shared" si="139"/>
        <v>29.352463490436776</v>
      </c>
      <c r="AD113" s="822">
        <f t="shared" si="140"/>
        <v>26.24746689532012</v>
      </c>
      <c r="AE113" s="824">
        <f t="shared" si="169"/>
        <v>1.959190675358752E-3</v>
      </c>
      <c r="AF113" s="805"/>
      <c r="AG113" s="825">
        <f>SUM(AG114:AG116)</f>
        <v>16608</v>
      </c>
      <c r="AH113" s="822">
        <f t="shared" si="141"/>
        <v>33.114008852733576</v>
      </c>
      <c r="AI113" s="822">
        <f t="shared" si="142"/>
        <v>34.612492946672944</v>
      </c>
      <c r="AJ113" s="824">
        <f t="shared" si="170"/>
        <v>3.0574234998279309E-3</v>
      </c>
      <c r="AK113" s="808"/>
      <c r="AL113" s="825">
        <f>SUM(AL114:AL116)</f>
        <v>14576</v>
      </c>
      <c r="AM113" s="822">
        <f t="shared" si="143"/>
        <v>33.325864583952558</v>
      </c>
      <c r="AN113" s="822">
        <f t="shared" si="144"/>
        <v>26.851898589133157</v>
      </c>
      <c r="AO113" s="824">
        <f t="shared" si="171"/>
        <v>2.3376048576994185E-3</v>
      </c>
      <c r="AP113" s="805"/>
      <c r="AQ113" s="825">
        <f>SUM(AQ114:AQ116)</f>
        <v>14164</v>
      </c>
      <c r="AR113" s="822">
        <f t="shared" si="145"/>
        <v>36.474884245548793</v>
      </c>
      <c r="AS113" s="822">
        <f t="shared" si="146"/>
        <v>32.464273026278093</v>
      </c>
      <c r="AT113" s="824">
        <f t="shared" si="172"/>
        <v>3.2090441648985244E-3</v>
      </c>
      <c r="AU113" s="808"/>
      <c r="AV113" s="825">
        <f>SUM(AV114:AV116)</f>
        <v>0</v>
      </c>
      <c r="AW113" s="822">
        <f t="shared" si="147"/>
        <v>0</v>
      </c>
      <c r="AX113" s="822">
        <f t="shared" si="148"/>
        <v>0</v>
      </c>
      <c r="AY113" s="824">
        <f t="shared" si="173"/>
        <v>0</v>
      </c>
      <c r="AZ113" s="805"/>
      <c r="BA113" s="825">
        <f>SUM(BA114:BA116)</f>
        <v>0</v>
      </c>
      <c r="BB113" s="822">
        <f t="shared" si="149"/>
        <v>0</v>
      </c>
      <c r="BC113" s="822">
        <f t="shared" si="150"/>
        <v>0</v>
      </c>
      <c r="BD113" s="824">
        <f t="shared" si="174"/>
        <v>0</v>
      </c>
      <c r="BE113" s="808"/>
      <c r="BF113" s="825">
        <f>SUM(BF114:BF116)</f>
        <v>0</v>
      </c>
      <c r="BG113" s="822">
        <f t="shared" si="151"/>
        <v>0</v>
      </c>
      <c r="BH113" s="822">
        <f t="shared" si="152"/>
        <v>0</v>
      </c>
      <c r="BI113" s="824">
        <f t="shared" si="175"/>
        <v>0</v>
      </c>
      <c r="BJ113" s="811"/>
      <c r="BK113" s="825">
        <f t="shared" si="153"/>
        <v>122423</v>
      </c>
      <c r="BL113" s="349">
        <f t="shared" si="128"/>
        <v>13602.555555555555</v>
      </c>
      <c r="BM113" s="852">
        <f t="shared" si="154"/>
        <v>34.642678274205522</v>
      </c>
      <c r="BN113" s="852">
        <f t="shared" si="155"/>
        <v>30.888840002241494</v>
      </c>
      <c r="BO113" s="853">
        <f t="shared" si="156"/>
        <v>2.4665674793428035E-3</v>
      </c>
      <c r="BP113" s="853">
        <f t="shared" si="157"/>
        <v>3.3229284104570003E-4</v>
      </c>
      <c r="BQ113" s="814"/>
      <c r="BR113" s="825">
        <f t="shared" si="158"/>
        <v>112273</v>
      </c>
      <c r="BS113" s="349">
        <f t="shared" si="159"/>
        <v>16039</v>
      </c>
      <c r="BT113" s="852">
        <f t="shared" si="160"/>
        <v>36.19838991336232</v>
      </c>
      <c r="BU113" s="852">
        <f t="shared" si="161"/>
        <v>31.549595210288508</v>
      </c>
      <c r="BV113" s="853">
        <f t="shared" si="162"/>
        <v>2.2620876325846126E-3</v>
      </c>
      <c r="BW113" s="853">
        <f t="shared" si="163"/>
        <v>3.4533871447026859E-4</v>
      </c>
    </row>
    <row r="114" spans="1:75" s="297" customFormat="1" ht="11.25" outlineLevel="2">
      <c r="A114" s="72" t="s">
        <v>421</v>
      </c>
      <c r="B114" s="854"/>
      <c r="C114" s="306">
        <v>3960</v>
      </c>
      <c r="D114" s="816">
        <f t="shared" si="129"/>
        <v>20.709564053217306</v>
      </c>
      <c r="E114" s="816">
        <f t="shared" si="130"/>
        <v>24.26239337298458</v>
      </c>
      <c r="F114" s="817">
        <f t="shared" si="164"/>
        <v>0.26795284030010769</v>
      </c>
      <c r="G114" s="463"/>
      <c r="H114" s="306">
        <v>3740</v>
      </c>
      <c r="I114" s="816">
        <f t="shared" si="131"/>
        <v>15.514809590973202</v>
      </c>
      <c r="J114" s="816">
        <f t="shared" si="132"/>
        <v>15.48616410613571</v>
      </c>
      <c r="K114" s="818">
        <f t="shared" si="165"/>
        <v>-0.26138309396511711</v>
      </c>
      <c r="L114" s="854"/>
      <c r="M114" s="162">
        <v>7450</v>
      </c>
      <c r="N114" s="816">
        <f t="shared" si="133"/>
        <v>21.683637532938757</v>
      </c>
      <c r="O114" s="816">
        <f t="shared" si="134"/>
        <v>22.532038592996681</v>
      </c>
      <c r="P114" s="818">
        <f t="shared" si="166"/>
        <v>1.1619729059673724E-3</v>
      </c>
      <c r="Q114" s="463"/>
      <c r="R114" s="162">
        <v>10250</v>
      </c>
      <c r="S114" s="816">
        <f t="shared" si="135"/>
        <v>21.296621420869027</v>
      </c>
      <c r="T114" s="816">
        <f t="shared" si="136"/>
        <v>15.129935144979466</v>
      </c>
      <c r="U114" s="818">
        <f t="shared" si="167"/>
        <v>6.9932092629075235E-4</v>
      </c>
      <c r="V114" s="854"/>
      <c r="W114" s="162">
        <v>8250</v>
      </c>
      <c r="X114" s="816">
        <f t="shared" si="137"/>
        <v>16.443926211618379</v>
      </c>
      <c r="Y114" s="816">
        <f t="shared" si="138"/>
        <v>13.992304741203419</v>
      </c>
      <c r="Z114" s="818">
        <f t="shared" si="168"/>
        <v>1.4328069697232986E-3</v>
      </c>
      <c r="AA114" s="463"/>
      <c r="AB114" s="162">
        <v>10780</v>
      </c>
      <c r="AC114" s="816">
        <f t="shared" si="139"/>
        <v>24.016664624433279</v>
      </c>
      <c r="AD114" s="816">
        <f t="shared" si="140"/>
        <v>21.476105740535175</v>
      </c>
      <c r="AE114" s="818">
        <f t="shared" si="169"/>
        <v>1.6030417821910699E-3</v>
      </c>
      <c r="AF114" s="854"/>
      <c r="AG114" s="162">
        <v>11770</v>
      </c>
      <c r="AH114" s="816">
        <f t="shared" si="141"/>
        <v>23.467719424173545</v>
      </c>
      <c r="AI114" s="816">
        <f t="shared" si="142"/>
        <v>24.52968701724112</v>
      </c>
      <c r="AJ114" s="818">
        <f t="shared" si="170"/>
        <v>2.1667795395577277E-3</v>
      </c>
      <c r="AK114" s="463"/>
      <c r="AL114" s="162">
        <v>11880</v>
      </c>
      <c r="AM114" s="816">
        <f t="shared" si="143"/>
        <v>27.161859992958036</v>
      </c>
      <c r="AN114" s="816">
        <f t="shared" si="144"/>
        <v>21.885328981812698</v>
      </c>
      <c r="AO114" s="818">
        <f t="shared" si="171"/>
        <v>1.9052377682127533E-3</v>
      </c>
      <c r="AP114" s="854"/>
      <c r="AQ114" s="162">
        <v>7260</v>
      </c>
      <c r="AR114" s="816">
        <f t="shared" si="145"/>
        <v>18.695824599172852</v>
      </c>
      <c r="AS114" s="816">
        <f t="shared" si="146"/>
        <v>16.640117351791794</v>
      </c>
      <c r="AT114" s="818">
        <f t="shared" si="172"/>
        <v>1.6448503697517147E-3</v>
      </c>
      <c r="AU114" s="463"/>
      <c r="AV114" s="162"/>
      <c r="AW114" s="816">
        <f t="shared" si="147"/>
        <v>0</v>
      </c>
      <c r="AX114" s="816">
        <f t="shared" si="148"/>
        <v>0</v>
      </c>
      <c r="AY114" s="818">
        <f t="shared" si="173"/>
        <v>0</v>
      </c>
      <c r="AZ114" s="854"/>
      <c r="BA114" s="162"/>
      <c r="BB114" s="816">
        <f t="shared" si="149"/>
        <v>0</v>
      </c>
      <c r="BC114" s="816">
        <f t="shared" si="150"/>
        <v>0</v>
      </c>
      <c r="BD114" s="818">
        <f t="shared" si="174"/>
        <v>0</v>
      </c>
      <c r="BE114" s="463"/>
      <c r="BF114" s="162"/>
      <c r="BG114" s="816">
        <f t="shared" si="151"/>
        <v>0</v>
      </c>
      <c r="BH114" s="816">
        <f t="shared" si="152"/>
        <v>0</v>
      </c>
      <c r="BI114" s="818">
        <f t="shared" si="175"/>
        <v>0</v>
      </c>
      <c r="BJ114" s="860"/>
      <c r="BK114" s="162">
        <f t="shared" si="153"/>
        <v>75340</v>
      </c>
      <c r="BL114" s="163">
        <f t="shared" si="128"/>
        <v>8371.1111111111113</v>
      </c>
      <c r="BM114" s="164">
        <f t="shared" si="154"/>
        <v>21.319354869417054</v>
      </c>
      <c r="BN114" s="164">
        <f t="shared" si="155"/>
        <v>19.009215635696513</v>
      </c>
      <c r="BO114" s="165">
        <f t="shared" si="156"/>
        <v>1.5179434738054681E-3</v>
      </c>
      <c r="BP114" s="165">
        <f t="shared" si="157"/>
        <v>2.044954187071305E-4</v>
      </c>
      <c r="BQ114" s="861"/>
      <c r="BR114" s="162">
        <f t="shared" si="158"/>
        <v>67640</v>
      </c>
      <c r="BS114" s="163">
        <f t="shared" si="159"/>
        <v>9662.8571428571431</v>
      </c>
      <c r="BT114" s="164">
        <f t="shared" si="160"/>
        <v>21.808084701930358</v>
      </c>
      <c r="BU114" s="164">
        <f t="shared" si="161"/>
        <v>19.007371496476573</v>
      </c>
      <c r="BV114" s="165">
        <f t="shared" si="162"/>
        <v>1.3628174847739277E-3</v>
      </c>
      <c r="BW114" s="165">
        <f t="shared" si="163"/>
        <v>2.0805278781870057E-4</v>
      </c>
    </row>
    <row r="115" spans="1:75" s="297" customFormat="1" ht="11.25" outlineLevel="2">
      <c r="A115" s="72" t="s">
        <v>422</v>
      </c>
      <c r="B115" s="854"/>
      <c r="C115" s="306"/>
      <c r="D115" s="816">
        <f t="shared" si="129"/>
        <v>0</v>
      </c>
      <c r="E115" s="816">
        <f t="shared" si="130"/>
        <v>0</v>
      </c>
      <c r="F115" s="817">
        <f t="shared" si="164"/>
        <v>0</v>
      </c>
      <c r="G115" s="463"/>
      <c r="H115" s="306">
        <v>2450</v>
      </c>
      <c r="I115" s="816">
        <f t="shared" si="131"/>
        <v>10.163444785530574</v>
      </c>
      <c r="J115" s="816">
        <f t="shared" si="132"/>
        <v>10.144679695195853</v>
      </c>
      <c r="K115" s="818">
        <f t="shared" si="165"/>
        <v>-0.17122689310549116</v>
      </c>
      <c r="L115" s="854"/>
      <c r="M115" s="162">
        <v>6205</v>
      </c>
      <c r="N115" s="816">
        <f t="shared" si="133"/>
        <v>18.059996092870467</v>
      </c>
      <c r="O115" s="816">
        <f t="shared" si="134"/>
        <v>18.766617378462339</v>
      </c>
      <c r="P115" s="818">
        <f t="shared" si="166"/>
        <v>9.6779085658087855E-4</v>
      </c>
      <c r="Q115" s="463"/>
      <c r="R115" s="162">
        <v>1240</v>
      </c>
      <c r="S115" s="816">
        <f t="shared" si="135"/>
        <v>2.5763717621343996</v>
      </c>
      <c r="T115" s="816">
        <f t="shared" si="136"/>
        <v>1.8303531297341014</v>
      </c>
      <c r="U115" s="818">
        <f t="shared" si="167"/>
        <v>8.4600775473222715E-5</v>
      </c>
      <c r="V115" s="854"/>
      <c r="W115" s="162">
        <v>19485</v>
      </c>
      <c r="X115" s="816">
        <f t="shared" si="137"/>
        <v>38.83756390707687</v>
      </c>
      <c r="Y115" s="816">
        <f t="shared" si="138"/>
        <v>33.047279743314988</v>
      </c>
      <c r="Z115" s="818">
        <f t="shared" si="168"/>
        <v>3.3840295521283003E-3</v>
      </c>
      <c r="AA115" s="463"/>
      <c r="AB115" s="162">
        <v>2395</v>
      </c>
      <c r="AC115" s="816">
        <f t="shared" si="139"/>
        <v>5.3357988660034978</v>
      </c>
      <c r="AD115" s="816">
        <f t="shared" si="140"/>
        <v>4.7713611547849482</v>
      </c>
      <c r="AE115" s="818">
        <f t="shared" si="169"/>
        <v>3.5614889316768205E-4</v>
      </c>
      <c r="AF115" s="854"/>
      <c r="AG115" s="162">
        <v>4838</v>
      </c>
      <c r="AH115" s="816">
        <f t="shared" si="141"/>
        <v>9.6462894285600349</v>
      </c>
      <c r="AI115" s="816">
        <f t="shared" si="142"/>
        <v>10.082805929431821</v>
      </c>
      <c r="AJ115" s="818">
        <f t="shared" si="170"/>
        <v>8.9064396027020286E-4</v>
      </c>
      <c r="AK115" s="463"/>
      <c r="AL115" s="162">
        <v>2696</v>
      </c>
      <c r="AM115" s="816">
        <f t="shared" si="143"/>
        <v>6.1640045909945167</v>
      </c>
      <c r="AN115" s="816">
        <f t="shared" si="144"/>
        <v>4.9665696073204586</v>
      </c>
      <c r="AO115" s="818">
        <f t="shared" si="171"/>
        <v>4.3236708948666522E-4</v>
      </c>
      <c r="AP115" s="854"/>
      <c r="AQ115" s="162">
        <v>6904</v>
      </c>
      <c r="AR115" s="816">
        <f t="shared" si="145"/>
        <v>17.779059646375945</v>
      </c>
      <c r="AS115" s="816">
        <f t="shared" si="146"/>
        <v>15.824155674486299</v>
      </c>
      <c r="AT115" s="818">
        <f t="shared" si="172"/>
        <v>1.5641937951468097E-3</v>
      </c>
      <c r="AU115" s="463"/>
      <c r="AV115" s="162"/>
      <c r="AW115" s="816">
        <f t="shared" si="147"/>
        <v>0</v>
      </c>
      <c r="AX115" s="816">
        <f t="shared" si="148"/>
        <v>0</v>
      </c>
      <c r="AY115" s="818">
        <f t="shared" si="173"/>
        <v>0</v>
      </c>
      <c r="AZ115" s="854"/>
      <c r="BA115" s="162"/>
      <c r="BB115" s="816">
        <f t="shared" si="149"/>
        <v>0</v>
      </c>
      <c r="BC115" s="816">
        <f t="shared" si="150"/>
        <v>0</v>
      </c>
      <c r="BD115" s="818">
        <f t="shared" si="174"/>
        <v>0</v>
      </c>
      <c r="BE115" s="463"/>
      <c r="BF115" s="162"/>
      <c r="BG115" s="816">
        <f t="shared" si="151"/>
        <v>0</v>
      </c>
      <c r="BH115" s="816">
        <f t="shared" si="152"/>
        <v>0</v>
      </c>
      <c r="BI115" s="818">
        <f t="shared" si="175"/>
        <v>0</v>
      </c>
      <c r="BJ115" s="860"/>
      <c r="BK115" s="162">
        <f t="shared" si="153"/>
        <v>46213</v>
      </c>
      <c r="BL115" s="163">
        <f t="shared" si="128"/>
        <v>5134.7777777777774</v>
      </c>
      <c r="BM115" s="164">
        <f t="shared" si="154"/>
        <v>13.077134942664859</v>
      </c>
      <c r="BN115" s="164">
        <f t="shared" si="155"/>
        <v>11.660112585246123</v>
      </c>
      <c r="BO115" s="165">
        <f t="shared" si="156"/>
        <v>9.3109532459479814E-4</v>
      </c>
      <c r="BP115" s="165">
        <f t="shared" si="157"/>
        <v>1.2543598068373536E-4</v>
      </c>
      <c r="BQ115" s="820"/>
      <c r="BR115" s="162">
        <f t="shared" si="158"/>
        <v>43763</v>
      </c>
      <c r="BS115" s="163">
        <f t="shared" si="159"/>
        <v>6251.8571428571431</v>
      </c>
      <c r="BT115" s="164">
        <f t="shared" si="160"/>
        <v>14.109805009026884</v>
      </c>
      <c r="BU115" s="164">
        <f t="shared" si="161"/>
        <v>12.297746877591727</v>
      </c>
      <c r="BV115" s="165">
        <f t="shared" si="162"/>
        <v>8.8174130080073037E-4</v>
      </c>
      <c r="BW115" s="165">
        <f t="shared" si="163"/>
        <v>1.3460990764798628E-4</v>
      </c>
    </row>
    <row r="116" spans="1:75" s="297" customFormat="1" ht="11.25" outlineLevel="2">
      <c r="A116" s="72" t="s">
        <v>423</v>
      </c>
      <c r="B116" s="854"/>
      <c r="C116" s="306"/>
      <c r="D116" s="816">
        <f t="shared" si="129"/>
        <v>0</v>
      </c>
      <c r="E116" s="816">
        <f t="shared" si="130"/>
        <v>0</v>
      </c>
      <c r="F116" s="817">
        <f t="shared" si="164"/>
        <v>0</v>
      </c>
      <c r="G116" s="463"/>
      <c r="H116" s="306"/>
      <c r="I116" s="816">
        <f t="shared" si="131"/>
        <v>0</v>
      </c>
      <c r="J116" s="816">
        <f t="shared" si="132"/>
        <v>0</v>
      </c>
      <c r="K116" s="818">
        <f t="shared" si="165"/>
        <v>0</v>
      </c>
      <c r="L116" s="854"/>
      <c r="M116" s="162">
        <v>290</v>
      </c>
      <c r="N116" s="816">
        <f t="shared" si="133"/>
        <v>0.84406105832915967</v>
      </c>
      <c r="O116" s="816">
        <f t="shared" si="134"/>
        <v>0.87708606603611239</v>
      </c>
      <c r="P116" s="818">
        <f t="shared" si="166"/>
        <v>4.5231160098058787E-5</v>
      </c>
      <c r="Q116" s="463"/>
      <c r="R116" s="162">
        <v>290</v>
      </c>
      <c r="S116" s="816">
        <f t="shared" si="135"/>
        <v>0.60253855727336758</v>
      </c>
      <c r="T116" s="816">
        <f t="shared" si="136"/>
        <v>0.42806645776039465</v>
      </c>
      <c r="U116" s="818">
        <f t="shared" si="167"/>
        <v>1.9785665231640797E-5</v>
      </c>
      <c r="V116" s="854"/>
      <c r="W116" s="162">
        <v>290</v>
      </c>
      <c r="X116" s="816">
        <f t="shared" si="137"/>
        <v>0.57802892137810069</v>
      </c>
      <c r="Y116" s="816">
        <f t="shared" si="138"/>
        <v>0.49185071211502923</v>
      </c>
      <c r="Z116" s="818">
        <f t="shared" si="168"/>
        <v>5.0365335905425047E-5</v>
      </c>
      <c r="AA116" s="463"/>
      <c r="AB116" s="162"/>
      <c r="AC116" s="816">
        <f t="shared" si="139"/>
        <v>0</v>
      </c>
      <c r="AD116" s="816">
        <f t="shared" si="140"/>
        <v>0</v>
      </c>
      <c r="AE116" s="818">
        <f t="shared" si="169"/>
        <v>0</v>
      </c>
      <c r="AF116" s="854"/>
      <c r="AG116" s="162"/>
      <c r="AH116" s="816">
        <f t="shared" si="141"/>
        <v>0</v>
      </c>
      <c r="AI116" s="816">
        <f t="shared" si="142"/>
        <v>0</v>
      </c>
      <c r="AJ116" s="818">
        <f t="shared" si="170"/>
        <v>0</v>
      </c>
      <c r="AK116" s="463"/>
      <c r="AL116" s="162"/>
      <c r="AM116" s="816">
        <f t="shared" si="143"/>
        <v>0</v>
      </c>
      <c r="AN116" s="816">
        <f t="shared" si="144"/>
        <v>0</v>
      </c>
      <c r="AO116" s="818">
        <f t="shared" si="171"/>
        <v>0</v>
      </c>
      <c r="AP116" s="854"/>
      <c r="AQ116" s="162"/>
      <c r="AR116" s="816">
        <f t="shared" si="145"/>
        <v>0</v>
      </c>
      <c r="AS116" s="816">
        <f t="shared" si="146"/>
        <v>0</v>
      </c>
      <c r="AT116" s="818">
        <f t="shared" si="172"/>
        <v>0</v>
      </c>
      <c r="AU116" s="463"/>
      <c r="AV116" s="162"/>
      <c r="AW116" s="816">
        <f t="shared" si="147"/>
        <v>0</v>
      </c>
      <c r="AX116" s="816">
        <f t="shared" si="148"/>
        <v>0</v>
      </c>
      <c r="AY116" s="818">
        <f t="shared" si="173"/>
        <v>0</v>
      </c>
      <c r="AZ116" s="854"/>
      <c r="BA116" s="162"/>
      <c r="BB116" s="816">
        <f t="shared" si="149"/>
        <v>0</v>
      </c>
      <c r="BC116" s="816">
        <f t="shared" si="150"/>
        <v>0</v>
      </c>
      <c r="BD116" s="818">
        <f t="shared" si="174"/>
        <v>0</v>
      </c>
      <c r="BE116" s="463"/>
      <c r="BF116" s="162"/>
      <c r="BG116" s="816">
        <f t="shared" si="151"/>
        <v>0</v>
      </c>
      <c r="BH116" s="816">
        <f t="shared" si="152"/>
        <v>0</v>
      </c>
      <c r="BI116" s="818">
        <f t="shared" si="175"/>
        <v>0</v>
      </c>
      <c r="BJ116" s="860"/>
      <c r="BK116" s="162">
        <f t="shared" si="153"/>
        <v>870</v>
      </c>
      <c r="BL116" s="163">
        <f t="shared" si="128"/>
        <v>96.666666666666671</v>
      </c>
      <c r="BM116" s="164">
        <f t="shared" si="154"/>
        <v>0.24618846212361081</v>
      </c>
      <c r="BN116" s="164">
        <f t="shared" si="155"/>
        <v>0.21951178129885804</v>
      </c>
      <c r="BO116" s="165">
        <f t="shared" si="156"/>
        <v>1.752868094253726E-5</v>
      </c>
      <c r="BP116" s="165">
        <f t="shared" si="157"/>
        <v>2.3614416548341327E-6</v>
      </c>
      <c r="BQ116" s="861"/>
      <c r="BR116" s="162">
        <f t="shared" si="158"/>
        <v>870</v>
      </c>
      <c r="BS116" s="163">
        <f t="shared" si="159"/>
        <v>124.28571428571429</v>
      </c>
      <c r="BT116" s="164">
        <f t="shared" si="160"/>
        <v>0.28050020240507706</v>
      </c>
      <c r="BU116" s="164">
        <f t="shared" si="161"/>
        <v>0.24447683622020433</v>
      </c>
      <c r="BV116" s="165">
        <f t="shared" si="162"/>
        <v>1.7528847009954422E-5</v>
      </c>
      <c r="BW116" s="165">
        <f t="shared" si="163"/>
        <v>2.6760190035817489E-6</v>
      </c>
    </row>
    <row r="117" spans="1:75" s="297" customFormat="1" ht="11.25" outlineLevel="1">
      <c r="A117" s="65" t="s">
        <v>48</v>
      </c>
      <c r="B117" s="805"/>
      <c r="C117" s="821">
        <f>SUM(C118:C120)</f>
        <v>9412</v>
      </c>
      <c r="D117" s="825">
        <f t="shared" si="129"/>
        <v>49.221822441636682</v>
      </c>
      <c r="E117" s="825">
        <f t="shared" si="130"/>
        <v>57.666072329932035</v>
      </c>
      <c r="F117" s="823">
        <f t="shared" si="164"/>
        <v>0.63686164972338721</v>
      </c>
      <c r="G117" s="808"/>
      <c r="H117" s="821">
        <f>SUM(H118:H120)</f>
        <v>11635.81</v>
      </c>
      <c r="I117" s="825">
        <f t="shared" si="131"/>
        <v>48.269352028540609</v>
      </c>
      <c r="J117" s="825">
        <f t="shared" si="132"/>
        <v>48.180230793533411</v>
      </c>
      <c r="K117" s="824">
        <f t="shared" si="165"/>
        <v>-0.81320963063910412</v>
      </c>
      <c r="L117" s="805"/>
      <c r="M117" s="825">
        <f>SUM(M118:M120)</f>
        <v>9903.7099999999991</v>
      </c>
      <c r="N117" s="825">
        <f t="shared" si="133"/>
        <v>28.825296358569243</v>
      </c>
      <c r="O117" s="825">
        <f t="shared" si="134"/>
        <v>29.953124286422437</v>
      </c>
      <c r="P117" s="824">
        <f t="shared" si="166"/>
        <v>1.5446768709473991E-3</v>
      </c>
      <c r="Q117" s="808"/>
      <c r="R117" s="825">
        <f>SUM(R118:R120)</f>
        <v>13027.339999999998</v>
      </c>
      <c r="S117" s="825">
        <f t="shared" si="135"/>
        <v>27.067153961067696</v>
      </c>
      <c r="T117" s="825">
        <f t="shared" si="136"/>
        <v>19.229542371863101</v>
      </c>
      <c r="U117" s="824">
        <f t="shared" si="167"/>
        <v>8.8880892447849445E-4</v>
      </c>
      <c r="V117" s="805"/>
      <c r="W117" s="825">
        <f>SUM(W118:W120)</f>
        <v>14724.03</v>
      </c>
      <c r="X117" s="825">
        <f t="shared" si="137"/>
        <v>29.347983376685502</v>
      </c>
      <c r="Y117" s="825">
        <f t="shared" si="138"/>
        <v>24.972498761045014</v>
      </c>
      <c r="Z117" s="824">
        <f t="shared" si="168"/>
        <v>2.5571748856260536E-3</v>
      </c>
      <c r="AA117" s="808"/>
      <c r="AB117" s="825">
        <f>SUM(AB118:AB120)</f>
        <v>10047.39</v>
      </c>
      <c r="AC117" s="825">
        <f t="shared" si="139"/>
        <v>22.384489423087633</v>
      </c>
      <c r="AD117" s="825">
        <f t="shared" si="140"/>
        <v>20.016587203747278</v>
      </c>
      <c r="AE117" s="824">
        <f t="shared" si="169"/>
        <v>1.4940988842271552E-3</v>
      </c>
      <c r="AF117" s="805"/>
      <c r="AG117" s="825">
        <f>SUM(AG118:AG120)</f>
        <v>9877.84</v>
      </c>
      <c r="AH117" s="825">
        <f t="shared" si="141"/>
        <v>19.695019340431472</v>
      </c>
      <c r="AI117" s="825">
        <f t="shared" si="142"/>
        <v>20.586263687883179</v>
      </c>
      <c r="AJ117" s="824">
        <f t="shared" si="170"/>
        <v>1.8184453361958289E-3</v>
      </c>
      <c r="AK117" s="808"/>
      <c r="AL117" s="825">
        <f>SUM(AL118:AL120)</f>
        <v>10063.66</v>
      </c>
      <c r="AM117" s="825">
        <f t="shared" si="143"/>
        <v>23.009067671442093</v>
      </c>
      <c r="AN117" s="825">
        <f t="shared" si="144"/>
        <v>18.539268506827373</v>
      </c>
      <c r="AO117" s="824">
        <f t="shared" si="171"/>
        <v>1.6139448752905687E-3</v>
      </c>
      <c r="AP117" s="805"/>
      <c r="AQ117" s="825">
        <f>SUM(AQ118:AQ120)</f>
        <v>16458.739999999998</v>
      </c>
      <c r="AR117" s="825">
        <f t="shared" si="145"/>
        <v>42.384258424709387</v>
      </c>
      <c r="AS117" s="825">
        <f t="shared" si="146"/>
        <v>37.723879485210695</v>
      </c>
      <c r="AT117" s="824">
        <f t="shared" si="172"/>
        <v>3.7289482885189164E-3</v>
      </c>
      <c r="AU117" s="808"/>
      <c r="AV117" s="825">
        <f>SUM(AV118:AV120)</f>
        <v>0</v>
      </c>
      <c r="AW117" s="825">
        <f t="shared" si="147"/>
        <v>0</v>
      </c>
      <c r="AX117" s="825">
        <f t="shared" si="148"/>
        <v>0</v>
      </c>
      <c r="AY117" s="824">
        <f t="shared" si="173"/>
        <v>0</v>
      </c>
      <c r="AZ117" s="805"/>
      <c r="BA117" s="825">
        <f>SUM(BA118:BA120)</f>
        <v>0</v>
      </c>
      <c r="BB117" s="825">
        <f t="shared" si="149"/>
        <v>0</v>
      </c>
      <c r="BC117" s="825">
        <f t="shared" si="150"/>
        <v>0</v>
      </c>
      <c r="BD117" s="824">
        <f t="shared" si="174"/>
        <v>0</v>
      </c>
      <c r="BE117" s="808"/>
      <c r="BF117" s="825">
        <f>SUM(BF118:BF120)</f>
        <v>0</v>
      </c>
      <c r="BG117" s="825">
        <f t="shared" si="151"/>
        <v>0</v>
      </c>
      <c r="BH117" s="825">
        <f t="shared" si="152"/>
        <v>0</v>
      </c>
      <c r="BI117" s="824">
        <f t="shared" si="175"/>
        <v>0</v>
      </c>
      <c r="BJ117" s="811"/>
      <c r="BK117" s="825">
        <f t="shared" si="153"/>
        <v>105150.51999999999</v>
      </c>
      <c r="BL117" s="349">
        <f t="shared" si="128"/>
        <v>11683.39111111111</v>
      </c>
      <c r="BM117" s="852">
        <f t="shared" si="154"/>
        <v>29.754994034825259</v>
      </c>
      <c r="BN117" s="852">
        <f t="shared" si="155"/>
        <v>26.53077925253011</v>
      </c>
      <c r="BO117" s="853">
        <f t="shared" si="156"/>
        <v>2.1185631218642331E-3</v>
      </c>
      <c r="BP117" s="853">
        <f t="shared" si="157"/>
        <v>2.8541013558099944E-4</v>
      </c>
      <c r="BQ117" s="814"/>
      <c r="BR117" s="825">
        <f t="shared" si="158"/>
        <v>84102.709999999992</v>
      </c>
      <c r="BS117" s="349">
        <f t="shared" si="159"/>
        <v>12014.672857142856</v>
      </c>
      <c r="BT117" s="852">
        <f t="shared" si="160"/>
        <v>27.115893307833907</v>
      </c>
      <c r="BU117" s="852">
        <f t="shared" si="161"/>
        <v>23.633522365914182</v>
      </c>
      <c r="BV117" s="853">
        <f t="shared" si="162"/>
        <v>1.6945098123132918E-3</v>
      </c>
      <c r="BW117" s="853">
        <f t="shared" si="163"/>
        <v>2.5869017265830433E-4</v>
      </c>
    </row>
    <row r="118" spans="1:75" s="297" customFormat="1" ht="11.25" outlineLevel="1">
      <c r="A118" s="72" t="s">
        <v>424</v>
      </c>
      <c r="B118" s="854"/>
      <c r="C118" s="306">
        <v>9412</v>
      </c>
      <c r="D118" s="816">
        <f t="shared" si="129"/>
        <v>49.221822441636682</v>
      </c>
      <c r="E118" s="816">
        <f t="shared" si="130"/>
        <v>57.666072329932035</v>
      </c>
      <c r="F118" s="817">
        <f t="shared" si="164"/>
        <v>0.63686164972338721</v>
      </c>
      <c r="G118" s="808"/>
      <c r="H118" s="306">
        <v>11635.81</v>
      </c>
      <c r="I118" s="816">
        <f t="shared" si="131"/>
        <v>48.269352028540609</v>
      </c>
      <c r="J118" s="816">
        <f t="shared" si="132"/>
        <v>48.180230793533411</v>
      </c>
      <c r="K118" s="818">
        <f t="shared" si="165"/>
        <v>-0.81320963063910412</v>
      </c>
      <c r="L118" s="805"/>
      <c r="M118" s="162">
        <v>6342</v>
      </c>
      <c r="N118" s="816">
        <f t="shared" si="133"/>
        <v>18.458742179046656</v>
      </c>
      <c r="O118" s="816">
        <f t="shared" si="134"/>
        <v>19.180964933796634</v>
      </c>
      <c r="P118" s="818">
        <f t="shared" si="166"/>
        <v>9.8915868048927188E-4</v>
      </c>
      <c r="Q118" s="808"/>
      <c r="R118" s="162">
        <v>6724.23</v>
      </c>
      <c r="S118" s="816">
        <f t="shared" si="135"/>
        <v>13.971061527497573</v>
      </c>
      <c r="T118" s="816">
        <f t="shared" si="136"/>
        <v>9.9255769560902696</v>
      </c>
      <c r="U118" s="818">
        <f t="shared" si="167"/>
        <v>4.5877021972605511E-4</v>
      </c>
      <c r="V118" s="805"/>
      <c r="W118" s="162">
        <v>6560.22</v>
      </c>
      <c r="X118" s="816">
        <f t="shared" si="137"/>
        <v>13.075851346907047</v>
      </c>
      <c r="Y118" s="816">
        <f t="shared" si="138"/>
        <v>11.126375443556059</v>
      </c>
      <c r="Z118" s="818">
        <f t="shared" si="168"/>
        <v>1.1393368410809914E-3</v>
      </c>
      <c r="AA118" s="808"/>
      <c r="AB118" s="162">
        <v>5725.4</v>
      </c>
      <c r="AC118" s="816">
        <f t="shared" si="139"/>
        <v>12.755566942553831</v>
      </c>
      <c r="AD118" s="816">
        <f t="shared" si="140"/>
        <v>11.406242653697594</v>
      </c>
      <c r="AE118" s="818">
        <f t="shared" si="169"/>
        <v>8.5139660665647032E-4</v>
      </c>
      <c r="AF118" s="805"/>
      <c r="AG118" s="162">
        <v>5464.86</v>
      </c>
      <c r="AH118" s="816">
        <f t="shared" si="141"/>
        <v>10.896159827730589</v>
      </c>
      <c r="AI118" s="816">
        <f t="shared" si="142"/>
        <v>11.389235802297391</v>
      </c>
      <c r="AJ118" s="818">
        <f t="shared" si="170"/>
        <v>1.0060447607941753E-3</v>
      </c>
      <c r="AK118" s="808"/>
      <c r="AL118" s="162">
        <v>5449.43</v>
      </c>
      <c r="AM118" s="816">
        <f t="shared" si="143"/>
        <v>12.459314368806846</v>
      </c>
      <c r="AN118" s="816">
        <f t="shared" si="144"/>
        <v>10.038936726713771</v>
      </c>
      <c r="AO118" s="818">
        <f t="shared" si="171"/>
        <v>8.7394443192185395E-4</v>
      </c>
      <c r="AP118" s="805"/>
      <c r="AQ118" s="162">
        <v>12219.68</v>
      </c>
      <c r="AR118" s="816">
        <f t="shared" si="145"/>
        <v>31.467905501104752</v>
      </c>
      <c r="AS118" s="816">
        <f t="shared" si="146"/>
        <v>28.007838732967375</v>
      </c>
      <c r="AT118" s="818">
        <f t="shared" si="172"/>
        <v>2.7685323920451288E-3</v>
      </c>
      <c r="AU118" s="808"/>
      <c r="AV118" s="162"/>
      <c r="AW118" s="816">
        <f t="shared" si="147"/>
        <v>0</v>
      </c>
      <c r="AX118" s="816">
        <f t="shared" si="148"/>
        <v>0</v>
      </c>
      <c r="AY118" s="818">
        <f t="shared" si="173"/>
        <v>0</v>
      </c>
      <c r="AZ118" s="805"/>
      <c r="BA118" s="162"/>
      <c r="BB118" s="816">
        <f t="shared" si="149"/>
        <v>0</v>
      </c>
      <c r="BC118" s="816">
        <f t="shared" si="150"/>
        <v>0</v>
      </c>
      <c r="BD118" s="818">
        <f t="shared" si="174"/>
        <v>0</v>
      </c>
      <c r="BE118" s="808"/>
      <c r="BF118" s="162"/>
      <c r="BG118" s="816">
        <f t="shared" si="151"/>
        <v>0</v>
      </c>
      <c r="BH118" s="816">
        <f t="shared" si="152"/>
        <v>0</v>
      </c>
      <c r="BI118" s="818">
        <f t="shared" si="175"/>
        <v>0</v>
      </c>
      <c r="BJ118" s="811"/>
      <c r="BK118" s="162">
        <f t="shared" si="153"/>
        <v>69533.63</v>
      </c>
      <c r="BL118" s="163">
        <f t="shared" si="128"/>
        <v>7725.9588888888893</v>
      </c>
      <c r="BM118" s="164">
        <f t="shared" si="154"/>
        <v>19.676295902956515</v>
      </c>
      <c r="BN118" s="164">
        <f t="shared" si="155"/>
        <v>17.544196530431858</v>
      </c>
      <c r="BO118" s="165">
        <f t="shared" si="156"/>
        <v>1.4009572586740657E-3</v>
      </c>
      <c r="BP118" s="165">
        <f t="shared" si="157"/>
        <v>1.8873518424577504E-4</v>
      </c>
      <c r="BQ118" s="820"/>
      <c r="BR118" s="162">
        <f t="shared" si="158"/>
        <v>48485.82</v>
      </c>
      <c r="BS118" s="163">
        <f t="shared" si="159"/>
        <v>6926.545714285714</v>
      </c>
      <c r="BT118" s="164">
        <f t="shared" si="160"/>
        <v>15.63250841813349</v>
      </c>
      <c r="BU118" s="164">
        <f t="shared" si="161"/>
        <v>13.624896408209549</v>
      </c>
      <c r="BV118" s="165">
        <f t="shared" si="162"/>
        <v>9.7689715049676827E-4</v>
      </c>
      <c r="BW118" s="165">
        <f t="shared" si="163"/>
        <v>1.4913675370602762E-4</v>
      </c>
    </row>
    <row r="119" spans="1:75" s="297" customFormat="1" ht="11.25" outlineLevel="1">
      <c r="A119" s="72" t="s">
        <v>425</v>
      </c>
      <c r="B119" s="854"/>
      <c r="C119" s="306"/>
      <c r="D119" s="816">
        <f t="shared" si="129"/>
        <v>0</v>
      </c>
      <c r="E119" s="816">
        <f t="shared" si="130"/>
        <v>0</v>
      </c>
      <c r="F119" s="817">
        <f t="shared" si="164"/>
        <v>0</v>
      </c>
      <c r="G119" s="808"/>
      <c r="H119" s="306"/>
      <c r="I119" s="816">
        <f t="shared" si="131"/>
        <v>0</v>
      </c>
      <c r="J119" s="816">
        <f t="shared" si="132"/>
        <v>0</v>
      </c>
      <c r="K119" s="818">
        <f t="shared" si="165"/>
        <v>0</v>
      </c>
      <c r="L119" s="805"/>
      <c r="M119" s="162">
        <v>1657.71</v>
      </c>
      <c r="N119" s="816">
        <f t="shared" si="133"/>
        <v>4.8248567482856251</v>
      </c>
      <c r="O119" s="816">
        <f t="shared" si="134"/>
        <v>5.0136356638921509</v>
      </c>
      <c r="P119" s="818">
        <f t="shared" si="166"/>
        <v>2.5855222898673458E-4</v>
      </c>
      <c r="Q119" s="808"/>
      <c r="R119" s="162">
        <v>3488.72</v>
      </c>
      <c r="S119" s="816">
        <f t="shared" si="135"/>
        <v>7.248580398381872</v>
      </c>
      <c r="T119" s="816">
        <f t="shared" si="136"/>
        <v>5.1496690086822206</v>
      </c>
      <c r="U119" s="818">
        <f t="shared" si="167"/>
        <v>2.3802291726527543E-4</v>
      </c>
      <c r="V119" s="805"/>
      <c r="W119" s="162">
        <v>4119.21</v>
      </c>
      <c r="X119" s="816">
        <f t="shared" si="137"/>
        <v>8.2104224594133992</v>
      </c>
      <c r="Y119" s="816">
        <f t="shared" si="138"/>
        <v>6.9863323167287925</v>
      </c>
      <c r="Z119" s="818">
        <f t="shared" si="168"/>
        <v>7.1539791487926175E-4</v>
      </c>
      <c r="AA119" s="808"/>
      <c r="AB119" s="162">
        <v>1581.59</v>
      </c>
      <c r="AC119" s="816">
        <f t="shared" si="139"/>
        <v>3.5236100745229528</v>
      </c>
      <c r="AD119" s="816">
        <f t="shared" si="140"/>
        <v>3.1508714358231003</v>
      </c>
      <c r="AE119" s="818">
        <f t="shared" si="169"/>
        <v>2.3519061709606438E-4</v>
      </c>
      <c r="AF119" s="805"/>
      <c r="AG119" s="162">
        <v>1484.58</v>
      </c>
      <c r="AH119" s="816">
        <f t="shared" si="141"/>
        <v>2.960043067352554</v>
      </c>
      <c r="AI119" s="816">
        <f t="shared" si="142"/>
        <v>3.0939917376428054</v>
      </c>
      <c r="AJ119" s="818">
        <f t="shared" si="170"/>
        <v>2.7330140771763905E-4</v>
      </c>
      <c r="AK119" s="808"/>
      <c r="AL119" s="162">
        <v>1690.06</v>
      </c>
      <c r="AM119" s="816">
        <f t="shared" si="143"/>
        <v>3.8640718097389439</v>
      </c>
      <c r="AN119" s="816">
        <f t="shared" si="144"/>
        <v>3.1134275335860582</v>
      </c>
      <c r="AO119" s="818">
        <f t="shared" si="171"/>
        <v>2.7104092108970083E-4</v>
      </c>
      <c r="AP119" s="805"/>
      <c r="AQ119" s="162">
        <v>1665.06</v>
      </c>
      <c r="AR119" s="816">
        <f t="shared" si="145"/>
        <v>4.2878332929888083</v>
      </c>
      <c r="AS119" s="816">
        <f t="shared" si="146"/>
        <v>3.8163627820625949</v>
      </c>
      <c r="AT119" s="818">
        <f t="shared" si="172"/>
        <v>3.7724167447090773E-4</v>
      </c>
      <c r="AU119" s="808"/>
      <c r="AV119" s="162"/>
      <c r="AW119" s="816">
        <f t="shared" si="147"/>
        <v>0</v>
      </c>
      <c r="AX119" s="816">
        <f t="shared" si="148"/>
        <v>0</v>
      </c>
      <c r="AY119" s="818">
        <f t="shared" si="173"/>
        <v>0</v>
      </c>
      <c r="AZ119" s="805"/>
      <c r="BA119" s="162"/>
      <c r="BB119" s="816">
        <f t="shared" si="149"/>
        <v>0</v>
      </c>
      <c r="BC119" s="816">
        <f t="shared" si="150"/>
        <v>0</v>
      </c>
      <c r="BD119" s="818">
        <f t="shared" si="174"/>
        <v>0</v>
      </c>
      <c r="BE119" s="808"/>
      <c r="BF119" s="162"/>
      <c r="BG119" s="816">
        <f t="shared" si="151"/>
        <v>0</v>
      </c>
      <c r="BH119" s="816">
        <f t="shared" si="152"/>
        <v>0</v>
      </c>
      <c r="BI119" s="818">
        <f t="shared" si="175"/>
        <v>0</v>
      </c>
      <c r="BJ119" s="811"/>
      <c r="BK119" s="162">
        <f t="shared" si="153"/>
        <v>15686.929999999998</v>
      </c>
      <c r="BL119" s="163">
        <f t="shared" si="128"/>
        <v>1742.9922222222222</v>
      </c>
      <c r="BM119" s="164">
        <f t="shared" si="154"/>
        <v>4.4390128415410732</v>
      </c>
      <c r="BN119" s="164">
        <f t="shared" si="155"/>
        <v>3.9580068361040168</v>
      </c>
      <c r="BO119" s="165">
        <f t="shared" si="156"/>
        <v>3.1605884015852411E-4</v>
      </c>
      <c r="BP119" s="165">
        <f t="shared" si="157"/>
        <v>4.2579045906284132E-5</v>
      </c>
      <c r="BQ119" s="820"/>
      <c r="BR119" s="162">
        <f t="shared" si="158"/>
        <v>15686.929999999998</v>
      </c>
      <c r="BS119" s="163">
        <f t="shared" si="159"/>
        <v>2240.9899999999998</v>
      </c>
      <c r="BT119" s="164">
        <f t="shared" si="160"/>
        <v>5.0576862530049143</v>
      </c>
      <c r="BU119" s="164">
        <f t="shared" si="161"/>
        <v>4.4081505935721941</v>
      </c>
      <c r="BV119" s="165">
        <f t="shared" si="162"/>
        <v>3.1606183451248773E-4</v>
      </c>
      <c r="BW119" s="165">
        <f t="shared" si="163"/>
        <v>4.8251175618226019E-5</v>
      </c>
    </row>
    <row r="120" spans="1:75" s="297" customFormat="1" ht="11.25" outlineLevel="1">
      <c r="A120" s="72" t="s">
        <v>426</v>
      </c>
      <c r="B120" s="854"/>
      <c r="C120" s="306"/>
      <c r="D120" s="816">
        <f t="shared" si="129"/>
        <v>0</v>
      </c>
      <c r="E120" s="816">
        <f t="shared" si="130"/>
        <v>0</v>
      </c>
      <c r="F120" s="817">
        <f t="shared" si="164"/>
        <v>0</v>
      </c>
      <c r="G120" s="808"/>
      <c r="H120" s="306"/>
      <c r="I120" s="816">
        <f t="shared" si="131"/>
        <v>0</v>
      </c>
      <c r="J120" s="816">
        <f t="shared" si="132"/>
        <v>0</v>
      </c>
      <c r="K120" s="818">
        <f t="shared" si="165"/>
        <v>0</v>
      </c>
      <c r="L120" s="805"/>
      <c r="M120" s="162">
        <v>1904</v>
      </c>
      <c r="N120" s="816">
        <f t="shared" si="133"/>
        <v>5.5416974312369653</v>
      </c>
      <c r="O120" s="816">
        <f t="shared" si="134"/>
        <v>5.7585236887336482</v>
      </c>
      <c r="P120" s="818">
        <f t="shared" si="166"/>
        <v>2.9696596147139284E-4</v>
      </c>
      <c r="Q120" s="808"/>
      <c r="R120" s="162">
        <v>2814.39</v>
      </c>
      <c r="S120" s="816">
        <f t="shared" si="135"/>
        <v>5.8475120351882515</v>
      </c>
      <c r="T120" s="816">
        <f t="shared" si="136"/>
        <v>4.1542964070906105</v>
      </c>
      <c r="U120" s="818">
        <f t="shared" si="167"/>
        <v>1.9201578748716394E-4</v>
      </c>
      <c r="V120" s="805"/>
      <c r="W120" s="162">
        <v>4044.6</v>
      </c>
      <c r="X120" s="816">
        <f t="shared" si="137"/>
        <v>8.0617095703650552</v>
      </c>
      <c r="Y120" s="816">
        <f t="shared" si="138"/>
        <v>6.859791000760163</v>
      </c>
      <c r="Z120" s="818">
        <f t="shared" si="168"/>
        <v>7.0244012966580048E-4</v>
      </c>
      <c r="AA120" s="808"/>
      <c r="AB120" s="162">
        <v>2740.4</v>
      </c>
      <c r="AC120" s="816">
        <f t="shared" si="139"/>
        <v>6.1053124060108495</v>
      </c>
      <c r="AD120" s="816">
        <f t="shared" si="140"/>
        <v>5.4594731142265847</v>
      </c>
      <c r="AE120" s="818">
        <f t="shared" si="169"/>
        <v>4.0751166047462041E-4</v>
      </c>
      <c r="AF120" s="805"/>
      <c r="AG120" s="162">
        <v>2928.4</v>
      </c>
      <c r="AH120" s="816">
        <f t="shared" si="141"/>
        <v>5.8388164453483267</v>
      </c>
      <c r="AI120" s="816">
        <f t="shared" si="142"/>
        <v>6.1030361479429818</v>
      </c>
      <c r="AJ120" s="818">
        <f t="shared" si="170"/>
        <v>5.3909916768401448E-4</v>
      </c>
      <c r="AK120" s="808"/>
      <c r="AL120" s="162">
        <v>2924.17</v>
      </c>
      <c r="AM120" s="816">
        <f t="shared" si="143"/>
        <v>6.6856814928963049</v>
      </c>
      <c r="AN120" s="816">
        <f t="shared" si="144"/>
        <v>5.3869042465275463</v>
      </c>
      <c r="AO120" s="818">
        <f t="shared" si="171"/>
        <v>4.6895952227901406E-4</v>
      </c>
      <c r="AP120" s="805"/>
      <c r="AQ120" s="162">
        <v>2574</v>
      </c>
      <c r="AR120" s="816">
        <f t="shared" si="145"/>
        <v>6.6285196306158287</v>
      </c>
      <c r="AS120" s="816">
        <f t="shared" si="146"/>
        <v>5.8996779701807265</v>
      </c>
      <c r="AT120" s="818">
        <f t="shared" si="172"/>
        <v>5.831742220028807E-4</v>
      </c>
      <c r="AU120" s="808"/>
      <c r="AV120" s="162"/>
      <c r="AW120" s="816">
        <f t="shared" si="147"/>
        <v>0</v>
      </c>
      <c r="AX120" s="816">
        <f t="shared" si="148"/>
        <v>0</v>
      </c>
      <c r="AY120" s="818">
        <f t="shared" si="173"/>
        <v>0</v>
      </c>
      <c r="AZ120" s="805"/>
      <c r="BA120" s="162"/>
      <c r="BB120" s="816">
        <f t="shared" si="149"/>
        <v>0</v>
      </c>
      <c r="BC120" s="816">
        <f t="shared" si="150"/>
        <v>0</v>
      </c>
      <c r="BD120" s="818">
        <f t="shared" si="174"/>
        <v>0</v>
      </c>
      <c r="BE120" s="808"/>
      <c r="BF120" s="162"/>
      <c r="BG120" s="816">
        <f t="shared" si="151"/>
        <v>0</v>
      </c>
      <c r="BH120" s="816">
        <f t="shared" si="152"/>
        <v>0</v>
      </c>
      <c r="BI120" s="818">
        <f t="shared" si="175"/>
        <v>0</v>
      </c>
      <c r="BJ120" s="811"/>
      <c r="BK120" s="162">
        <f t="shared" si="153"/>
        <v>19929.96</v>
      </c>
      <c r="BL120" s="163">
        <f t="shared" si="128"/>
        <v>2214.44</v>
      </c>
      <c r="BM120" s="164">
        <f t="shared" si="154"/>
        <v>5.6396852903276757</v>
      </c>
      <c r="BN120" s="164">
        <f t="shared" si="155"/>
        <v>5.0285758859942389</v>
      </c>
      <c r="BO120" s="165">
        <f t="shared" si="156"/>
        <v>4.0154702303164352E-4</v>
      </c>
      <c r="BP120" s="165">
        <f t="shared" si="157"/>
        <v>5.4095905428940302E-5</v>
      </c>
      <c r="BQ120" s="820"/>
      <c r="BR120" s="162">
        <f t="shared" si="158"/>
        <v>19929.96</v>
      </c>
      <c r="BS120" s="163">
        <f t="shared" si="159"/>
        <v>2847.1371428571429</v>
      </c>
      <c r="BT120" s="164">
        <f t="shared" si="160"/>
        <v>6.4256986366955058</v>
      </c>
      <c r="BU120" s="164">
        <f t="shared" si="161"/>
        <v>5.6004753641324401</v>
      </c>
      <c r="BV120" s="165">
        <f t="shared" si="162"/>
        <v>4.0155082730403591E-4</v>
      </c>
      <c r="BW120" s="165">
        <f t="shared" si="163"/>
        <v>6.1302243334050694E-5</v>
      </c>
    </row>
    <row r="121" spans="1:75" s="297" customFormat="1" ht="11.25" outlineLevel="1">
      <c r="A121" s="65" t="s">
        <v>60</v>
      </c>
      <c r="B121" s="805"/>
      <c r="C121" s="821"/>
      <c r="D121" s="825">
        <f t="shared" si="129"/>
        <v>0</v>
      </c>
      <c r="E121" s="825">
        <f t="shared" si="130"/>
        <v>0</v>
      </c>
      <c r="F121" s="823">
        <f t="shared" si="164"/>
        <v>0</v>
      </c>
      <c r="G121" s="808"/>
      <c r="H121" s="821"/>
      <c r="I121" s="825">
        <f t="shared" si="131"/>
        <v>0</v>
      </c>
      <c r="J121" s="825">
        <f t="shared" si="132"/>
        <v>0</v>
      </c>
      <c r="K121" s="824">
        <f t="shared" si="165"/>
        <v>0</v>
      </c>
      <c r="L121" s="805"/>
      <c r="M121" s="825"/>
      <c r="N121" s="825">
        <f t="shared" si="133"/>
        <v>0</v>
      </c>
      <c r="O121" s="825">
        <f t="shared" si="134"/>
        <v>0</v>
      </c>
      <c r="P121" s="824">
        <f t="shared" si="166"/>
        <v>0</v>
      </c>
      <c r="Q121" s="808"/>
      <c r="R121" s="825">
        <v>40300</v>
      </c>
      <c r="S121" s="825">
        <f t="shared" si="135"/>
        <v>83.732082269367979</v>
      </c>
      <c r="T121" s="825">
        <f t="shared" si="136"/>
        <v>59.48647671635829</v>
      </c>
      <c r="U121" s="824">
        <f t="shared" si="167"/>
        <v>2.7495252028797382E-3</v>
      </c>
      <c r="V121" s="805"/>
      <c r="W121" s="825"/>
      <c r="X121" s="825">
        <f t="shared" si="137"/>
        <v>0</v>
      </c>
      <c r="Y121" s="825">
        <f t="shared" si="138"/>
        <v>0</v>
      </c>
      <c r="Z121" s="824">
        <f t="shared" si="168"/>
        <v>0</v>
      </c>
      <c r="AA121" s="808"/>
      <c r="AB121" s="825"/>
      <c r="AC121" s="825">
        <f t="shared" si="139"/>
        <v>0</v>
      </c>
      <c r="AD121" s="825">
        <f t="shared" si="140"/>
        <v>0</v>
      </c>
      <c r="AE121" s="824">
        <f t="shared" si="169"/>
        <v>0</v>
      </c>
      <c r="AF121" s="805"/>
      <c r="AG121" s="825"/>
      <c r="AH121" s="825">
        <f t="shared" si="141"/>
        <v>0</v>
      </c>
      <c r="AI121" s="825">
        <f t="shared" si="142"/>
        <v>0</v>
      </c>
      <c r="AJ121" s="824">
        <f t="shared" si="170"/>
        <v>0</v>
      </c>
      <c r="AK121" s="808"/>
      <c r="AL121" s="825">
        <v>96500</v>
      </c>
      <c r="AM121" s="825">
        <f t="shared" si="143"/>
        <v>220.63295364650256</v>
      </c>
      <c r="AN121" s="825">
        <f t="shared" si="144"/>
        <v>177.77224299199713</v>
      </c>
      <c r="AO121" s="824">
        <f t="shared" si="171"/>
        <v>1.54760475279908E-2</v>
      </c>
      <c r="AP121" s="805"/>
      <c r="AQ121" s="825"/>
      <c r="AR121" s="825">
        <f t="shared" si="145"/>
        <v>0</v>
      </c>
      <c r="AS121" s="825">
        <f t="shared" si="146"/>
        <v>0</v>
      </c>
      <c r="AT121" s="824">
        <f t="shared" si="172"/>
        <v>0</v>
      </c>
      <c r="AU121" s="808"/>
      <c r="AV121" s="825"/>
      <c r="AW121" s="825">
        <f t="shared" si="147"/>
        <v>0</v>
      </c>
      <c r="AX121" s="825">
        <f t="shared" si="148"/>
        <v>0</v>
      </c>
      <c r="AY121" s="824">
        <f t="shared" si="173"/>
        <v>0</v>
      </c>
      <c r="AZ121" s="805"/>
      <c r="BA121" s="825"/>
      <c r="BB121" s="825">
        <f t="shared" si="149"/>
        <v>0</v>
      </c>
      <c r="BC121" s="825">
        <f t="shared" si="150"/>
        <v>0</v>
      </c>
      <c r="BD121" s="824">
        <f t="shared" si="174"/>
        <v>0</v>
      </c>
      <c r="BE121" s="808"/>
      <c r="BF121" s="825"/>
      <c r="BG121" s="825">
        <f t="shared" si="151"/>
        <v>0</v>
      </c>
      <c r="BH121" s="825">
        <f t="shared" si="152"/>
        <v>0</v>
      </c>
      <c r="BI121" s="824">
        <f t="shared" si="175"/>
        <v>0</v>
      </c>
      <c r="BJ121" s="811"/>
      <c r="BK121" s="825">
        <f t="shared" si="153"/>
        <v>136800</v>
      </c>
      <c r="BL121" s="349">
        <f t="shared" si="128"/>
        <v>15200</v>
      </c>
      <c r="BM121" s="852">
        <f t="shared" si="154"/>
        <v>38.71101335460915</v>
      </c>
      <c r="BN121" s="852">
        <f t="shared" si="155"/>
        <v>34.516335266303194</v>
      </c>
      <c r="BO121" s="853">
        <f t="shared" si="156"/>
        <v>2.756233968895514E-3</v>
      </c>
      <c r="BP121" s="853">
        <f t="shared" si="157"/>
        <v>3.7131634296702219E-4</v>
      </c>
      <c r="BQ121" s="814"/>
      <c r="BR121" s="825">
        <f t="shared" si="158"/>
        <v>136800</v>
      </c>
      <c r="BS121" s="349">
        <f t="shared" si="159"/>
        <v>19542.857142857141</v>
      </c>
      <c r="BT121" s="852">
        <f t="shared" si="160"/>
        <v>44.106238723005227</v>
      </c>
      <c r="BU121" s="852">
        <f t="shared" si="161"/>
        <v>38.441874936694198</v>
      </c>
      <c r="BV121" s="853">
        <f t="shared" si="162"/>
        <v>2.7562600815652471E-3</v>
      </c>
      <c r="BW121" s="853">
        <f t="shared" si="163"/>
        <v>4.2078091918388877E-4</v>
      </c>
    </row>
    <row r="122" spans="1:75" s="297" customFormat="1" ht="11.25" outlineLevel="1">
      <c r="A122" s="65" t="s">
        <v>42</v>
      </c>
      <c r="B122" s="805"/>
      <c r="C122" s="821">
        <f>SUM(C123:C125)</f>
        <v>9240.3100000000013</v>
      </c>
      <c r="D122" s="825">
        <f t="shared" si="129"/>
        <v>48.323937327420303</v>
      </c>
      <c r="E122" s="825">
        <f t="shared" si="130"/>
        <v>56.614150532404842</v>
      </c>
      <c r="F122" s="823">
        <f t="shared" si="164"/>
        <v>0.6252442701397698</v>
      </c>
      <c r="G122" s="808"/>
      <c r="H122" s="821">
        <f>SUM(H123:H125)</f>
        <v>9645.64</v>
      </c>
      <c r="I122" s="825">
        <f t="shared" si="131"/>
        <v>40.013440637185759</v>
      </c>
      <c r="J122" s="825">
        <f t="shared" si="132"/>
        <v>39.939562553130173</v>
      </c>
      <c r="K122" s="824">
        <f t="shared" si="165"/>
        <v>-0.67411957927104071</v>
      </c>
      <c r="L122" s="805"/>
      <c r="M122" s="825">
        <f>SUM(M123:M125)</f>
        <v>9620.25</v>
      </c>
      <c r="N122" s="825">
        <f t="shared" si="133"/>
        <v>28.000270332383096</v>
      </c>
      <c r="O122" s="825">
        <f t="shared" si="134"/>
        <v>29.095818023392795</v>
      </c>
      <c r="P122" s="824">
        <f t="shared" si="166"/>
        <v>1.5004657514943104E-3</v>
      </c>
      <c r="Q122" s="808"/>
      <c r="R122" s="825">
        <f>SUM(R123:R125)</f>
        <v>9185.65</v>
      </c>
      <c r="S122" s="825">
        <f t="shared" si="135"/>
        <v>19.085201029717616</v>
      </c>
      <c r="T122" s="825">
        <f t="shared" si="136"/>
        <v>13.558857440437135</v>
      </c>
      <c r="U122" s="824">
        <f t="shared" si="167"/>
        <v>6.2670412356903885E-4</v>
      </c>
      <c r="V122" s="805"/>
      <c r="W122" s="825">
        <f>SUM(W123:W125)</f>
        <v>13788.33</v>
      </c>
      <c r="X122" s="825">
        <f t="shared" si="137"/>
        <v>27.482943163811406</v>
      </c>
      <c r="Y122" s="825">
        <f t="shared" si="138"/>
        <v>23.385516997851795</v>
      </c>
      <c r="Z122" s="824">
        <f t="shared" si="168"/>
        <v>2.3946685242236185E-3</v>
      </c>
      <c r="AA122" s="808"/>
      <c r="AB122" s="825">
        <f>SUM(AB123:AB125)</f>
        <v>8649.65</v>
      </c>
      <c r="AC122" s="825">
        <f t="shared" si="139"/>
        <v>19.270477102850588</v>
      </c>
      <c r="AD122" s="825">
        <f t="shared" si="140"/>
        <v>17.231984973897966</v>
      </c>
      <c r="AE122" s="824">
        <f t="shared" si="169"/>
        <v>1.2862477134813531E-3</v>
      </c>
      <c r="AF122" s="805"/>
      <c r="AG122" s="825">
        <f>SUM(AG123:AG125)</f>
        <v>11526.48</v>
      </c>
      <c r="AH122" s="825">
        <f t="shared" si="141"/>
        <v>22.982174901303985</v>
      </c>
      <c r="AI122" s="825">
        <f t="shared" si="142"/>
        <v>24.022170502165626</v>
      </c>
      <c r="AJ122" s="824">
        <f t="shared" si="170"/>
        <v>2.1219491102057227E-3</v>
      </c>
      <c r="AK122" s="808"/>
      <c r="AL122" s="825">
        <f>SUM(AL123:AL125)</f>
        <v>9523.7800000000007</v>
      </c>
      <c r="AM122" s="825">
        <f t="shared" si="143"/>
        <v>21.774712033984333</v>
      </c>
      <c r="AN122" s="825">
        <f t="shared" si="144"/>
        <v>17.544701889764998</v>
      </c>
      <c r="AO122" s="824">
        <f t="shared" si="171"/>
        <v>1.5273624033795672E-3</v>
      </c>
      <c r="AP122" s="805"/>
      <c r="AQ122" s="825">
        <f>SUM(AQ123:AQ125)</f>
        <v>8582.9599999999991</v>
      </c>
      <c r="AR122" s="825">
        <f t="shared" si="145"/>
        <v>22.102687975443057</v>
      </c>
      <c r="AS122" s="825">
        <f t="shared" si="146"/>
        <v>19.672377634398742</v>
      </c>
      <c r="AT122" s="824">
        <f t="shared" si="172"/>
        <v>1.9445847010418976E-3</v>
      </c>
      <c r="AU122" s="808"/>
      <c r="AV122" s="825">
        <f>SUM(AV123:AV125)</f>
        <v>0</v>
      </c>
      <c r="AW122" s="825">
        <f t="shared" si="147"/>
        <v>0</v>
      </c>
      <c r="AX122" s="825">
        <f t="shared" si="148"/>
        <v>0</v>
      </c>
      <c r="AY122" s="824">
        <f t="shared" si="173"/>
        <v>0</v>
      </c>
      <c r="AZ122" s="805"/>
      <c r="BA122" s="825">
        <f>SUM(BA123:BA125)</f>
        <v>0</v>
      </c>
      <c r="BB122" s="825">
        <f t="shared" si="149"/>
        <v>0</v>
      </c>
      <c r="BC122" s="825">
        <f t="shared" si="150"/>
        <v>0</v>
      </c>
      <c r="BD122" s="824">
        <f t="shared" si="174"/>
        <v>0</v>
      </c>
      <c r="BE122" s="808"/>
      <c r="BF122" s="825">
        <f>SUM(BF123:BF125)</f>
        <v>0</v>
      </c>
      <c r="BG122" s="825">
        <f t="shared" si="151"/>
        <v>0</v>
      </c>
      <c r="BH122" s="825">
        <f t="shared" si="152"/>
        <v>0</v>
      </c>
      <c r="BI122" s="824">
        <f t="shared" si="175"/>
        <v>0</v>
      </c>
      <c r="BJ122" s="811"/>
      <c r="BK122" s="825">
        <f t="shared" si="153"/>
        <v>89763.049999999988</v>
      </c>
      <c r="BL122" s="349">
        <f t="shared" si="128"/>
        <v>9973.6722222222215</v>
      </c>
      <c r="BM122" s="852">
        <f t="shared" si="154"/>
        <v>25.400720959798598</v>
      </c>
      <c r="BN122" s="852">
        <f t="shared" si="155"/>
        <v>22.648329885423514</v>
      </c>
      <c r="BO122" s="853">
        <f t="shared" si="156"/>
        <v>1.808537774573585E-3</v>
      </c>
      <c r="BP122" s="853">
        <f t="shared" si="157"/>
        <v>2.4364391417811373E-4</v>
      </c>
      <c r="BQ122" s="814"/>
      <c r="BR122" s="825">
        <f t="shared" si="158"/>
        <v>70877.100000000006</v>
      </c>
      <c r="BS122" s="349">
        <f t="shared" si="159"/>
        <v>10125.300000000001</v>
      </c>
      <c r="BT122" s="852">
        <f t="shared" si="160"/>
        <v>22.851771144695277</v>
      </c>
      <c r="BU122" s="852">
        <f t="shared" si="161"/>
        <v>19.917022032716144</v>
      </c>
      <c r="BV122" s="853">
        <f t="shared" si="162"/>
        <v>1.4280388993209664E-3</v>
      </c>
      <c r="BW122" s="853">
        <f t="shared" si="163"/>
        <v>2.1800973163076321E-4</v>
      </c>
    </row>
    <row r="123" spans="1:75" s="297" customFormat="1" ht="11.25" outlineLevel="1">
      <c r="A123" s="72" t="s">
        <v>427</v>
      </c>
      <c r="B123" s="854"/>
      <c r="C123" s="306">
        <v>7240.31</v>
      </c>
      <c r="D123" s="816">
        <f t="shared" si="129"/>
        <v>37.864561542967124</v>
      </c>
      <c r="E123" s="816">
        <f t="shared" si="130"/>
        <v>44.360416505644949</v>
      </c>
      <c r="F123" s="817">
        <f t="shared" si="164"/>
        <v>0.48991455281648305</v>
      </c>
      <c r="G123" s="808"/>
      <c r="H123" s="306">
        <v>6180</v>
      </c>
      <c r="I123" s="816">
        <f t="shared" si="131"/>
        <v>25.636770928399567</v>
      </c>
      <c r="J123" s="816">
        <f t="shared" si="132"/>
        <v>25.589436945432805</v>
      </c>
      <c r="K123" s="818">
        <f t="shared" si="165"/>
        <v>-0.43191110179262671</v>
      </c>
      <c r="L123" s="805"/>
      <c r="M123" s="162">
        <v>8580</v>
      </c>
      <c r="N123" s="816">
        <f t="shared" si="133"/>
        <v>24.972565105048929</v>
      </c>
      <c r="O123" s="816">
        <f t="shared" si="134"/>
        <v>25.949649815827051</v>
      </c>
      <c r="P123" s="818">
        <f t="shared" si="166"/>
        <v>1.338218460832222E-3</v>
      </c>
      <c r="Q123" s="808"/>
      <c r="R123" s="162">
        <v>6180</v>
      </c>
      <c r="S123" s="816">
        <f t="shared" si="135"/>
        <v>12.840304427411764</v>
      </c>
      <c r="T123" s="816">
        <f t="shared" si="136"/>
        <v>9.1222438239973762</v>
      </c>
      <c r="U123" s="818">
        <f t="shared" si="167"/>
        <v>4.2163934872944871E-4</v>
      </c>
      <c r="V123" s="805"/>
      <c r="W123" s="162">
        <v>6180</v>
      </c>
      <c r="X123" s="816">
        <f t="shared" si="137"/>
        <v>12.317995634885042</v>
      </c>
      <c r="Y123" s="816">
        <f t="shared" si="138"/>
        <v>10.481508278865107</v>
      </c>
      <c r="Z123" s="818">
        <f t="shared" si="168"/>
        <v>1.0733026755018165E-3</v>
      </c>
      <c r="AA123" s="808"/>
      <c r="AB123" s="162">
        <v>6180</v>
      </c>
      <c r="AC123" s="816">
        <f t="shared" si="139"/>
        <v>13.76836617615934</v>
      </c>
      <c r="AD123" s="816">
        <f t="shared" si="140"/>
        <v>12.311904775186212</v>
      </c>
      <c r="AE123" s="818">
        <f t="shared" si="169"/>
        <v>9.1899797902975989E-4</v>
      </c>
      <c r="AF123" s="805"/>
      <c r="AG123" s="162">
        <v>6180</v>
      </c>
      <c r="AH123" s="816">
        <f t="shared" si="141"/>
        <v>12.322048091877019</v>
      </c>
      <c r="AI123" s="816">
        <f t="shared" si="142"/>
        <v>12.879648748220061</v>
      </c>
      <c r="AJ123" s="818">
        <f t="shared" si="170"/>
        <v>1.137697328331925E-3</v>
      </c>
      <c r="AK123" s="808"/>
      <c r="AL123" s="162">
        <v>6180</v>
      </c>
      <c r="AM123" s="816">
        <f t="shared" si="143"/>
        <v>14.1296544407812</v>
      </c>
      <c r="AN123" s="816">
        <f t="shared" si="144"/>
        <v>11.384792349124789</v>
      </c>
      <c r="AO123" s="818">
        <f t="shared" si="171"/>
        <v>9.9110853598946254E-4</v>
      </c>
      <c r="AP123" s="805"/>
      <c r="AQ123" s="162">
        <v>6180</v>
      </c>
      <c r="AR123" s="816">
        <f t="shared" si="145"/>
        <v>15.914627551362015</v>
      </c>
      <c r="AS123" s="816">
        <f t="shared" si="146"/>
        <v>14.164727993674004</v>
      </c>
      <c r="AT123" s="818">
        <f t="shared" si="172"/>
        <v>1.4001618849952613E-3</v>
      </c>
      <c r="AU123" s="808"/>
      <c r="AV123" s="162"/>
      <c r="AW123" s="816">
        <f t="shared" si="147"/>
        <v>0</v>
      </c>
      <c r="AX123" s="816">
        <f t="shared" si="148"/>
        <v>0</v>
      </c>
      <c r="AY123" s="818">
        <f t="shared" si="173"/>
        <v>0</v>
      </c>
      <c r="AZ123" s="805"/>
      <c r="BA123" s="162"/>
      <c r="BB123" s="816">
        <f t="shared" si="149"/>
        <v>0</v>
      </c>
      <c r="BC123" s="816">
        <f t="shared" si="150"/>
        <v>0</v>
      </c>
      <c r="BD123" s="818">
        <f t="shared" si="174"/>
        <v>0</v>
      </c>
      <c r="BE123" s="808"/>
      <c r="BF123" s="162"/>
      <c r="BG123" s="816">
        <f t="shared" si="151"/>
        <v>0</v>
      </c>
      <c r="BH123" s="816">
        <f t="shared" si="152"/>
        <v>0</v>
      </c>
      <c r="BI123" s="818">
        <f t="shared" si="175"/>
        <v>0</v>
      </c>
      <c r="BJ123" s="811"/>
      <c r="BK123" s="162">
        <f t="shared" si="153"/>
        <v>59080.31</v>
      </c>
      <c r="BL123" s="163">
        <f t="shared" si="128"/>
        <v>6564.4788888888888</v>
      </c>
      <c r="BM123" s="164">
        <f t="shared" si="154"/>
        <v>16.7182651272255</v>
      </c>
      <c r="BN123" s="164">
        <f t="shared" si="155"/>
        <v>14.906694353780155</v>
      </c>
      <c r="BO123" s="165">
        <f t="shared" si="156"/>
        <v>1.1903447172140155E-3</v>
      </c>
      <c r="BP123" s="165">
        <f t="shared" si="157"/>
        <v>1.6036172990173969E-4</v>
      </c>
      <c r="BQ123" s="820"/>
      <c r="BR123" s="162">
        <f t="shared" si="158"/>
        <v>45660</v>
      </c>
      <c r="BS123" s="163">
        <f t="shared" si="159"/>
        <v>6522.8571428571431</v>
      </c>
      <c r="BT123" s="164">
        <f t="shared" si="160"/>
        <v>14.721424415880252</v>
      </c>
      <c r="BU123" s="164">
        <f t="shared" si="161"/>
        <v>12.830818783694861</v>
      </c>
      <c r="BV123" s="165">
        <f t="shared" si="162"/>
        <v>9.1996224652243557E-4</v>
      </c>
      <c r="BW123" s="165">
        <f t="shared" si="163"/>
        <v>1.4044485942935937E-4</v>
      </c>
    </row>
    <row r="124" spans="1:75" s="297" customFormat="1" ht="11.25" outlineLevel="1">
      <c r="A124" s="72" t="s">
        <v>428</v>
      </c>
      <c r="B124" s="854"/>
      <c r="C124" s="306">
        <v>2000</v>
      </c>
      <c r="D124" s="816">
        <f t="shared" si="129"/>
        <v>10.459375784453185</v>
      </c>
      <c r="E124" s="816">
        <f t="shared" si="130"/>
        <v>12.253734026759888</v>
      </c>
      <c r="F124" s="817">
        <f t="shared" si="164"/>
        <v>0.13532971732328672</v>
      </c>
      <c r="G124" s="808"/>
      <c r="H124" s="306">
        <v>2000</v>
      </c>
      <c r="I124" s="816">
        <f t="shared" si="131"/>
        <v>8.2966896208412848</v>
      </c>
      <c r="J124" s="816">
        <f t="shared" si="132"/>
        <v>8.2813711797517158</v>
      </c>
      <c r="K124" s="818">
        <f t="shared" si="165"/>
        <v>-0.13977705559631931</v>
      </c>
      <c r="L124" s="805"/>
      <c r="M124" s="162"/>
      <c r="N124" s="816">
        <f t="shared" si="133"/>
        <v>0</v>
      </c>
      <c r="O124" s="816">
        <f t="shared" si="134"/>
        <v>0</v>
      </c>
      <c r="P124" s="818">
        <f t="shared" si="166"/>
        <v>0</v>
      </c>
      <c r="Q124" s="808"/>
      <c r="R124" s="162">
        <v>2000</v>
      </c>
      <c r="S124" s="816">
        <f t="shared" si="135"/>
        <v>4.1554383260232246</v>
      </c>
      <c r="T124" s="816">
        <f t="shared" si="136"/>
        <v>2.9521824673130665</v>
      </c>
      <c r="U124" s="818">
        <f t="shared" si="167"/>
        <v>1.3645286366648825E-4</v>
      </c>
      <c r="V124" s="805"/>
      <c r="W124" s="162">
        <v>2500</v>
      </c>
      <c r="X124" s="816">
        <f t="shared" si="137"/>
        <v>4.9830079429146608</v>
      </c>
      <c r="Y124" s="816">
        <f t="shared" si="138"/>
        <v>4.2400923458192175</v>
      </c>
      <c r="Z124" s="818">
        <f t="shared" si="168"/>
        <v>4.3418393021918145E-4</v>
      </c>
      <c r="AA124" s="808"/>
      <c r="AB124" s="162">
        <v>2000</v>
      </c>
      <c r="AC124" s="816">
        <f t="shared" si="139"/>
        <v>4.4557819340321485</v>
      </c>
      <c r="AD124" s="816">
        <f t="shared" si="140"/>
        <v>3.9844352023256353</v>
      </c>
      <c r="AE124" s="818">
        <f t="shared" si="169"/>
        <v>2.9741034920056952E-4</v>
      </c>
      <c r="AF124" s="805"/>
      <c r="AG124" s="162">
        <v>4000</v>
      </c>
      <c r="AH124" s="816">
        <f t="shared" si="141"/>
        <v>7.9754356581728283</v>
      </c>
      <c r="AI124" s="816">
        <f t="shared" si="142"/>
        <v>8.3363422318576443</v>
      </c>
      <c r="AJ124" s="818">
        <f t="shared" si="170"/>
        <v>7.3637367529574436E-4</v>
      </c>
      <c r="AK124" s="808"/>
      <c r="AL124" s="162">
        <v>2000</v>
      </c>
      <c r="AM124" s="816">
        <f t="shared" si="143"/>
        <v>4.5727037025181874</v>
      </c>
      <c r="AN124" s="816">
        <f t="shared" si="144"/>
        <v>3.6843988184869869</v>
      </c>
      <c r="AO124" s="818">
        <f t="shared" si="171"/>
        <v>3.2074709902571604E-4</v>
      </c>
      <c r="AP124" s="805"/>
      <c r="AQ124" s="162">
        <v>2000</v>
      </c>
      <c r="AR124" s="816">
        <f t="shared" si="145"/>
        <v>5.1503649033534025</v>
      </c>
      <c r="AS124" s="816">
        <f t="shared" si="146"/>
        <v>4.5840543668847911</v>
      </c>
      <c r="AT124" s="818">
        <f t="shared" si="172"/>
        <v>4.5312682362306188E-4</v>
      </c>
      <c r="AU124" s="808"/>
      <c r="AV124" s="162"/>
      <c r="AW124" s="816">
        <f t="shared" si="147"/>
        <v>0</v>
      </c>
      <c r="AX124" s="816">
        <f t="shared" si="148"/>
        <v>0</v>
      </c>
      <c r="AY124" s="818">
        <f t="shared" si="173"/>
        <v>0</v>
      </c>
      <c r="AZ124" s="805"/>
      <c r="BA124" s="162"/>
      <c r="BB124" s="816">
        <f t="shared" si="149"/>
        <v>0</v>
      </c>
      <c r="BC124" s="816">
        <f t="shared" si="150"/>
        <v>0</v>
      </c>
      <c r="BD124" s="818">
        <f t="shared" si="174"/>
        <v>0</v>
      </c>
      <c r="BE124" s="808"/>
      <c r="BF124" s="162"/>
      <c r="BG124" s="816">
        <f t="shared" si="151"/>
        <v>0</v>
      </c>
      <c r="BH124" s="816">
        <f t="shared" si="152"/>
        <v>0</v>
      </c>
      <c r="BI124" s="818">
        <f t="shared" si="175"/>
        <v>0</v>
      </c>
      <c r="BJ124" s="811"/>
      <c r="BK124" s="162">
        <f t="shared" si="153"/>
        <v>18500</v>
      </c>
      <c r="BL124" s="163">
        <f t="shared" si="128"/>
        <v>2055.5555555555557</v>
      </c>
      <c r="BM124" s="164">
        <f t="shared" si="154"/>
        <v>5.2350420106744826</v>
      </c>
      <c r="BN124" s="164">
        <f t="shared" si="155"/>
        <v>4.6677792575044519</v>
      </c>
      <c r="BO124" s="165">
        <f t="shared" si="156"/>
        <v>3.727363188930337E-4</v>
      </c>
      <c r="BP124" s="165">
        <f t="shared" si="157"/>
        <v>5.0214563924633855E-5</v>
      </c>
      <c r="BQ124" s="820"/>
      <c r="BR124" s="162">
        <f t="shared" si="158"/>
        <v>14500</v>
      </c>
      <c r="BS124" s="163">
        <f t="shared" si="159"/>
        <v>2071.4285714285716</v>
      </c>
      <c r="BT124" s="164">
        <f t="shared" si="160"/>
        <v>4.6750033734179519</v>
      </c>
      <c r="BU124" s="164">
        <f t="shared" si="161"/>
        <v>4.0746139370034058</v>
      </c>
      <c r="BV124" s="165">
        <f t="shared" si="162"/>
        <v>2.9214745016590708E-4</v>
      </c>
      <c r="BW124" s="165">
        <f t="shared" si="163"/>
        <v>4.4600316726362476E-5</v>
      </c>
    </row>
    <row r="125" spans="1:75" s="297" customFormat="1" ht="11.25" outlineLevel="1">
      <c r="A125" s="72" t="s">
        <v>429</v>
      </c>
      <c r="B125" s="854"/>
      <c r="C125" s="306"/>
      <c r="D125" s="816">
        <f t="shared" si="129"/>
        <v>0</v>
      </c>
      <c r="E125" s="816">
        <f t="shared" si="130"/>
        <v>0</v>
      </c>
      <c r="F125" s="817">
        <f t="shared" si="164"/>
        <v>0</v>
      </c>
      <c r="G125" s="808"/>
      <c r="H125" s="306">
        <v>1465.64</v>
      </c>
      <c r="I125" s="816">
        <f t="shared" si="131"/>
        <v>6.0799800879449108</v>
      </c>
      <c r="J125" s="816">
        <f t="shared" si="132"/>
        <v>6.0687544279456525</v>
      </c>
      <c r="K125" s="818">
        <f t="shared" si="165"/>
        <v>-0.10243142188209473</v>
      </c>
      <c r="L125" s="805"/>
      <c r="M125" s="162">
        <v>1040.25</v>
      </c>
      <c r="N125" s="816">
        <f t="shared" si="133"/>
        <v>3.0277052273341667</v>
      </c>
      <c r="O125" s="816">
        <f t="shared" si="134"/>
        <v>3.1461682075657444</v>
      </c>
      <c r="P125" s="818">
        <f t="shared" si="166"/>
        <v>1.6224729066208847E-4</v>
      </c>
      <c r="Q125" s="808"/>
      <c r="R125" s="162">
        <v>1005.65</v>
      </c>
      <c r="S125" s="816">
        <f t="shared" si="135"/>
        <v>2.0894582762826279</v>
      </c>
      <c r="T125" s="816">
        <f t="shared" si="136"/>
        <v>1.4844311491266926</v>
      </c>
      <c r="U125" s="818">
        <f t="shared" si="167"/>
        <v>6.861191117310196E-5</v>
      </c>
      <c r="V125" s="805"/>
      <c r="W125" s="162">
        <v>5108.33</v>
      </c>
      <c r="X125" s="816">
        <f t="shared" si="137"/>
        <v>10.181939586011699</v>
      </c>
      <c r="Y125" s="816">
        <f t="shared" si="138"/>
        <v>8.6639163731674724</v>
      </c>
      <c r="Z125" s="818">
        <f t="shared" si="168"/>
        <v>8.8718191850262044E-4</v>
      </c>
      <c r="AA125" s="808"/>
      <c r="AB125" s="162">
        <v>469.65</v>
      </c>
      <c r="AC125" s="816">
        <f t="shared" si="139"/>
        <v>1.0463289926590993</v>
      </c>
      <c r="AD125" s="816">
        <f t="shared" si="140"/>
        <v>0.9356449963861172</v>
      </c>
      <c r="AE125" s="818">
        <f t="shared" si="169"/>
        <v>6.9839385251023743E-5</v>
      </c>
      <c r="AF125" s="805"/>
      <c r="AG125" s="162">
        <v>1346.48</v>
      </c>
      <c r="AH125" s="816">
        <f t="shared" si="141"/>
        <v>2.6846911512541372</v>
      </c>
      <c r="AI125" s="816">
        <f t="shared" si="142"/>
        <v>2.8061795220879207</v>
      </c>
      <c r="AJ125" s="818">
        <f t="shared" si="170"/>
        <v>2.478781065780535E-4</v>
      </c>
      <c r="AK125" s="808"/>
      <c r="AL125" s="162">
        <v>1343.78</v>
      </c>
      <c r="AM125" s="816">
        <f t="shared" si="143"/>
        <v>3.0723538906849455</v>
      </c>
      <c r="AN125" s="816">
        <f t="shared" si="144"/>
        <v>2.4755107221532215</v>
      </c>
      <c r="AO125" s="818">
        <f t="shared" si="171"/>
        <v>2.1550676836438836E-4</v>
      </c>
      <c r="AP125" s="805"/>
      <c r="AQ125" s="162">
        <v>402.96</v>
      </c>
      <c r="AR125" s="816">
        <f t="shared" si="145"/>
        <v>1.0376955207276435</v>
      </c>
      <c r="AS125" s="816">
        <f t="shared" si="146"/>
        <v>0.92359527383994766</v>
      </c>
      <c r="AT125" s="818">
        <f t="shared" si="172"/>
        <v>9.1295992423574512E-5</v>
      </c>
      <c r="AU125" s="808"/>
      <c r="AV125" s="162"/>
      <c r="AW125" s="816">
        <f t="shared" si="147"/>
        <v>0</v>
      </c>
      <c r="AX125" s="816">
        <f t="shared" si="148"/>
        <v>0</v>
      </c>
      <c r="AY125" s="818">
        <f t="shared" si="173"/>
        <v>0</v>
      </c>
      <c r="AZ125" s="805"/>
      <c r="BA125" s="162"/>
      <c r="BB125" s="816">
        <f t="shared" si="149"/>
        <v>0</v>
      </c>
      <c r="BC125" s="816">
        <f t="shared" si="150"/>
        <v>0</v>
      </c>
      <c r="BD125" s="818">
        <f t="shared" si="174"/>
        <v>0</v>
      </c>
      <c r="BE125" s="808"/>
      <c r="BF125" s="162"/>
      <c r="BG125" s="816">
        <f t="shared" si="151"/>
        <v>0</v>
      </c>
      <c r="BH125" s="816">
        <f t="shared" si="152"/>
        <v>0</v>
      </c>
      <c r="BI125" s="818">
        <f t="shared" si="175"/>
        <v>0</v>
      </c>
      <c r="BJ125" s="811"/>
      <c r="BK125" s="162">
        <f t="shared" si="153"/>
        <v>12182.74</v>
      </c>
      <c r="BL125" s="163">
        <f t="shared" si="128"/>
        <v>1353.6377777777777</v>
      </c>
      <c r="BM125" s="164">
        <f t="shared" si="154"/>
        <v>3.4474138218986186</v>
      </c>
      <c r="BN125" s="164">
        <f t="shared" si="155"/>
        <v>3.0738562741389077</v>
      </c>
      <c r="BO125" s="165">
        <f t="shared" si="156"/>
        <v>2.4545673846653604E-4</v>
      </c>
      <c r="BP125" s="165">
        <f t="shared" si="157"/>
        <v>3.3067620351740206E-5</v>
      </c>
      <c r="BQ125" s="820"/>
      <c r="BR125" s="162">
        <f t="shared" si="158"/>
        <v>10717.099999999999</v>
      </c>
      <c r="BS125" s="163">
        <f t="shared" si="159"/>
        <v>1531.0142857142855</v>
      </c>
      <c r="BT125" s="164">
        <f t="shared" si="160"/>
        <v>3.4553433553970705</v>
      </c>
      <c r="BU125" s="164">
        <f t="shared" si="161"/>
        <v>3.0115893120178754</v>
      </c>
      <c r="BV125" s="165">
        <f t="shared" si="162"/>
        <v>2.1592920263262358E-4</v>
      </c>
      <c r="BW125" s="165">
        <f t="shared" si="163"/>
        <v>3.2964555475041328E-5</v>
      </c>
    </row>
    <row r="126" spans="1:75" s="297" customFormat="1" ht="11.25" outlineLevel="1">
      <c r="A126" s="65" t="s">
        <v>166</v>
      </c>
      <c r="B126" s="805"/>
      <c r="C126" s="821"/>
      <c r="D126" s="825">
        <f t="shared" si="129"/>
        <v>0</v>
      </c>
      <c r="E126" s="825">
        <f t="shared" si="130"/>
        <v>0</v>
      </c>
      <c r="F126" s="823">
        <f t="shared" si="164"/>
        <v>0</v>
      </c>
      <c r="G126" s="808"/>
      <c r="H126" s="821">
        <v>36050</v>
      </c>
      <c r="I126" s="825">
        <f t="shared" si="131"/>
        <v>149.54783041566415</v>
      </c>
      <c r="J126" s="825">
        <f t="shared" si="132"/>
        <v>149.27171551502468</v>
      </c>
      <c r="K126" s="824">
        <f t="shared" si="165"/>
        <v>-2.5194814271236559</v>
      </c>
      <c r="L126" s="805"/>
      <c r="M126" s="825"/>
      <c r="N126" s="825">
        <f t="shared" si="133"/>
        <v>0</v>
      </c>
      <c r="O126" s="825">
        <f t="shared" si="134"/>
        <v>0</v>
      </c>
      <c r="P126" s="824">
        <f t="shared" si="166"/>
        <v>0</v>
      </c>
      <c r="Q126" s="808"/>
      <c r="R126" s="825"/>
      <c r="S126" s="825">
        <f t="shared" si="135"/>
        <v>0</v>
      </c>
      <c r="T126" s="825">
        <f t="shared" si="136"/>
        <v>0</v>
      </c>
      <c r="U126" s="824">
        <f t="shared" si="167"/>
        <v>0</v>
      </c>
      <c r="V126" s="805"/>
      <c r="W126" s="825"/>
      <c r="X126" s="825">
        <f t="shared" si="137"/>
        <v>0</v>
      </c>
      <c r="Y126" s="825">
        <f t="shared" si="138"/>
        <v>0</v>
      </c>
      <c r="Z126" s="824">
        <f t="shared" si="168"/>
        <v>0</v>
      </c>
      <c r="AA126" s="808"/>
      <c r="AB126" s="825"/>
      <c r="AC126" s="825">
        <f t="shared" si="139"/>
        <v>0</v>
      </c>
      <c r="AD126" s="825">
        <f t="shared" si="140"/>
        <v>0</v>
      </c>
      <c r="AE126" s="824">
        <f t="shared" si="169"/>
        <v>0</v>
      </c>
      <c r="AF126" s="805"/>
      <c r="AG126" s="825">
        <v>68700</v>
      </c>
      <c r="AH126" s="825">
        <f t="shared" si="141"/>
        <v>136.97810742911832</v>
      </c>
      <c r="AI126" s="825">
        <f t="shared" si="142"/>
        <v>143.17667783215504</v>
      </c>
      <c r="AJ126" s="824">
        <f t="shared" si="170"/>
        <v>1.264721787320441E-2</v>
      </c>
      <c r="AK126" s="808"/>
      <c r="AL126" s="825"/>
      <c r="AM126" s="825">
        <f t="shared" si="143"/>
        <v>0</v>
      </c>
      <c r="AN126" s="825">
        <f t="shared" si="144"/>
        <v>0</v>
      </c>
      <c r="AO126" s="824">
        <f t="shared" si="171"/>
        <v>0</v>
      </c>
      <c r="AP126" s="805"/>
      <c r="AQ126" s="825"/>
      <c r="AR126" s="825">
        <f t="shared" si="145"/>
        <v>0</v>
      </c>
      <c r="AS126" s="825">
        <f t="shared" si="146"/>
        <v>0</v>
      </c>
      <c r="AT126" s="824">
        <f t="shared" si="172"/>
        <v>0</v>
      </c>
      <c r="AU126" s="808"/>
      <c r="AV126" s="825"/>
      <c r="AW126" s="825">
        <f t="shared" si="147"/>
        <v>0</v>
      </c>
      <c r="AX126" s="825">
        <f t="shared" si="148"/>
        <v>0</v>
      </c>
      <c r="AY126" s="824">
        <f t="shared" si="173"/>
        <v>0</v>
      </c>
      <c r="AZ126" s="805"/>
      <c r="BA126" s="825"/>
      <c r="BB126" s="825">
        <f t="shared" si="149"/>
        <v>0</v>
      </c>
      <c r="BC126" s="825">
        <f t="shared" si="150"/>
        <v>0</v>
      </c>
      <c r="BD126" s="824">
        <f t="shared" si="174"/>
        <v>0</v>
      </c>
      <c r="BE126" s="808"/>
      <c r="BF126" s="825"/>
      <c r="BG126" s="825">
        <f t="shared" si="151"/>
        <v>0</v>
      </c>
      <c r="BH126" s="825">
        <f t="shared" si="152"/>
        <v>0</v>
      </c>
      <c r="BI126" s="824">
        <f t="shared" si="175"/>
        <v>0</v>
      </c>
      <c r="BJ126" s="811"/>
      <c r="BK126" s="825">
        <f t="shared" si="153"/>
        <v>104750</v>
      </c>
      <c r="BL126" s="349">
        <f t="shared" si="128"/>
        <v>11638.888888888889</v>
      </c>
      <c r="BM126" s="852">
        <f t="shared" si="154"/>
        <v>29.641656790170384</v>
      </c>
      <c r="BN126" s="852">
        <f t="shared" si="155"/>
        <v>26.429723093167102</v>
      </c>
      <c r="BO126" s="853">
        <f t="shared" si="156"/>
        <v>2.1104934812997446E-3</v>
      </c>
      <c r="BP126" s="853">
        <f t="shared" si="157"/>
        <v>2.8432300384353493E-4</v>
      </c>
      <c r="BQ126" s="814"/>
      <c r="BR126" s="825">
        <f t="shared" si="158"/>
        <v>68700</v>
      </c>
      <c r="BS126" s="349">
        <f t="shared" si="159"/>
        <v>9814.2857142857138</v>
      </c>
      <c r="BT126" s="852">
        <f t="shared" si="160"/>
        <v>22.149843569228501</v>
      </c>
      <c r="BU126" s="852">
        <f t="shared" si="161"/>
        <v>19.305239825664412</v>
      </c>
      <c r="BV126" s="853">
        <f t="shared" si="162"/>
        <v>1.3841744707860561E-3</v>
      </c>
      <c r="BW126" s="853">
        <f t="shared" si="163"/>
        <v>2.1131322476559326E-4</v>
      </c>
    </row>
    <row r="127" spans="1:75" s="297" customFormat="1" ht="11.25" outlineLevel="1">
      <c r="A127" s="65" t="s">
        <v>168</v>
      </c>
      <c r="B127" s="805"/>
      <c r="C127" s="821"/>
      <c r="D127" s="825">
        <f t="shared" si="129"/>
        <v>0</v>
      </c>
      <c r="E127" s="825">
        <f t="shared" si="130"/>
        <v>0</v>
      </c>
      <c r="F127" s="823">
        <f t="shared" si="164"/>
        <v>0</v>
      </c>
      <c r="G127" s="808"/>
      <c r="H127" s="821"/>
      <c r="I127" s="825">
        <f t="shared" si="131"/>
        <v>0</v>
      </c>
      <c r="J127" s="825">
        <f t="shared" si="132"/>
        <v>0</v>
      </c>
      <c r="K127" s="824">
        <f t="shared" si="165"/>
        <v>0</v>
      </c>
      <c r="L127" s="805"/>
      <c r="M127" s="825">
        <v>15528</v>
      </c>
      <c r="N127" s="825">
        <f t="shared" si="133"/>
        <v>45.195103840466174</v>
      </c>
      <c r="O127" s="825">
        <f t="shared" si="134"/>
        <v>46.963422184168117</v>
      </c>
      <c r="P127" s="824">
        <f t="shared" si="166"/>
        <v>2.4218946689746786E-3</v>
      </c>
      <c r="Q127" s="808"/>
      <c r="R127" s="825"/>
      <c r="S127" s="825">
        <f t="shared" si="135"/>
        <v>0</v>
      </c>
      <c r="T127" s="825">
        <f t="shared" si="136"/>
        <v>0</v>
      </c>
      <c r="U127" s="824">
        <f t="shared" si="167"/>
        <v>0</v>
      </c>
      <c r="V127" s="805"/>
      <c r="W127" s="825"/>
      <c r="X127" s="825">
        <f t="shared" si="137"/>
        <v>0</v>
      </c>
      <c r="Y127" s="825">
        <f t="shared" si="138"/>
        <v>0</v>
      </c>
      <c r="Z127" s="824">
        <f t="shared" si="168"/>
        <v>0</v>
      </c>
      <c r="AA127" s="808"/>
      <c r="AB127" s="825">
        <v>15528</v>
      </c>
      <c r="AC127" s="825">
        <f t="shared" si="139"/>
        <v>34.594690935825604</v>
      </c>
      <c r="AD127" s="825">
        <f t="shared" si="140"/>
        <v>30.93515491085623</v>
      </c>
      <c r="AE127" s="824">
        <f t="shared" si="169"/>
        <v>2.3090939511932218E-3</v>
      </c>
      <c r="AF127" s="805"/>
      <c r="AG127" s="825"/>
      <c r="AH127" s="825">
        <f t="shared" si="141"/>
        <v>0</v>
      </c>
      <c r="AI127" s="825">
        <f t="shared" si="142"/>
        <v>0</v>
      </c>
      <c r="AJ127" s="824">
        <f t="shared" si="170"/>
        <v>0</v>
      </c>
      <c r="AK127" s="808"/>
      <c r="AL127" s="825"/>
      <c r="AM127" s="825">
        <f t="shared" si="143"/>
        <v>0</v>
      </c>
      <c r="AN127" s="825">
        <f t="shared" si="144"/>
        <v>0</v>
      </c>
      <c r="AO127" s="824">
        <f t="shared" si="171"/>
        <v>0</v>
      </c>
      <c r="AP127" s="805"/>
      <c r="AQ127" s="825">
        <v>15528</v>
      </c>
      <c r="AR127" s="825">
        <f t="shared" si="145"/>
        <v>39.987433109635816</v>
      </c>
      <c r="AS127" s="825">
        <f t="shared" si="146"/>
        <v>35.590598104493516</v>
      </c>
      <c r="AT127" s="824">
        <f t="shared" si="172"/>
        <v>3.5180766586094528E-3</v>
      </c>
      <c r="AU127" s="808"/>
      <c r="AV127" s="825"/>
      <c r="AW127" s="825">
        <f t="shared" si="147"/>
        <v>0</v>
      </c>
      <c r="AX127" s="825">
        <f t="shared" si="148"/>
        <v>0</v>
      </c>
      <c r="AY127" s="824">
        <f t="shared" si="173"/>
        <v>0</v>
      </c>
      <c r="AZ127" s="805"/>
      <c r="BA127" s="825"/>
      <c r="BB127" s="825">
        <f t="shared" si="149"/>
        <v>0</v>
      </c>
      <c r="BC127" s="825">
        <f t="shared" si="150"/>
        <v>0</v>
      </c>
      <c r="BD127" s="824">
        <f t="shared" si="174"/>
        <v>0</v>
      </c>
      <c r="BE127" s="808"/>
      <c r="BF127" s="825"/>
      <c r="BG127" s="825">
        <f t="shared" si="151"/>
        <v>0</v>
      </c>
      <c r="BH127" s="825">
        <f t="shared" si="152"/>
        <v>0</v>
      </c>
      <c r="BI127" s="824">
        <f t="shared" si="175"/>
        <v>0</v>
      </c>
      <c r="BJ127" s="811"/>
      <c r="BK127" s="825">
        <f t="shared" si="153"/>
        <v>46584</v>
      </c>
      <c r="BL127" s="349">
        <f t="shared" si="128"/>
        <v>5176</v>
      </c>
      <c r="BM127" s="852">
        <f t="shared" si="154"/>
        <v>13.182118758122167</v>
      </c>
      <c r="BN127" s="852">
        <f t="shared" si="155"/>
        <v>11.753720482788509</v>
      </c>
      <c r="BO127" s="853">
        <f t="shared" si="156"/>
        <v>9.3857019888178822E-4</v>
      </c>
      <c r="BP127" s="853">
        <f t="shared" si="157"/>
        <v>1.2644298626298073E-4</v>
      </c>
      <c r="BQ127" s="814"/>
      <c r="BR127" s="825">
        <f t="shared" si="158"/>
        <v>46584</v>
      </c>
      <c r="BS127" s="349">
        <f t="shared" si="159"/>
        <v>6654.8571428571431</v>
      </c>
      <c r="BT127" s="852">
        <f t="shared" si="160"/>
        <v>15.01933497567599</v>
      </c>
      <c r="BU127" s="852">
        <f t="shared" si="161"/>
        <v>13.090470044232182</v>
      </c>
      <c r="BV127" s="853">
        <f t="shared" si="162"/>
        <v>9.3857909093300791E-4</v>
      </c>
      <c r="BW127" s="853">
        <f t="shared" si="163"/>
        <v>1.4328697616419791E-4</v>
      </c>
    </row>
    <row r="128" spans="1:75" s="297" customFormat="1" ht="11.25" outlineLevel="1">
      <c r="A128" s="65" t="s">
        <v>237</v>
      </c>
      <c r="B128" s="805"/>
      <c r="C128" s="821">
        <v>18330</v>
      </c>
      <c r="D128" s="825">
        <f t="shared" si="129"/>
        <v>95.860179064513432</v>
      </c>
      <c r="E128" s="825">
        <f t="shared" si="130"/>
        <v>112.30547235525438</v>
      </c>
      <c r="F128" s="823">
        <f t="shared" si="164"/>
        <v>1.2402968592679227</v>
      </c>
      <c r="G128" s="808"/>
      <c r="H128" s="821"/>
      <c r="I128" s="825">
        <f t="shared" si="131"/>
        <v>0</v>
      </c>
      <c r="J128" s="825">
        <f t="shared" si="132"/>
        <v>0</v>
      </c>
      <c r="K128" s="824">
        <f t="shared" si="165"/>
        <v>0</v>
      </c>
      <c r="L128" s="805"/>
      <c r="M128" s="825">
        <v>37500</v>
      </c>
      <c r="N128" s="825">
        <f t="shared" si="133"/>
        <v>109.145826508081</v>
      </c>
      <c r="O128" s="825">
        <f t="shared" si="134"/>
        <v>113.41630164260073</v>
      </c>
      <c r="P128" s="824">
        <f t="shared" si="166"/>
        <v>5.8488569092317397E-3</v>
      </c>
      <c r="Q128" s="808"/>
      <c r="R128" s="825">
        <v>12500</v>
      </c>
      <c r="S128" s="825">
        <f t="shared" si="135"/>
        <v>25.971489537645155</v>
      </c>
      <c r="T128" s="825">
        <f t="shared" si="136"/>
        <v>18.451140420706665</v>
      </c>
      <c r="U128" s="824">
        <f t="shared" si="167"/>
        <v>8.5283039791555159E-4</v>
      </c>
      <c r="V128" s="805"/>
      <c r="W128" s="825">
        <v>18500</v>
      </c>
      <c r="X128" s="825">
        <f t="shared" si="137"/>
        <v>36.874258777568485</v>
      </c>
      <c r="Y128" s="825">
        <f t="shared" si="138"/>
        <v>31.376683359062213</v>
      </c>
      <c r="Z128" s="824">
        <f t="shared" si="168"/>
        <v>3.2129610836219426E-3</v>
      </c>
      <c r="AA128" s="808"/>
      <c r="AB128" s="825">
        <v>19700</v>
      </c>
      <c r="AC128" s="825">
        <f t="shared" si="139"/>
        <v>43.889452050216661</v>
      </c>
      <c r="AD128" s="825">
        <f t="shared" si="140"/>
        <v>39.246686742907499</v>
      </c>
      <c r="AE128" s="824">
        <f t="shared" si="169"/>
        <v>2.9294919396256102E-3</v>
      </c>
      <c r="AF128" s="805"/>
      <c r="AG128" s="825">
        <v>44000</v>
      </c>
      <c r="AH128" s="825">
        <f t="shared" si="141"/>
        <v>87.729792239901101</v>
      </c>
      <c r="AI128" s="825">
        <f t="shared" si="142"/>
        <v>91.699764550434097</v>
      </c>
      <c r="AJ128" s="824">
        <f t="shared" si="170"/>
        <v>8.1001104282531888E-3</v>
      </c>
      <c r="AK128" s="808"/>
      <c r="AL128" s="825">
        <v>37000</v>
      </c>
      <c r="AM128" s="825">
        <f t="shared" si="143"/>
        <v>84.595018496586476</v>
      </c>
      <c r="AN128" s="825">
        <f t="shared" si="144"/>
        <v>68.161378142009255</v>
      </c>
      <c r="AO128" s="824">
        <f t="shared" si="171"/>
        <v>5.933821331975747E-3</v>
      </c>
      <c r="AP128" s="805"/>
      <c r="AQ128" s="825">
        <v>20790</v>
      </c>
      <c r="AR128" s="825">
        <f t="shared" si="145"/>
        <v>53.53804317035862</v>
      </c>
      <c r="AS128" s="825">
        <f t="shared" si="146"/>
        <v>47.651245143767404</v>
      </c>
      <c r="AT128" s="824">
        <f t="shared" si="172"/>
        <v>4.7102533315617288E-3</v>
      </c>
      <c r="AU128" s="808"/>
      <c r="AV128" s="825"/>
      <c r="AW128" s="825">
        <f t="shared" si="147"/>
        <v>0</v>
      </c>
      <c r="AX128" s="825">
        <f t="shared" si="148"/>
        <v>0</v>
      </c>
      <c r="AY128" s="824">
        <f t="shared" si="173"/>
        <v>0</v>
      </c>
      <c r="AZ128" s="805"/>
      <c r="BA128" s="825"/>
      <c r="BB128" s="825">
        <f t="shared" si="149"/>
        <v>0</v>
      </c>
      <c r="BC128" s="825">
        <f t="shared" si="150"/>
        <v>0</v>
      </c>
      <c r="BD128" s="824">
        <f t="shared" si="174"/>
        <v>0</v>
      </c>
      <c r="BE128" s="808"/>
      <c r="BF128" s="825"/>
      <c r="BG128" s="825">
        <f t="shared" si="151"/>
        <v>0</v>
      </c>
      <c r="BH128" s="825">
        <f t="shared" si="152"/>
        <v>0</v>
      </c>
      <c r="BI128" s="824">
        <f t="shared" si="175"/>
        <v>0</v>
      </c>
      <c r="BJ128" s="811"/>
      <c r="BK128" s="825">
        <f t="shared" si="153"/>
        <v>208320</v>
      </c>
      <c r="BL128" s="349">
        <f t="shared" si="128"/>
        <v>23146.666666666668</v>
      </c>
      <c r="BM128" s="852">
        <f t="shared" si="154"/>
        <v>58.949402792632874</v>
      </c>
      <c r="BN128" s="852">
        <f t="shared" si="155"/>
        <v>52.561717563423109</v>
      </c>
      <c r="BO128" s="853">
        <f t="shared" si="156"/>
        <v>4.1972124298268526E-3</v>
      </c>
      <c r="BP128" s="853">
        <f t="shared" si="157"/>
        <v>5.6544313279890404E-4</v>
      </c>
      <c r="BQ128" s="814"/>
      <c r="BR128" s="825">
        <f t="shared" si="158"/>
        <v>189990</v>
      </c>
      <c r="BS128" s="349">
        <f t="shared" si="159"/>
        <v>27141.428571428572</v>
      </c>
      <c r="BT128" s="852">
        <f t="shared" si="160"/>
        <v>61.255440752805285</v>
      </c>
      <c r="BU128" s="852">
        <f t="shared" si="161"/>
        <v>53.388682889053591</v>
      </c>
      <c r="BV128" s="853">
        <f t="shared" si="162"/>
        <v>3.8279375211738402E-3</v>
      </c>
      <c r="BW128" s="853">
        <f t="shared" si="163"/>
        <v>5.8438718447183496E-4</v>
      </c>
    </row>
    <row r="129" spans="1:75" s="297" customFormat="1" ht="11.25" outlineLevel="1">
      <c r="A129" s="65"/>
      <c r="B129" s="805"/>
      <c r="C129" s="821"/>
      <c r="D129" s="825">
        <f t="shared" si="129"/>
        <v>0</v>
      </c>
      <c r="E129" s="825">
        <f t="shared" si="130"/>
        <v>0</v>
      </c>
      <c r="F129" s="823">
        <f t="shared" si="164"/>
        <v>0</v>
      </c>
      <c r="G129" s="808"/>
      <c r="H129" s="821"/>
      <c r="I129" s="825">
        <f t="shared" si="131"/>
        <v>0</v>
      </c>
      <c r="J129" s="825">
        <f t="shared" si="132"/>
        <v>0</v>
      </c>
      <c r="K129" s="824">
        <f t="shared" si="165"/>
        <v>0</v>
      </c>
      <c r="L129" s="805"/>
      <c r="M129" s="825"/>
      <c r="N129" s="825">
        <f t="shared" si="133"/>
        <v>0</v>
      </c>
      <c r="O129" s="825">
        <f t="shared" si="134"/>
        <v>0</v>
      </c>
      <c r="P129" s="824">
        <f t="shared" si="166"/>
        <v>0</v>
      </c>
      <c r="Q129" s="808"/>
      <c r="R129" s="825"/>
      <c r="S129" s="825">
        <f t="shared" si="135"/>
        <v>0</v>
      </c>
      <c r="T129" s="825">
        <f t="shared" si="136"/>
        <v>0</v>
      </c>
      <c r="U129" s="824">
        <f t="shared" si="167"/>
        <v>0</v>
      </c>
      <c r="V129" s="805"/>
      <c r="W129" s="825"/>
      <c r="X129" s="825">
        <f t="shared" si="137"/>
        <v>0</v>
      </c>
      <c r="Y129" s="825">
        <f t="shared" si="138"/>
        <v>0</v>
      </c>
      <c r="Z129" s="824">
        <f t="shared" si="168"/>
        <v>0</v>
      </c>
      <c r="AA129" s="808"/>
      <c r="AB129" s="825"/>
      <c r="AC129" s="825">
        <f t="shared" si="139"/>
        <v>0</v>
      </c>
      <c r="AD129" s="825">
        <f t="shared" si="140"/>
        <v>0</v>
      </c>
      <c r="AE129" s="824">
        <f t="shared" si="169"/>
        <v>0</v>
      </c>
      <c r="AF129" s="805"/>
      <c r="AG129" s="825"/>
      <c r="AH129" s="825">
        <f t="shared" si="141"/>
        <v>0</v>
      </c>
      <c r="AI129" s="825">
        <f t="shared" si="142"/>
        <v>0</v>
      </c>
      <c r="AJ129" s="824">
        <f t="shared" si="170"/>
        <v>0</v>
      </c>
      <c r="AK129" s="808"/>
      <c r="AL129" s="825"/>
      <c r="AM129" s="825">
        <f t="shared" si="143"/>
        <v>0</v>
      </c>
      <c r="AN129" s="825">
        <f t="shared" si="144"/>
        <v>0</v>
      </c>
      <c r="AO129" s="824">
        <f t="shared" si="171"/>
        <v>0</v>
      </c>
      <c r="AP129" s="805"/>
      <c r="AQ129" s="825"/>
      <c r="AR129" s="825">
        <f t="shared" si="145"/>
        <v>0</v>
      </c>
      <c r="AS129" s="825">
        <f t="shared" si="146"/>
        <v>0</v>
      </c>
      <c r="AT129" s="824">
        <f t="shared" si="172"/>
        <v>0</v>
      </c>
      <c r="AU129" s="808"/>
      <c r="AV129" s="825"/>
      <c r="AW129" s="825">
        <f t="shared" si="147"/>
        <v>0</v>
      </c>
      <c r="AX129" s="825">
        <f t="shared" si="148"/>
        <v>0</v>
      </c>
      <c r="AY129" s="824">
        <f t="shared" si="173"/>
        <v>0</v>
      </c>
      <c r="AZ129" s="805"/>
      <c r="BA129" s="825"/>
      <c r="BB129" s="825">
        <f t="shared" si="149"/>
        <v>0</v>
      </c>
      <c r="BC129" s="825">
        <f t="shared" si="150"/>
        <v>0</v>
      </c>
      <c r="BD129" s="824">
        <f t="shared" si="174"/>
        <v>0</v>
      </c>
      <c r="BE129" s="808"/>
      <c r="BF129" s="825"/>
      <c r="BG129" s="825">
        <f t="shared" si="151"/>
        <v>0</v>
      </c>
      <c r="BH129" s="825">
        <f t="shared" si="152"/>
        <v>0</v>
      </c>
      <c r="BI129" s="824">
        <f t="shared" si="175"/>
        <v>0</v>
      </c>
      <c r="BJ129" s="811"/>
      <c r="BK129" s="825">
        <f t="shared" si="153"/>
        <v>0</v>
      </c>
      <c r="BL129" s="349">
        <f t="shared" si="128"/>
        <v>0</v>
      </c>
      <c r="BM129" s="852">
        <f t="shared" si="154"/>
        <v>0</v>
      </c>
      <c r="BN129" s="852">
        <f t="shared" si="155"/>
        <v>0</v>
      </c>
      <c r="BO129" s="853">
        <f t="shared" si="156"/>
        <v>0</v>
      </c>
      <c r="BP129" s="853">
        <f t="shared" si="157"/>
        <v>0</v>
      </c>
      <c r="BQ129" s="814"/>
      <c r="BR129" s="825">
        <f t="shared" si="158"/>
        <v>0</v>
      </c>
      <c r="BS129" s="349">
        <f t="shared" si="159"/>
        <v>0</v>
      </c>
      <c r="BT129" s="852">
        <f t="shared" si="160"/>
        <v>0</v>
      </c>
      <c r="BU129" s="852">
        <f t="shared" si="161"/>
        <v>0</v>
      </c>
      <c r="BV129" s="853">
        <f t="shared" si="162"/>
        <v>0</v>
      </c>
      <c r="BW129" s="853">
        <f t="shared" si="163"/>
        <v>0</v>
      </c>
    </row>
    <row r="130" spans="1:75" s="297" customFormat="1" ht="11.25" outlineLevel="1">
      <c r="A130" s="65"/>
      <c r="B130" s="805"/>
      <c r="C130" s="821"/>
      <c r="D130" s="825">
        <f t="shared" si="129"/>
        <v>0</v>
      </c>
      <c r="E130" s="825">
        <f t="shared" si="130"/>
        <v>0</v>
      </c>
      <c r="F130" s="823">
        <f t="shared" si="164"/>
        <v>0</v>
      </c>
      <c r="G130" s="808"/>
      <c r="H130" s="821"/>
      <c r="I130" s="825">
        <f t="shared" si="131"/>
        <v>0</v>
      </c>
      <c r="J130" s="825">
        <f t="shared" si="132"/>
        <v>0</v>
      </c>
      <c r="K130" s="824">
        <f t="shared" si="165"/>
        <v>0</v>
      </c>
      <c r="L130" s="805"/>
      <c r="M130" s="825"/>
      <c r="N130" s="825">
        <f t="shared" si="133"/>
        <v>0</v>
      </c>
      <c r="O130" s="825">
        <f t="shared" si="134"/>
        <v>0</v>
      </c>
      <c r="P130" s="824">
        <f t="shared" si="166"/>
        <v>0</v>
      </c>
      <c r="Q130" s="808"/>
      <c r="R130" s="825"/>
      <c r="S130" s="825">
        <f t="shared" si="135"/>
        <v>0</v>
      </c>
      <c r="T130" s="825">
        <f t="shared" si="136"/>
        <v>0</v>
      </c>
      <c r="U130" s="824">
        <f t="shared" si="167"/>
        <v>0</v>
      </c>
      <c r="V130" s="805"/>
      <c r="W130" s="825"/>
      <c r="X130" s="825">
        <f t="shared" si="137"/>
        <v>0</v>
      </c>
      <c r="Y130" s="825">
        <f t="shared" si="138"/>
        <v>0</v>
      </c>
      <c r="Z130" s="824">
        <f t="shared" si="168"/>
        <v>0</v>
      </c>
      <c r="AA130" s="808"/>
      <c r="AB130" s="825"/>
      <c r="AC130" s="825">
        <f t="shared" si="139"/>
        <v>0</v>
      </c>
      <c r="AD130" s="825">
        <f t="shared" si="140"/>
        <v>0</v>
      </c>
      <c r="AE130" s="824">
        <f t="shared" si="169"/>
        <v>0</v>
      </c>
      <c r="AF130" s="805"/>
      <c r="AG130" s="825"/>
      <c r="AH130" s="825">
        <f t="shared" si="141"/>
        <v>0</v>
      </c>
      <c r="AI130" s="825">
        <f t="shared" si="142"/>
        <v>0</v>
      </c>
      <c r="AJ130" s="824">
        <f t="shared" si="170"/>
        <v>0</v>
      </c>
      <c r="AK130" s="808"/>
      <c r="AL130" s="825"/>
      <c r="AM130" s="825">
        <f t="shared" si="143"/>
        <v>0</v>
      </c>
      <c r="AN130" s="825">
        <f t="shared" si="144"/>
        <v>0</v>
      </c>
      <c r="AO130" s="824">
        <f t="shared" si="171"/>
        <v>0</v>
      </c>
      <c r="AP130" s="805"/>
      <c r="AQ130" s="825"/>
      <c r="AR130" s="825">
        <f t="shared" si="145"/>
        <v>0</v>
      </c>
      <c r="AS130" s="825">
        <f t="shared" si="146"/>
        <v>0</v>
      </c>
      <c r="AT130" s="824">
        <f t="shared" si="172"/>
        <v>0</v>
      </c>
      <c r="AU130" s="808"/>
      <c r="AV130" s="825"/>
      <c r="AW130" s="825">
        <f t="shared" si="147"/>
        <v>0</v>
      </c>
      <c r="AX130" s="825">
        <f t="shared" si="148"/>
        <v>0</v>
      </c>
      <c r="AY130" s="824">
        <f t="shared" si="173"/>
        <v>0</v>
      </c>
      <c r="AZ130" s="805"/>
      <c r="BA130" s="825"/>
      <c r="BB130" s="825">
        <f t="shared" si="149"/>
        <v>0</v>
      </c>
      <c r="BC130" s="825">
        <f t="shared" si="150"/>
        <v>0</v>
      </c>
      <c r="BD130" s="824">
        <f t="shared" si="174"/>
        <v>0</v>
      </c>
      <c r="BE130" s="808"/>
      <c r="BF130" s="825"/>
      <c r="BG130" s="825">
        <f t="shared" si="151"/>
        <v>0</v>
      </c>
      <c r="BH130" s="825">
        <f t="shared" si="152"/>
        <v>0</v>
      </c>
      <c r="BI130" s="824">
        <f t="shared" si="175"/>
        <v>0</v>
      </c>
      <c r="BJ130" s="811"/>
      <c r="BK130" s="825">
        <f t="shared" ref="BK130:BK151" si="176">SUM(C130,H130,M130,R130,W130,AB130,AG130,AL130,AQ130,AV130,BA130,BF130)</f>
        <v>0</v>
      </c>
      <c r="BL130" s="349">
        <f t="shared" si="128"/>
        <v>0</v>
      </c>
      <c r="BM130" s="852">
        <f t="shared" ref="BM130:BM152" si="177">BK130/$BL$5*1000</f>
        <v>0</v>
      </c>
      <c r="BN130" s="852">
        <f t="shared" ref="BN130:BN152" si="178">BK130/$BK$27*1000</f>
        <v>0</v>
      </c>
      <c r="BO130" s="853">
        <f t="shared" ref="BO130:BO152" si="179">BK130/$BK$151</f>
        <v>0</v>
      </c>
      <c r="BP130" s="853">
        <f t="shared" ref="BP130:BP152" si="180">BK130/$BL$27</f>
        <v>0</v>
      </c>
      <c r="BQ130" s="814"/>
      <c r="BR130" s="825">
        <f t="shared" ref="BR130:BR151" si="181">SUM(M130,R130,W130,AB130,AG130,AL130,AQ130,AV130,BA130,BF130)</f>
        <v>0</v>
      </c>
      <c r="BS130" s="349">
        <f t="shared" ref="BS130:BS151" si="182">BR130/$BS$56</f>
        <v>0</v>
      </c>
      <c r="BT130" s="852">
        <f t="shared" ref="BT130:BT151" si="183">BR130/$BS$5*1000</f>
        <v>0</v>
      </c>
      <c r="BU130" s="852">
        <f t="shared" ref="BU130:BU151" si="184">BR130/$BR$27*1000</f>
        <v>0</v>
      </c>
      <c r="BV130" s="853">
        <f t="shared" ref="BV130:BV151" si="185">BR130/$BR$151</f>
        <v>0</v>
      </c>
      <c r="BW130" s="853">
        <f t="shared" ref="BW130:BW151" si="186">BR130/$BS$27</f>
        <v>0</v>
      </c>
    </row>
    <row r="131" spans="1:75" s="297" customFormat="1" ht="11.25" outlineLevel="1">
      <c r="A131" s="65"/>
      <c r="B131" s="805"/>
      <c r="C131" s="821"/>
      <c r="D131" s="825">
        <f t="shared" si="129"/>
        <v>0</v>
      </c>
      <c r="E131" s="825">
        <f t="shared" si="130"/>
        <v>0</v>
      </c>
      <c r="F131" s="823">
        <f t="shared" si="164"/>
        <v>0</v>
      </c>
      <c r="G131" s="808"/>
      <c r="H131" s="821"/>
      <c r="I131" s="825">
        <f t="shared" si="131"/>
        <v>0</v>
      </c>
      <c r="J131" s="825">
        <f t="shared" si="132"/>
        <v>0</v>
      </c>
      <c r="K131" s="824">
        <f t="shared" si="165"/>
        <v>0</v>
      </c>
      <c r="L131" s="805"/>
      <c r="M131" s="825"/>
      <c r="N131" s="825">
        <f t="shared" si="133"/>
        <v>0</v>
      </c>
      <c r="O131" s="825">
        <f t="shared" si="134"/>
        <v>0</v>
      </c>
      <c r="P131" s="824">
        <f t="shared" si="166"/>
        <v>0</v>
      </c>
      <c r="Q131" s="808"/>
      <c r="R131" s="825"/>
      <c r="S131" s="825">
        <f t="shared" si="135"/>
        <v>0</v>
      </c>
      <c r="T131" s="825">
        <f t="shared" si="136"/>
        <v>0</v>
      </c>
      <c r="U131" s="824">
        <f t="shared" si="167"/>
        <v>0</v>
      </c>
      <c r="V131" s="805"/>
      <c r="W131" s="825"/>
      <c r="X131" s="825">
        <f t="shared" si="137"/>
        <v>0</v>
      </c>
      <c r="Y131" s="825">
        <f t="shared" si="138"/>
        <v>0</v>
      </c>
      <c r="Z131" s="824">
        <f t="shared" si="168"/>
        <v>0</v>
      </c>
      <c r="AA131" s="808"/>
      <c r="AB131" s="825"/>
      <c r="AC131" s="825">
        <f t="shared" si="139"/>
        <v>0</v>
      </c>
      <c r="AD131" s="825">
        <f t="shared" si="140"/>
        <v>0</v>
      </c>
      <c r="AE131" s="824">
        <f t="shared" si="169"/>
        <v>0</v>
      </c>
      <c r="AF131" s="805"/>
      <c r="AG131" s="825"/>
      <c r="AH131" s="825">
        <f t="shared" si="141"/>
        <v>0</v>
      </c>
      <c r="AI131" s="825">
        <f t="shared" si="142"/>
        <v>0</v>
      </c>
      <c r="AJ131" s="824">
        <f t="shared" si="170"/>
        <v>0</v>
      </c>
      <c r="AK131" s="808"/>
      <c r="AL131" s="825"/>
      <c r="AM131" s="825">
        <f t="shared" si="143"/>
        <v>0</v>
      </c>
      <c r="AN131" s="825">
        <f t="shared" si="144"/>
        <v>0</v>
      </c>
      <c r="AO131" s="824">
        <f t="shared" si="171"/>
        <v>0</v>
      </c>
      <c r="AP131" s="805"/>
      <c r="AQ131" s="825"/>
      <c r="AR131" s="825">
        <f t="shared" si="145"/>
        <v>0</v>
      </c>
      <c r="AS131" s="825">
        <f t="shared" si="146"/>
        <v>0</v>
      </c>
      <c r="AT131" s="824">
        <f t="shared" si="172"/>
        <v>0</v>
      </c>
      <c r="AU131" s="808"/>
      <c r="AV131" s="825"/>
      <c r="AW131" s="825">
        <f t="shared" si="147"/>
        <v>0</v>
      </c>
      <c r="AX131" s="825">
        <f t="shared" si="148"/>
        <v>0</v>
      </c>
      <c r="AY131" s="824">
        <f t="shared" si="173"/>
        <v>0</v>
      </c>
      <c r="AZ131" s="805"/>
      <c r="BA131" s="825"/>
      <c r="BB131" s="825">
        <f t="shared" si="149"/>
        <v>0</v>
      </c>
      <c r="BC131" s="825">
        <f t="shared" si="150"/>
        <v>0</v>
      </c>
      <c r="BD131" s="824">
        <f t="shared" si="174"/>
        <v>0</v>
      </c>
      <c r="BE131" s="808"/>
      <c r="BF131" s="825"/>
      <c r="BG131" s="825">
        <f t="shared" si="151"/>
        <v>0</v>
      </c>
      <c r="BH131" s="825">
        <f t="shared" si="152"/>
        <v>0</v>
      </c>
      <c r="BI131" s="824">
        <f t="shared" si="175"/>
        <v>0</v>
      </c>
      <c r="BJ131" s="811"/>
      <c r="BK131" s="825">
        <f t="shared" si="176"/>
        <v>0</v>
      </c>
      <c r="BL131" s="349">
        <f t="shared" si="128"/>
        <v>0</v>
      </c>
      <c r="BM131" s="852">
        <f t="shared" si="177"/>
        <v>0</v>
      </c>
      <c r="BN131" s="852">
        <f t="shared" si="178"/>
        <v>0</v>
      </c>
      <c r="BO131" s="853">
        <f t="shared" si="179"/>
        <v>0</v>
      </c>
      <c r="BP131" s="853">
        <f t="shared" si="180"/>
        <v>0</v>
      </c>
      <c r="BQ131" s="814"/>
      <c r="BR131" s="825">
        <f t="shared" si="181"/>
        <v>0</v>
      </c>
      <c r="BS131" s="349">
        <f t="shared" si="182"/>
        <v>0</v>
      </c>
      <c r="BT131" s="852">
        <f t="shared" si="183"/>
        <v>0</v>
      </c>
      <c r="BU131" s="852">
        <f t="shared" si="184"/>
        <v>0</v>
      </c>
      <c r="BV131" s="853">
        <f t="shared" si="185"/>
        <v>0</v>
      </c>
      <c r="BW131" s="853">
        <f t="shared" si="186"/>
        <v>0</v>
      </c>
    </row>
    <row r="132" spans="1:75" s="297" customFormat="1" ht="11.25">
      <c r="A132" s="123" t="s">
        <v>170</v>
      </c>
      <c r="B132" s="489"/>
      <c r="C132" s="286">
        <f>SUM(C133:C136,C139:C140,C143,C146:C150)</f>
        <v>369952.95</v>
      </c>
      <c r="D132" s="119">
        <f>SUM(D133,D134,D135,D136,D139,D140,D143,D146,D150)</f>
        <v>1048.663291774747</v>
      </c>
      <c r="E132" s="119">
        <f>SUM(E133,E134,E135,E136,E139,E140,E143,E146,E150)</f>
        <v>1228.5667257633627</v>
      </c>
      <c r="F132" s="800">
        <f t="shared" si="164"/>
        <v>25.032814073208012</v>
      </c>
      <c r="G132" s="801"/>
      <c r="H132" s="286">
        <f>SUM(H133:H136,H139:H140,H143,H146:H150)</f>
        <v>778328.08999999985</v>
      </c>
      <c r="I132" s="119">
        <f>SUM(I133,I134,I135,I136,I139,I140,I143,I146,I150)</f>
        <v>2201.7654525844187</v>
      </c>
      <c r="J132" s="119">
        <f>SUM(J133,J134,J135,J136,J139,J140,J143,J146,J150)</f>
        <v>2197.700263223383</v>
      </c>
      <c r="K132" s="802">
        <f t="shared" si="165"/>
        <v>-54.396204354053502</v>
      </c>
      <c r="L132" s="489"/>
      <c r="M132" s="119">
        <f>SUM(M133:M136,M139:M140,M143,M146:M150)</f>
        <v>1478855.35</v>
      </c>
      <c r="N132" s="119">
        <f>SUM(N133,N134,N135,N136,N139,N140,N143,N146,N150)</f>
        <v>2114.6854865505566</v>
      </c>
      <c r="O132" s="119">
        <f>SUM(O133,O134,O135,O136,O139,O140,O143,O146,O150)</f>
        <v>2197.4253592196715</v>
      </c>
      <c r="P132" s="802">
        <f t="shared" si="166"/>
        <v>0.23065635550938196</v>
      </c>
      <c r="Q132" s="801"/>
      <c r="R132" s="119">
        <f>SUM(R133:R136,R139:R140,R143,R146:R150)</f>
        <v>1356061.5399999998</v>
      </c>
      <c r="S132" s="119">
        <f>SUM(S133,S134,S135,S136,S139,S140,S143,S146,S150)</f>
        <v>923.35520479038939</v>
      </c>
      <c r="T132" s="119">
        <f>SUM(T133,T134,T135,T136,T139,T140,T143,T146,T150)</f>
        <v>655.98688581504371</v>
      </c>
      <c r="U132" s="802">
        <f t="shared" si="167"/>
        <v>9.2519240220494042E-2</v>
      </c>
      <c r="V132" s="489"/>
      <c r="W132" s="119">
        <f>SUM(W133:W136,W139:W140,W143,W146:W150)</f>
        <v>1316831.97</v>
      </c>
      <c r="X132" s="119">
        <f>SUM(X133,X134,X135,X136,X139,X140,X143,X146,X150)</f>
        <v>762.86674440159061</v>
      </c>
      <c r="Y132" s="119">
        <f>SUM(Y133,Y134,Y135,Y136,Y139,Y140,Y143,Y146,Y150)</f>
        <v>649.1311033161254</v>
      </c>
      <c r="Z132" s="802">
        <f t="shared" si="168"/>
        <v>0.22869891206914689</v>
      </c>
      <c r="AA132" s="801"/>
      <c r="AB132" s="119">
        <f>SUM(AB133:AB136,AB139:AB140,AB143,AB146:AB150)</f>
        <v>1543934.54</v>
      </c>
      <c r="AC132" s="119">
        <f>SUM(AC133,AC134,AC135,AC136,AC139,AC140,AC143,AC146,AC150)</f>
        <v>1235.2607412193249</v>
      </c>
      <c r="AD132" s="119">
        <f>SUM(AD133,AD134,AD135,AD136,AD139,AD140,AD143,AD146,AD150)</f>
        <v>1104.5909459288237</v>
      </c>
      <c r="AE132" s="802">
        <f t="shared" si="169"/>
        <v>0.22959105534211036</v>
      </c>
      <c r="AF132" s="489"/>
      <c r="AG132" s="119">
        <f>SUM(AG133:AG136,AG139:AG140,AG143,AG146:AG150)</f>
        <v>948900.31</v>
      </c>
      <c r="AH132" s="119">
        <f>SUM(AH133,AH134,AH135,AH136,AH139,AH140,AH143,AH146,AH150)</f>
        <v>198.25070781991468</v>
      </c>
      <c r="AI132" s="119">
        <f>SUM(AI133,AI134,AI135,AI136,AI139,AI140,AI143,AI146,AI150)</f>
        <v>207.22200252486962</v>
      </c>
      <c r="AJ132" s="802">
        <f t="shared" si="170"/>
        <v>0.17468630219099279</v>
      </c>
      <c r="AK132" s="801"/>
      <c r="AL132" s="119">
        <f>SUM(AL133:AL136,AL139:AL140,AL143,AL146:AL150)</f>
        <v>1521015.3399999999</v>
      </c>
      <c r="AM132" s="119">
        <f>SUM(AM133,AM134,AM135,AM136,AM139,AM140,AM143,AM146,AM150)</f>
        <v>1130.6546968526077</v>
      </c>
      <c r="AN132" s="119">
        <f>SUM(AN133,AN134,AN135,AN136,AN139,AN140,AN143,AN146,AN150)</f>
        <v>911.01088113503056</v>
      </c>
      <c r="AO132" s="802">
        <f t="shared" si="171"/>
        <v>0.24393062893930656</v>
      </c>
      <c r="AP132" s="489"/>
      <c r="AQ132" s="119">
        <f>SUM(AQ133:AQ136,AQ139:AQ140,AQ143,AQ146:AQ150)</f>
        <v>931947.14999999991</v>
      </c>
      <c r="AR132" s="119">
        <f>SUM(AR133,AR134,AR135,AR136,AR139,AR140,AR143,AR146,AR150)</f>
        <v>509.68953600362579</v>
      </c>
      <c r="AS132" s="119">
        <f>SUM(AS133,AS134,AS135,AS136,AS139,AS140,AS143,AS146,AS150)</f>
        <v>453.64640896641026</v>
      </c>
      <c r="AT132" s="802">
        <f t="shared" si="172"/>
        <v>0.21114512593203258</v>
      </c>
      <c r="AU132" s="801"/>
      <c r="AV132" s="119">
        <f>SUM(AV133:AV136,AV139:AV140,AV143,AV146:AV150)</f>
        <v>0</v>
      </c>
      <c r="AW132" s="119">
        <f>SUM(AW133,AW134,AW135,AW136,AW139,AW140,AW143,AW146,AW150)</f>
        <v>0</v>
      </c>
      <c r="AX132" s="119">
        <f>SUM(AX133,AX134,AX135,AX136,AX139,AX140,AX143,AX146,AX150)</f>
        <v>0</v>
      </c>
      <c r="AY132" s="802">
        <f t="shared" si="173"/>
        <v>0</v>
      </c>
      <c r="AZ132" s="489"/>
      <c r="BA132" s="119">
        <f>SUM(BA133:BA136,BA139:BA140,BA143,BA146:BA150)</f>
        <v>0</v>
      </c>
      <c r="BB132" s="119">
        <f>SUM(BB133,BB134,BB135,BB136,BB139,BB140,BB143,BB146,BB150)</f>
        <v>0</v>
      </c>
      <c r="BC132" s="119">
        <f>SUM(BC133,BC134,BC135,BC136,BC139,BC140,BC143,BC146,BC150)</f>
        <v>0</v>
      </c>
      <c r="BD132" s="802">
        <f t="shared" si="174"/>
        <v>0</v>
      </c>
      <c r="BE132" s="801"/>
      <c r="BF132" s="119">
        <f>SUM(BF133:BF136,BF139:BF140,BF143,BF146:BF150)</f>
        <v>0</v>
      </c>
      <c r="BG132" s="119">
        <f>SUM(BG133,BG134,BG135,BG136,BG139,BG140,BG143,BG146,BG150)</f>
        <v>0</v>
      </c>
      <c r="BH132" s="119">
        <f>SUM(BH133,BH134,BH135,BH136,BH139,BH140,BH143,BH146,BH150)</f>
        <v>0</v>
      </c>
      <c r="BI132" s="802">
        <f t="shared" si="175"/>
        <v>0</v>
      </c>
      <c r="BJ132" s="571"/>
      <c r="BK132" s="119">
        <f t="shared" si="176"/>
        <v>10245827.24</v>
      </c>
      <c r="BL132" s="1653">
        <f>(BK132)/$BL$56</f>
        <v>1138425.2488888889</v>
      </c>
      <c r="BM132" s="121">
        <f t="shared" si="177"/>
        <v>2899.3154613790803</v>
      </c>
      <c r="BN132" s="121">
        <f t="shared" si="178"/>
        <v>2585.149181991681</v>
      </c>
      <c r="BO132" s="122">
        <f t="shared" si="179"/>
        <v>0.2064319961865714</v>
      </c>
      <c r="BP132" s="122">
        <f t="shared" si="180"/>
        <v>2.7810256589391073E-2</v>
      </c>
      <c r="BQ132" s="575"/>
      <c r="BR132" s="119">
        <f t="shared" si="181"/>
        <v>9097546.1999999993</v>
      </c>
      <c r="BS132" s="851">
        <f t="shared" si="182"/>
        <v>1299649.4571428571</v>
      </c>
      <c r="BT132" s="121">
        <f t="shared" si="183"/>
        <v>2933.1764948155628</v>
      </c>
      <c r="BU132" s="121">
        <f t="shared" si="184"/>
        <v>2556.4819682105081</v>
      </c>
      <c r="BV132" s="122">
        <f t="shared" si="185"/>
        <v>0.18329827069631288</v>
      </c>
      <c r="BW132" s="122">
        <f t="shared" si="186"/>
        <v>2.7982995996738994E-2</v>
      </c>
    </row>
    <row r="133" spans="1:75" s="297" customFormat="1" ht="22.5" outlineLevel="1">
      <c r="A133" s="65" t="s">
        <v>430</v>
      </c>
      <c r="B133" s="805"/>
      <c r="C133" s="821">
        <v>10080</v>
      </c>
      <c r="D133" s="825">
        <f t="shared" ref="D133:D150" si="187">IF(C$5=0,0,C133/C$5*1000)</f>
        <v>52.715253953644051</v>
      </c>
      <c r="E133" s="825">
        <f t="shared" ref="E133:E150" si="188">IF(C$27=0,0,C133/C$27*1000)</f>
        <v>61.75881949486984</v>
      </c>
      <c r="F133" s="823">
        <f t="shared" si="164"/>
        <v>0.68206177530936507</v>
      </c>
      <c r="G133" s="808"/>
      <c r="H133" s="821">
        <v>20583</v>
      </c>
      <c r="I133" s="825">
        <f t="shared" ref="I133:I150" si="189">IF(H$5=0,0,H133/H$5*1000)</f>
        <v>85.385381232888079</v>
      </c>
      <c r="J133" s="825">
        <f t="shared" ref="J133:J150" si="190">IF(H$27=0,0,H133/H$27*1000)</f>
        <v>85.227731496414791</v>
      </c>
      <c r="K133" s="824">
        <f t="shared" si="165"/>
        <v>-1.4385155676695203</v>
      </c>
      <c r="L133" s="805"/>
      <c r="M133" s="825">
        <v>3368</v>
      </c>
      <c r="N133" s="825">
        <f t="shared" ref="N133:N150" si="191">IF(M$5=0,0,M133/M$5*1000)</f>
        <v>9.8027504981124487</v>
      </c>
      <c r="O133" s="825">
        <f t="shared" ref="O133:O150" si="192">IF(M$27=0,0,M133/M$27*1000)</f>
        <v>10.18629610486078</v>
      </c>
      <c r="P133" s="824">
        <f t="shared" si="166"/>
        <v>5.2530533520779999E-4</v>
      </c>
      <c r="Q133" s="808"/>
      <c r="R133" s="825">
        <v>19849</v>
      </c>
      <c r="S133" s="825">
        <f t="shared" ref="S133:S150" si="193">IF(R$5=0,0,R133/R$5*1000)</f>
        <v>41.240647666617498</v>
      </c>
      <c r="T133" s="825">
        <f t="shared" ref="T133:T150" si="194">IF(R$27=0,0,R133/R$27*1000)</f>
        <v>29.298934896848529</v>
      </c>
      <c r="U133" s="824">
        <f t="shared" si="167"/>
        <v>1.3542264454580626E-3</v>
      </c>
      <c r="V133" s="805"/>
      <c r="W133" s="825">
        <v>21664</v>
      </c>
      <c r="X133" s="825">
        <f t="shared" ref="X133:X150" si="195">IF(W$5=0,0,W133/W$5*1000)</f>
        <v>43.180753630121281</v>
      </c>
      <c r="Y133" s="825">
        <f t="shared" ref="Y133:Y150" si="196">IF(W$27=0,0,W133/W$27*1000)</f>
        <v>36.742944231931013</v>
      </c>
      <c r="Z133" s="824">
        <f t="shared" si="168"/>
        <v>3.7624642657073386E-3</v>
      </c>
      <c r="AA133" s="808"/>
      <c r="AB133" s="825">
        <v>276093.98</v>
      </c>
      <c r="AC133" s="825">
        <f t="shared" ref="AC133:AC150" si="197">IF(AB$5=0,0,AB133/AB$5*1000)</f>
        <v>615.10728408951661</v>
      </c>
      <c r="AD133" s="825">
        <f t="shared" ref="AD133:AD150" si="198">IF(AB$27=0,0,AB133/AB$27*1000)</f>
        <v>550.03928653109494</v>
      </c>
      <c r="AE133" s="824">
        <f t="shared" si="169"/>
        <v>4.1056603501987532E-2</v>
      </c>
      <c r="AF133" s="805"/>
      <c r="AG133" s="825">
        <v>41760</v>
      </c>
      <c r="AH133" s="825">
        <f t="shared" ref="AH133:AH150" si="199">IF(AG$5=0,0,AG133/AG$5*1000)</f>
        <v>83.263548271324311</v>
      </c>
      <c r="AI133" s="825">
        <f t="shared" ref="AI133:AI150" si="200">IF(AG$27=0,0,AG133/AG$27*1000)</f>
        <v>87.031412900593807</v>
      </c>
      <c r="AJ133" s="824">
        <f t="shared" si="170"/>
        <v>7.6877411700875713E-3</v>
      </c>
      <c r="AK133" s="808"/>
      <c r="AL133" s="825">
        <v>178037.3</v>
      </c>
      <c r="AM133" s="825">
        <f t="shared" ref="AM133:AM150" si="201">IF(AL$5=0,0,AL133/AL$5*1000)</f>
        <v>407.05591044817066</v>
      </c>
      <c r="AN133" s="825">
        <f t="shared" ref="AN133:AN150" si="202">IF(AL$27=0,0,AL133/AL$27*1000)</f>
        <v>327.9802088833066</v>
      </c>
      <c r="AO133" s="824">
        <f t="shared" si="171"/>
        <v>2.8552473746685555E-2</v>
      </c>
      <c r="AP133" s="805"/>
      <c r="AQ133" s="825">
        <v>27661</v>
      </c>
      <c r="AR133" s="825">
        <f t="shared" ref="AR133:AR150" si="203">IF(AQ$5=0,0,AQ133/AQ$5*1000)</f>
        <v>71.232121795829229</v>
      </c>
      <c r="AS133" s="825">
        <f t="shared" ref="AS133:AS150" si="204">IF(AQ$27=0,0,AQ133/AQ$27*1000)</f>
        <v>63.399763921200098</v>
      </c>
      <c r="AT133" s="824">
        <f t="shared" si="172"/>
        <v>6.2669705341187572E-3</v>
      </c>
      <c r="AU133" s="808"/>
      <c r="AV133" s="825"/>
      <c r="AW133" s="825">
        <f t="shared" ref="AW133:AW150" si="205">IF(AV$5=0,0,AV133/AV$5*1000)</f>
        <v>0</v>
      </c>
      <c r="AX133" s="825">
        <f t="shared" ref="AX133:AX150" si="206">IF(AV$27=0,0,AV133/AV$27*1000)</f>
        <v>0</v>
      </c>
      <c r="AY133" s="824">
        <f t="shared" si="173"/>
        <v>0</v>
      </c>
      <c r="AZ133" s="805"/>
      <c r="BA133" s="825"/>
      <c r="BB133" s="825">
        <f t="shared" ref="BB133:BB150" si="207">IF(BA$5=0,0,BA133/BA$5*1000)</f>
        <v>0</v>
      </c>
      <c r="BC133" s="825">
        <f t="shared" ref="BC133:BC150" si="208">IF(BA$27=0,0,BA133/BA$27*1000)</f>
        <v>0</v>
      </c>
      <c r="BD133" s="824">
        <f t="shared" si="174"/>
        <v>0</v>
      </c>
      <c r="BE133" s="808"/>
      <c r="BF133" s="825"/>
      <c r="BG133" s="825">
        <f t="shared" ref="BG133:BG150" si="209">IF(BF$5=0,0,BF133/BF$5*1000)</f>
        <v>0</v>
      </c>
      <c r="BH133" s="825">
        <f t="shared" ref="BH133:BH150" si="210">IF(BF$27=0,0,BF133/BF$27*1000)</f>
        <v>0</v>
      </c>
      <c r="BI133" s="824">
        <f t="shared" si="175"/>
        <v>0</v>
      </c>
      <c r="BJ133" s="811"/>
      <c r="BK133" s="825">
        <f t="shared" si="176"/>
        <v>599096.28</v>
      </c>
      <c r="BL133" s="349">
        <f t="shared" ref="BL133:BL152" si="211">BK133/$BL$56</f>
        <v>66566.253333333341</v>
      </c>
      <c r="BM133" s="852">
        <f t="shared" si="177"/>
        <v>169.52941590480017</v>
      </c>
      <c r="BN133" s="852">
        <f t="shared" si="178"/>
        <v>151.15941562335567</v>
      </c>
      <c r="BO133" s="853">
        <f t="shared" si="179"/>
        <v>1.2070537409173524E-2</v>
      </c>
      <c r="BP133" s="853">
        <f t="shared" si="180"/>
        <v>1.626127483733532E-3</v>
      </c>
      <c r="BQ133" s="814"/>
      <c r="BR133" s="825">
        <f t="shared" si="181"/>
        <v>568433.28</v>
      </c>
      <c r="BS133" s="349">
        <f t="shared" si="182"/>
        <v>81204.754285714283</v>
      </c>
      <c r="BT133" s="852">
        <f t="shared" si="183"/>
        <v>183.27086217676074</v>
      </c>
      <c r="BU133" s="852">
        <f t="shared" si="184"/>
        <v>159.73421827203856</v>
      </c>
      <c r="BV133" s="853">
        <f t="shared" si="185"/>
        <v>1.1452850575271938E-2</v>
      </c>
      <c r="BW133" s="853">
        <f t="shared" si="186"/>
        <v>1.7484347810900061E-3</v>
      </c>
    </row>
    <row r="134" spans="1:75" s="297" customFormat="1" ht="22.5" outlineLevel="1">
      <c r="A134" s="65" t="s">
        <v>431</v>
      </c>
      <c r="B134" s="805"/>
      <c r="C134" s="821">
        <v>22093.97</v>
      </c>
      <c r="D134" s="825">
        <f t="shared" si="187"/>
        <v>115.54456740021756</v>
      </c>
      <c r="E134" s="825">
        <f t="shared" si="188"/>
        <v>135.36681598760612</v>
      </c>
      <c r="F134" s="823">
        <f t="shared" si="164"/>
        <v>1.4949853573245886</v>
      </c>
      <c r="G134" s="808"/>
      <c r="H134" s="821">
        <v>328795.07</v>
      </c>
      <c r="I134" s="825">
        <f t="shared" si="189"/>
        <v>1363.9553223263918</v>
      </c>
      <c r="J134" s="825">
        <f t="shared" si="190"/>
        <v>1361.4370083712242</v>
      </c>
      <c r="K134" s="824">
        <f t="shared" si="165"/>
        <v>-22.979003389592851</v>
      </c>
      <c r="L134" s="805"/>
      <c r="M134" s="825">
        <v>518494.81</v>
      </c>
      <c r="N134" s="825">
        <f t="shared" si="191"/>
        <v>1509.1078554026778</v>
      </c>
      <c r="O134" s="825">
        <f t="shared" si="192"/>
        <v>1568.1537005622122</v>
      </c>
      <c r="P134" s="824">
        <f t="shared" si="166"/>
        <v>8.086938538318128E-2</v>
      </c>
      <c r="Q134" s="808"/>
      <c r="R134" s="825">
        <v>193190.96</v>
      </c>
      <c r="S134" s="825">
        <f t="shared" si="193"/>
        <v>401.39655971260987</v>
      </c>
      <c r="T134" s="825">
        <f t="shared" si="194"/>
        <v>285.16748247768999</v>
      </c>
      <c r="U134" s="824">
        <f t="shared" si="167"/>
        <v>1.3180729863238993E-2</v>
      </c>
      <c r="V134" s="805"/>
      <c r="W134" s="825">
        <v>138066.20000000001</v>
      </c>
      <c r="X134" s="825">
        <f t="shared" si="195"/>
        <v>275.19398849921765</v>
      </c>
      <c r="Y134" s="825">
        <f t="shared" si="196"/>
        <v>234.16537513453815</v>
      </c>
      <c r="Z134" s="824">
        <f t="shared" si="168"/>
        <v>2.3978450138571021E-2</v>
      </c>
      <c r="AA134" s="808"/>
      <c r="AB134" s="825">
        <v>231465.25</v>
      </c>
      <c r="AC134" s="825">
        <f t="shared" si="197"/>
        <v>515.67933965311738</v>
      </c>
      <c r="AD134" s="825">
        <f t="shared" si="198"/>
        <v>461.12914510755189</v>
      </c>
      <c r="AE134" s="824">
        <f t="shared" si="169"/>
        <v>3.4420080415148567E-2</v>
      </c>
      <c r="AF134" s="805"/>
      <c r="AG134" s="825">
        <v>9238</v>
      </c>
      <c r="AH134" s="825">
        <f t="shared" si="199"/>
        <v>18.419268652550144</v>
      </c>
      <c r="AI134" s="825">
        <f t="shared" si="200"/>
        <v>19.252782384475228</v>
      </c>
      <c r="AJ134" s="824">
        <f t="shared" si="170"/>
        <v>1.7006550030955216E-3</v>
      </c>
      <c r="AK134" s="808"/>
      <c r="AL134" s="825">
        <v>213719.2</v>
      </c>
      <c r="AM134" s="825">
        <f t="shared" si="201"/>
        <v>488.63728856961256</v>
      </c>
      <c r="AN134" s="825">
        <f t="shared" si="202"/>
        <v>393.713383983992</v>
      </c>
      <c r="AO134" s="824">
        <f t="shared" si="171"/>
        <v>3.4274906703048405E-2</v>
      </c>
      <c r="AP134" s="805"/>
      <c r="AQ134" s="825">
        <v>123601.4</v>
      </c>
      <c r="AR134" s="825">
        <f t="shared" si="203"/>
        <v>318.2961562826726</v>
      </c>
      <c r="AS134" s="825">
        <f t="shared" si="204"/>
        <v>283.29776871153689</v>
      </c>
      <c r="AT134" s="824">
        <f t="shared" si="172"/>
        <v>2.800355488868176E-2</v>
      </c>
      <c r="AU134" s="808"/>
      <c r="AV134" s="825"/>
      <c r="AW134" s="825">
        <f t="shared" si="205"/>
        <v>0</v>
      </c>
      <c r="AX134" s="825">
        <f t="shared" si="206"/>
        <v>0</v>
      </c>
      <c r="AY134" s="824">
        <f t="shared" si="173"/>
        <v>0</v>
      </c>
      <c r="AZ134" s="805"/>
      <c r="BA134" s="825"/>
      <c r="BB134" s="825">
        <f t="shared" si="207"/>
        <v>0</v>
      </c>
      <c r="BC134" s="825">
        <f t="shared" si="208"/>
        <v>0</v>
      </c>
      <c r="BD134" s="824">
        <f t="shared" si="174"/>
        <v>0</v>
      </c>
      <c r="BE134" s="808"/>
      <c r="BF134" s="825"/>
      <c r="BG134" s="825">
        <f t="shared" si="209"/>
        <v>0</v>
      </c>
      <c r="BH134" s="825">
        <f t="shared" si="210"/>
        <v>0</v>
      </c>
      <c r="BI134" s="824">
        <f t="shared" si="175"/>
        <v>0</v>
      </c>
      <c r="BJ134" s="811"/>
      <c r="BK134" s="825">
        <f t="shared" si="176"/>
        <v>1778664.8599999999</v>
      </c>
      <c r="BL134" s="349">
        <f t="shared" si="211"/>
        <v>197629.42888888888</v>
      </c>
      <c r="BM134" s="852">
        <f t="shared" si="177"/>
        <v>503.31812243299714</v>
      </c>
      <c r="BN134" s="852">
        <f t="shared" si="178"/>
        <v>448.77918592216542</v>
      </c>
      <c r="BO134" s="853">
        <f t="shared" si="179"/>
        <v>3.5836377970853678E-2</v>
      </c>
      <c r="BP134" s="853">
        <f t="shared" si="180"/>
        <v>4.8278313682686442E-3</v>
      </c>
      <c r="BQ134" s="814"/>
      <c r="BR134" s="825">
        <f t="shared" si="181"/>
        <v>1427775.8199999998</v>
      </c>
      <c r="BS134" s="349">
        <f t="shared" si="182"/>
        <v>203967.97428571427</v>
      </c>
      <c r="BT134" s="852">
        <f t="shared" si="183"/>
        <v>460.33494999893657</v>
      </c>
      <c r="BU134" s="852">
        <f t="shared" si="184"/>
        <v>401.21622448885961</v>
      </c>
      <c r="BV134" s="853">
        <f t="shared" si="185"/>
        <v>2.8766970015278417E-2</v>
      </c>
      <c r="BW134" s="853">
        <f t="shared" si="186"/>
        <v>4.3916726749132339E-3</v>
      </c>
    </row>
    <row r="135" spans="1:75" s="297" customFormat="1" ht="11.25" outlineLevel="1">
      <c r="A135" s="65" t="s">
        <v>176</v>
      </c>
      <c r="B135" s="805"/>
      <c r="C135" s="821">
        <v>4920</v>
      </c>
      <c r="D135" s="825">
        <f t="shared" si="187"/>
        <v>25.730064429754833</v>
      </c>
      <c r="E135" s="825">
        <f t="shared" si="188"/>
        <v>30.144185705829326</v>
      </c>
      <c r="F135" s="823">
        <f t="shared" si="164"/>
        <v>0.33291110461528534</v>
      </c>
      <c r="G135" s="808"/>
      <c r="H135" s="821">
        <v>1000</v>
      </c>
      <c r="I135" s="825">
        <f t="shared" si="189"/>
        <v>4.1483448104206424</v>
      </c>
      <c r="J135" s="825">
        <f t="shared" si="190"/>
        <v>4.1406855898758579</v>
      </c>
      <c r="K135" s="824">
        <f t="shared" si="165"/>
        <v>-6.9888527798159655E-2</v>
      </c>
      <c r="L135" s="805"/>
      <c r="M135" s="825">
        <v>20500</v>
      </c>
      <c r="N135" s="825">
        <f t="shared" si="191"/>
        <v>59.666385157750938</v>
      </c>
      <c r="O135" s="825">
        <f t="shared" si="192"/>
        <v>62.000911564621738</v>
      </c>
      <c r="P135" s="824">
        <f t="shared" si="166"/>
        <v>3.1973751103800178E-3</v>
      </c>
      <c r="Q135" s="808"/>
      <c r="R135" s="825"/>
      <c r="S135" s="825">
        <f t="shared" si="193"/>
        <v>0</v>
      </c>
      <c r="T135" s="825">
        <f t="shared" si="194"/>
        <v>0</v>
      </c>
      <c r="U135" s="824">
        <f t="shared" si="167"/>
        <v>0</v>
      </c>
      <c r="V135" s="805"/>
      <c r="W135" s="825">
        <v>41500</v>
      </c>
      <c r="X135" s="825">
        <f t="shared" si="195"/>
        <v>82.717931852383373</v>
      </c>
      <c r="Y135" s="825">
        <f t="shared" si="196"/>
        <v>70.38553294059902</v>
      </c>
      <c r="Z135" s="824">
        <f t="shared" si="168"/>
        <v>7.2074532416384115E-3</v>
      </c>
      <c r="AA135" s="808"/>
      <c r="AB135" s="825">
        <v>7000</v>
      </c>
      <c r="AC135" s="825">
        <f t="shared" si="197"/>
        <v>15.595236769112521</v>
      </c>
      <c r="AD135" s="825">
        <f t="shared" si="198"/>
        <v>13.945523208139722</v>
      </c>
      <c r="AE135" s="824">
        <f t="shared" si="169"/>
        <v>1.0409362222019935E-3</v>
      </c>
      <c r="AF135" s="805"/>
      <c r="AG135" s="825"/>
      <c r="AH135" s="825">
        <f t="shared" si="199"/>
        <v>0</v>
      </c>
      <c r="AI135" s="825">
        <f t="shared" si="200"/>
        <v>0</v>
      </c>
      <c r="AJ135" s="824">
        <f t="shared" si="170"/>
        <v>0</v>
      </c>
      <c r="AK135" s="808"/>
      <c r="AL135" s="825"/>
      <c r="AM135" s="825">
        <f t="shared" si="201"/>
        <v>0</v>
      </c>
      <c r="AN135" s="825">
        <f t="shared" si="202"/>
        <v>0</v>
      </c>
      <c r="AO135" s="824">
        <f t="shared" si="171"/>
        <v>0</v>
      </c>
      <c r="AP135" s="805"/>
      <c r="AQ135" s="825"/>
      <c r="AR135" s="825">
        <f t="shared" si="203"/>
        <v>0</v>
      </c>
      <c r="AS135" s="825">
        <f t="shared" si="204"/>
        <v>0</v>
      </c>
      <c r="AT135" s="824">
        <f t="shared" si="172"/>
        <v>0</v>
      </c>
      <c r="AU135" s="808"/>
      <c r="AV135" s="825"/>
      <c r="AW135" s="825">
        <f t="shared" si="205"/>
        <v>0</v>
      </c>
      <c r="AX135" s="825">
        <f t="shared" si="206"/>
        <v>0</v>
      </c>
      <c r="AY135" s="824">
        <f t="shared" si="173"/>
        <v>0</v>
      </c>
      <c r="AZ135" s="805"/>
      <c r="BA135" s="825"/>
      <c r="BB135" s="825">
        <f t="shared" si="207"/>
        <v>0</v>
      </c>
      <c r="BC135" s="825">
        <f t="shared" si="208"/>
        <v>0</v>
      </c>
      <c r="BD135" s="824">
        <f t="shared" si="174"/>
        <v>0</v>
      </c>
      <c r="BE135" s="808"/>
      <c r="BF135" s="825"/>
      <c r="BG135" s="825">
        <f t="shared" si="209"/>
        <v>0</v>
      </c>
      <c r="BH135" s="825">
        <f t="shared" si="210"/>
        <v>0</v>
      </c>
      <c r="BI135" s="824">
        <f t="shared" si="175"/>
        <v>0</v>
      </c>
      <c r="BJ135" s="811"/>
      <c r="BK135" s="825">
        <f t="shared" si="176"/>
        <v>74920</v>
      </c>
      <c r="BL135" s="349">
        <f t="shared" si="211"/>
        <v>8324.4444444444453</v>
      </c>
      <c r="BM135" s="852">
        <f t="shared" si="177"/>
        <v>21.200505267012552</v>
      </c>
      <c r="BN135" s="852">
        <f t="shared" si="178"/>
        <v>18.903244430931544</v>
      </c>
      <c r="BO135" s="853">
        <f t="shared" si="179"/>
        <v>1.5094813519711398E-3</v>
      </c>
      <c r="BP135" s="853">
        <f t="shared" si="180"/>
        <v>2.0335541239100368E-4</v>
      </c>
      <c r="BQ135" s="814"/>
      <c r="BR135" s="825">
        <f t="shared" si="181"/>
        <v>69000</v>
      </c>
      <c r="BS135" s="349">
        <f t="shared" si="182"/>
        <v>9857.1428571428569</v>
      </c>
      <c r="BT135" s="852">
        <f t="shared" si="183"/>
        <v>22.246567776954389</v>
      </c>
      <c r="BU135" s="852">
        <f t="shared" si="184"/>
        <v>19.389542182981721</v>
      </c>
      <c r="BV135" s="853">
        <f t="shared" si="185"/>
        <v>1.3902189007894887E-3</v>
      </c>
      <c r="BW135" s="853">
        <f t="shared" si="186"/>
        <v>2.1223598993924214E-4</v>
      </c>
    </row>
    <row r="136" spans="1:75" s="297" customFormat="1" ht="11.25" outlineLevel="1">
      <c r="A136" s="65" t="s">
        <v>51</v>
      </c>
      <c r="B136" s="805"/>
      <c r="C136" s="821">
        <f>SUM(C137:C138)</f>
        <v>38177</v>
      </c>
      <c r="D136" s="825">
        <f t="shared" si="187"/>
        <v>199.65379466153459</v>
      </c>
      <c r="E136" s="825">
        <f t="shared" si="188"/>
        <v>233.90540196980615</v>
      </c>
      <c r="F136" s="823">
        <f t="shared" si="164"/>
        <v>2.5832413091255582</v>
      </c>
      <c r="G136" s="808"/>
      <c r="H136" s="821">
        <f>SUM(H137:H138)</f>
        <v>14160</v>
      </c>
      <c r="I136" s="825">
        <f t="shared" si="189"/>
        <v>58.740562515556299</v>
      </c>
      <c r="J136" s="825">
        <f t="shared" si="190"/>
        <v>58.632107952642158</v>
      </c>
      <c r="K136" s="824">
        <f t="shared" si="165"/>
        <v>-0.98962155362194071</v>
      </c>
      <c r="L136" s="805"/>
      <c r="M136" s="825">
        <f>SUM(M137:M138)</f>
        <v>0</v>
      </c>
      <c r="N136" s="825">
        <f t="shared" si="191"/>
        <v>0</v>
      </c>
      <c r="O136" s="825">
        <f t="shared" si="192"/>
        <v>0</v>
      </c>
      <c r="P136" s="824">
        <f t="shared" si="166"/>
        <v>0</v>
      </c>
      <c r="Q136" s="808"/>
      <c r="R136" s="825">
        <f>SUM(R137:R138)</f>
        <v>86100</v>
      </c>
      <c r="S136" s="825">
        <f t="shared" si="193"/>
        <v>178.89161993529981</v>
      </c>
      <c r="T136" s="825">
        <f t="shared" si="194"/>
        <v>127.09145521782753</v>
      </c>
      <c r="U136" s="824">
        <f t="shared" si="167"/>
        <v>5.8742957808423195E-3</v>
      </c>
      <c r="V136" s="805"/>
      <c r="W136" s="825">
        <f>SUM(W137:W138)</f>
        <v>0</v>
      </c>
      <c r="X136" s="825">
        <f t="shared" si="195"/>
        <v>0</v>
      </c>
      <c r="Y136" s="825">
        <f t="shared" si="196"/>
        <v>0</v>
      </c>
      <c r="Z136" s="824">
        <f t="shared" si="168"/>
        <v>0</v>
      </c>
      <c r="AA136" s="808"/>
      <c r="AB136" s="825">
        <f>SUM(AB137:AB138)</f>
        <v>30418</v>
      </c>
      <c r="AC136" s="825">
        <f t="shared" si="197"/>
        <v>67.767987434694945</v>
      </c>
      <c r="AD136" s="825">
        <f t="shared" si="198"/>
        <v>60.599274992170585</v>
      </c>
      <c r="AE136" s="824">
        <f t="shared" si="169"/>
        <v>4.5233140009914618E-3</v>
      </c>
      <c r="AF136" s="805"/>
      <c r="AG136" s="825">
        <f>SUM(AG137:AG138)</f>
        <v>25980</v>
      </c>
      <c r="AH136" s="825">
        <f t="shared" si="199"/>
        <v>51.800454599832513</v>
      </c>
      <c r="AI136" s="825">
        <f t="shared" si="200"/>
        <v>54.144542795915399</v>
      </c>
      <c r="AJ136" s="824">
        <f t="shared" si="170"/>
        <v>4.7827470210458599E-3</v>
      </c>
      <c r="AK136" s="808"/>
      <c r="AL136" s="825">
        <f>SUM(AL137:AL138)</f>
        <v>50045</v>
      </c>
      <c r="AM136" s="825">
        <f t="shared" si="201"/>
        <v>114.42047839626136</v>
      </c>
      <c r="AN136" s="825">
        <f t="shared" si="202"/>
        <v>92.192869435590623</v>
      </c>
      <c r="AO136" s="824">
        <f t="shared" si="171"/>
        <v>8.025894285370979E-3</v>
      </c>
      <c r="AP136" s="805"/>
      <c r="AQ136" s="825">
        <f>SUM(AQ137:AQ138)</f>
        <v>10372.86</v>
      </c>
      <c r="AR136" s="825">
        <f t="shared" si="203"/>
        <v>26.712007045699192</v>
      </c>
      <c r="AS136" s="825">
        <f t="shared" si="204"/>
        <v>23.774877090042288</v>
      </c>
      <c r="AT136" s="824">
        <f t="shared" si="172"/>
        <v>2.3501105518433569E-3</v>
      </c>
      <c r="AU136" s="808"/>
      <c r="AV136" s="825">
        <f>SUM(AV137:AV138)</f>
        <v>0</v>
      </c>
      <c r="AW136" s="825">
        <f t="shared" si="205"/>
        <v>0</v>
      </c>
      <c r="AX136" s="825">
        <f t="shared" si="206"/>
        <v>0</v>
      </c>
      <c r="AY136" s="824">
        <f t="shared" si="173"/>
        <v>0</v>
      </c>
      <c r="AZ136" s="805"/>
      <c r="BA136" s="825">
        <f>SUM(BA137:BA138)</f>
        <v>0</v>
      </c>
      <c r="BB136" s="825">
        <f t="shared" si="207"/>
        <v>0</v>
      </c>
      <c r="BC136" s="825">
        <f t="shared" si="208"/>
        <v>0</v>
      </c>
      <c r="BD136" s="824">
        <f t="shared" si="174"/>
        <v>0</v>
      </c>
      <c r="BE136" s="808"/>
      <c r="BF136" s="825">
        <f>SUM(BF137:BF138)</f>
        <v>0</v>
      </c>
      <c r="BG136" s="825">
        <f t="shared" si="209"/>
        <v>0</v>
      </c>
      <c r="BH136" s="825">
        <f t="shared" si="210"/>
        <v>0</v>
      </c>
      <c r="BI136" s="824">
        <f t="shared" si="175"/>
        <v>0</v>
      </c>
      <c r="BJ136" s="811"/>
      <c r="BK136" s="825">
        <f t="shared" si="176"/>
        <v>255252.86</v>
      </c>
      <c r="BL136" s="349">
        <f t="shared" si="211"/>
        <v>28361.428888888888</v>
      </c>
      <c r="BM136" s="852">
        <f t="shared" si="177"/>
        <v>72.230240294314171</v>
      </c>
      <c r="BN136" s="852">
        <f t="shared" si="178"/>
        <v>64.403459747388538</v>
      </c>
      <c r="BO136" s="853">
        <f t="shared" si="179"/>
        <v>5.1428114282875068E-3</v>
      </c>
      <c r="BP136" s="853">
        <f t="shared" si="180"/>
        <v>6.9283303002246565E-4</v>
      </c>
      <c r="BQ136" s="814"/>
      <c r="BR136" s="825">
        <f t="shared" si="181"/>
        <v>202915.86</v>
      </c>
      <c r="BS136" s="349">
        <f t="shared" si="182"/>
        <v>28987.98</v>
      </c>
      <c r="BT136" s="852">
        <f t="shared" si="183"/>
        <v>65.422919311724456</v>
      </c>
      <c r="BU136" s="852">
        <f t="shared" si="184"/>
        <v>57.020951116898743</v>
      </c>
      <c r="BV136" s="853">
        <f t="shared" si="185"/>
        <v>4.0883690411877361E-3</v>
      </c>
      <c r="BW136" s="853">
        <f t="shared" si="186"/>
        <v>6.2414562929670524E-4</v>
      </c>
    </row>
    <row r="137" spans="1:75" s="297" customFormat="1" ht="11.25" outlineLevel="1">
      <c r="A137" s="72" t="s">
        <v>432</v>
      </c>
      <c r="B137" s="854"/>
      <c r="C137" s="306">
        <v>38177</v>
      </c>
      <c r="D137" s="816">
        <f t="shared" si="187"/>
        <v>199.65379466153459</v>
      </c>
      <c r="E137" s="816">
        <f t="shared" si="188"/>
        <v>233.90540196980615</v>
      </c>
      <c r="F137" s="817">
        <f t="shared" si="164"/>
        <v>2.5832413091255582</v>
      </c>
      <c r="G137" s="808"/>
      <c r="H137" s="306">
        <v>14160</v>
      </c>
      <c r="I137" s="816">
        <f t="shared" si="189"/>
        <v>58.740562515556299</v>
      </c>
      <c r="J137" s="816">
        <f t="shared" si="190"/>
        <v>58.632107952642158</v>
      </c>
      <c r="K137" s="818">
        <f t="shared" si="165"/>
        <v>-0.98962155362194071</v>
      </c>
      <c r="L137" s="805"/>
      <c r="M137" s="162"/>
      <c r="N137" s="816">
        <f t="shared" si="191"/>
        <v>0</v>
      </c>
      <c r="O137" s="816">
        <f t="shared" si="192"/>
        <v>0</v>
      </c>
      <c r="P137" s="818">
        <f t="shared" si="166"/>
        <v>0</v>
      </c>
      <c r="Q137" s="808"/>
      <c r="R137" s="162">
        <v>86100</v>
      </c>
      <c r="S137" s="816">
        <f t="shared" si="193"/>
        <v>178.89161993529981</v>
      </c>
      <c r="T137" s="816">
        <f t="shared" si="194"/>
        <v>127.09145521782753</v>
      </c>
      <c r="U137" s="818">
        <f t="shared" si="167"/>
        <v>5.8742957808423195E-3</v>
      </c>
      <c r="V137" s="805"/>
      <c r="W137" s="162"/>
      <c r="X137" s="816">
        <f t="shared" si="195"/>
        <v>0</v>
      </c>
      <c r="Y137" s="816">
        <f t="shared" si="196"/>
        <v>0</v>
      </c>
      <c r="Z137" s="818">
        <f t="shared" si="168"/>
        <v>0</v>
      </c>
      <c r="AA137" s="808"/>
      <c r="AB137" s="162">
        <v>30418</v>
      </c>
      <c r="AC137" s="816">
        <f t="shared" si="197"/>
        <v>67.767987434694945</v>
      </c>
      <c r="AD137" s="816">
        <f t="shared" si="198"/>
        <v>60.599274992170585</v>
      </c>
      <c r="AE137" s="818">
        <f t="shared" si="169"/>
        <v>4.5233140009914618E-3</v>
      </c>
      <c r="AF137" s="805"/>
      <c r="AG137" s="162">
        <v>25980</v>
      </c>
      <c r="AH137" s="816">
        <f t="shared" si="199"/>
        <v>51.800454599832513</v>
      </c>
      <c r="AI137" s="816">
        <f t="shared" si="200"/>
        <v>54.144542795915399</v>
      </c>
      <c r="AJ137" s="818">
        <f t="shared" si="170"/>
        <v>4.7827470210458599E-3</v>
      </c>
      <c r="AK137" s="808"/>
      <c r="AL137" s="162">
        <v>50045</v>
      </c>
      <c r="AM137" s="816">
        <f t="shared" si="201"/>
        <v>114.42047839626136</v>
      </c>
      <c r="AN137" s="816">
        <f t="shared" si="202"/>
        <v>92.192869435590623</v>
      </c>
      <c r="AO137" s="818">
        <f t="shared" si="171"/>
        <v>8.025894285370979E-3</v>
      </c>
      <c r="AP137" s="805"/>
      <c r="AQ137" s="162">
        <v>10372.86</v>
      </c>
      <c r="AR137" s="816">
        <f t="shared" si="203"/>
        <v>26.712007045699192</v>
      </c>
      <c r="AS137" s="816">
        <f t="shared" si="204"/>
        <v>23.774877090042288</v>
      </c>
      <c r="AT137" s="818">
        <f t="shared" si="172"/>
        <v>2.3501105518433569E-3</v>
      </c>
      <c r="AU137" s="808"/>
      <c r="AV137" s="162"/>
      <c r="AW137" s="816">
        <f t="shared" si="205"/>
        <v>0</v>
      </c>
      <c r="AX137" s="816">
        <f t="shared" si="206"/>
        <v>0</v>
      </c>
      <c r="AY137" s="818">
        <f t="shared" si="173"/>
        <v>0</v>
      </c>
      <c r="AZ137" s="805"/>
      <c r="BA137" s="162"/>
      <c r="BB137" s="816">
        <f t="shared" si="207"/>
        <v>0</v>
      </c>
      <c r="BC137" s="816">
        <f t="shared" si="208"/>
        <v>0</v>
      </c>
      <c r="BD137" s="818">
        <f t="shared" si="174"/>
        <v>0</v>
      </c>
      <c r="BE137" s="808"/>
      <c r="BF137" s="162"/>
      <c r="BG137" s="816">
        <f t="shared" si="209"/>
        <v>0</v>
      </c>
      <c r="BH137" s="816">
        <f t="shared" si="210"/>
        <v>0</v>
      </c>
      <c r="BI137" s="818">
        <f t="shared" si="175"/>
        <v>0</v>
      </c>
      <c r="BJ137" s="811"/>
      <c r="BK137" s="162">
        <f t="shared" si="176"/>
        <v>255252.86</v>
      </c>
      <c r="BL137" s="163">
        <f t="shared" si="211"/>
        <v>28361.428888888888</v>
      </c>
      <c r="BM137" s="164">
        <f t="shared" si="177"/>
        <v>72.230240294314171</v>
      </c>
      <c r="BN137" s="164">
        <f t="shared" si="178"/>
        <v>64.403459747388538</v>
      </c>
      <c r="BO137" s="165">
        <f t="shared" si="179"/>
        <v>5.1428114282875068E-3</v>
      </c>
      <c r="BP137" s="165">
        <f t="shared" si="180"/>
        <v>6.9283303002246565E-4</v>
      </c>
      <c r="BQ137" s="820"/>
      <c r="BR137" s="162">
        <f t="shared" si="181"/>
        <v>202915.86</v>
      </c>
      <c r="BS137" s="163">
        <f t="shared" si="182"/>
        <v>28987.98</v>
      </c>
      <c r="BT137" s="164">
        <f t="shared" si="183"/>
        <v>65.422919311724456</v>
      </c>
      <c r="BU137" s="164">
        <f t="shared" si="184"/>
        <v>57.020951116898743</v>
      </c>
      <c r="BV137" s="165">
        <f t="shared" si="185"/>
        <v>4.0883690411877361E-3</v>
      </c>
      <c r="BW137" s="165">
        <f t="shared" si="186"/>
        <v>6.2414562929670524E-4</v>
      </c>
    </row>
    <row r="138" spans="1:75" s="297" customFormat="1" ht="11.25" outlineLevel="1">
      <c r="A138" s="72" t="s">
        <v>433</v>
      </c>
      <c r="B138" s="854"/>
      <c r="C138" s="306"/>
      <c r="D138" s="816">
        <f t="shared" si="187"/>
        <v>0</v>
      </c>
      <c r="E138" s="816">
        <f t="shared" si="188"/>
        <v>0</v>
      </c>
      <c r="F138" s="817">
        <f t="shared" si="164"/>
        <v>0</v>
      </c>
      <c r="G138" s="808"/>
      <c r="H138" s="306"/>
      <c r="I138" s="816">
        <f t="shared" si="189"/>
        <v>0</v>
      </c>
      <c r="J138" s="816">
        <f t="shared" si="190"/>
        <v>0</v>
      </c>
      <c r="K138" s="818">
        <f t="shared" si="165"/>
        <v>0</v>
      </c>
      <c r="L138" s="805"/>
      <c r="M138" s="162"/>
      <c r="N138" s="816">
        <f t="shared" si="191"/>
        <v>0</v>
      </c>
      <c r="O138" s="816">
        <f t="shared" si="192"/>
        <v>0</v>
      </c>
      <c r="P138" s="818">
        <f t="shared" si="166"/>
        <v>0</v>
      </c>
      <c r="Q138" s="808"/>
      <c r="R138" s="162"/>
      <c r="S138" s="816">
        <f t="shared" si="193"/>
        <v>0</v>
      </c>
      <c r="T138" s="816">
        <f t="shared" si="194"/>
        <v>0</v>
      </c>
      <c r="U138" s="818">
        <f t="shared" si="167"/>
        <v>0</v>
      </c>
      <c r="V138" s="805"/>
      <c r="W138" s="162"/>
      <c r="X138" s="816">
        <f t="shared" si="195"/>
        <v>0</v>
      </c>
      <c r="Y138" s="816">
        <f t="shared" si="196"/>
        <v>0</v>
      </c>
      <c r="Z138" s="818">
        <f t="shared" si="168"/>
        <v>0</v>
      </c>
      <c r="AA138" s="808"/>
      <c r="AB138" s="162"/>
      <c r="AC138" s="816">
        <f t="shared" si="197"/>
        <v>0</v>
      </c>
      <c r="AD138" s="816">
        <f t="shared" si="198"/>
        <v>0</v>
      </c>
      <c r="AE138" s="818">
        <f t="shared" si="169"/>
        <v>0</v>
      </c>
      <c r="AF138" s="805"/>
      <c r="AG138" s="162"/>
      <c r="AH138" s="816">
        <f t="shared" si="199"/>
        <v>0</v>
      </c>
      <c r="AI138" s="816">
        <f t="shared" si="200"/>
        <v>0</v>
      </c>
      <c r="AJ138" s="818">
        <f t="shared" si="170"/>
        <v>0</v>
      </c>
      <c r="AK138" s="808"/>
      <c r="AL138" s="162"/>
      <c r="AM138" s="816">
        <f t="shared" si="201"/>
        <v>0</v>
      </c>
      <c r="AN138" s="816">
        <f t="shared" si="202"/>
        <v>0</v>
      </c>
      <c r="AO138" s="818">
        <f t="shared" si="171"/>
        <v>0</v>
      </c>
      <c r="AP138" s="805"/>
      <c r="AQ138" s="162"/>
      <c r="AR138" s="816">
        <f t="shared" si="203"/>
        <v>0</v>
      </c>
      <c r="AS138" s="816">
        <f t="shared" si="204"/>
        <v>0</v>
      </c>
      <c r="AT138" s="818">
        <f t="shared" si="172"/>
        <v>0</v>
      </c>
      <c r="AU138" s="808"/>
      <c r="AV138" s="162"/>
      <c r="AW138" s="816">
        <f t="shared" si="205"/>
        <v>0</v>
      </c>
      <c r="AX138" s="816">
        <f t="shared" si="206"/>
        <v>0</v>
      </c>
      <c r="AY138" s="818">
        <f t="shared" si="173"/>
        <v>0</v>
      </c>
      <c r="AZ138" s="805"/>
      <c r="BA138" s="162"/>
      <c r="BB138" s="816">
        <f t="shared" si="207"/>
        <v>0</v>
      </c>
      <c r="BC138" s="816">
        <f t="shared" si="208"/>
        <v>0</v>
      </c>
      <c r="BD138" s="818">
        <f t="shared" si="174"/>
        <v>0</v>
      </c>
      <c r="BE138" s="808"/>
      <c r="BF138" s="162"/>
      <c r="BG138" s="816">
        <f t="shared" si="209"/>
        <v>0</v>
      </c>
      <c r="BH138" s="816">
        <f t="shared" si="210"/>
        <v>0</v>
      </c>
      <c r="BI138" s="818">
        <f t="shared" si="175"/>
        <v>0</v>
      </c>
      <c r="BJ138" s="811"/>
      <c r="BK138" s="162">
        <f t="shared" si="176"/>
        <v>0</v>
      </c>
      <c r="BL138" s="163">
        <f t="shared" si="211"/>
        <v>0</v>
      </c>
      <c r="BM138" s="164">
        <f t="shared" si="177"/>
        <v>0</v>
      </c>
      <c r="BN138" s="164">
        <f t="shared" si="178"/>
        <v>0</v>
      </c>
      <c r="BO138" s="165">
        <f t="shared" si="179"/>
        <v>0</v>
      </c>
      <c r="BP138" s="165">
        <f t="shared" si="180"/>
        <v>0</v>
      </c>
      <c r="BQ138" s="820"/>
      <c r="BR138" s="162">
        <f t="shared" si="181"/>
        <v>0</v>
      </c>
      <c r="BS138" s="163">
        <f t="shared" si="182"/>
        <v>0</v>
      </c>
      <c r="BT138" s="164">
        <f t="shared" si="183"/>
        <v>0</v>
      </c>
      <c r="BU138" s="164">
        <f t="shared" si="184"/>
        <v>0</v>
      </c>
      <c r="BV138" s="165">
        <f t="shared" si="185"/>
        <v>0</v>
      </c>
      <c r="BW138" s="165">
        <f t="shared" si="186"/>
        <v>0</v>
      </c>
    </row>
    <row r="139" spans="1:75" s="297" customFormat="1" ht="11.25" outlineLevel="1">
      <c r="A139" s="65" t="s">
        <v>434</v>
      </c>
      <c r="B139" s="805"/>
      <c r="C139" s="821">
        <v>10169.93</v>
      </c>
      <c r="D139" s="825">
        <f t="shared" si="187"/>
        <v>53.185559785791988</v>
      </c>
      <c r="E139" s="825">
        <f t="shared" si="188"/>
        <v>62.3098086453831</v>
      </c>
      <c r="F139" s="823">
        <f t="shared" si="164"/>
        <v>0.68814687604880664</v>
      </c>
      <c r="G139" s="808"/>
      <c r="H139" s="821"/>
      <c r="I139" s="825">
        <f t="shared" si="189"/>
        <v>0</v>
      </c>
      <c r="J139" s="825">
        <f t="shared" si="190"/>
        <v>0</v>
      </c>
      <c r="K139" s="824">
        <f t="shared" si="165"/>
        <v>0</v>
      </c>
      <c r="L139" s="805"/>
      <c r="M139" s="825">
        <v>4914.55</v>
      </c>
      <c r="N139" s="825">
        <f t="shared" si="191"/>
        <v>14.304069911074386</v>
      </c>
      <c r="O139" s="825">
        <f t="shared" si="192"/>
        <v>14.863735606337158</v>
      </c>
      <c r="P139" s="824">
        <f t="shared" si="166"/>
        <v>7.6651999262039594E-4</v>
      </c>
      <c r="Q139" s="808"/>
      <c r="R139" s="825">
        <v>12013.97</v>
      </c>
      <c r="S139" s="825">
        <f t="shared" si="193"/>
        <v>24.96165569284662</v>
      </c>
      <c r="T139" s="825">
        <f t="shared" si="194"/>
        <v>17.733715798412579</v>
      </c>
      <c r="U139" s="824">
        <f t="shared" si="167"/>
        <v>8.1967030525163993E-4</v>
      </c>
      <c r="V139" s="805"/>
      <c r="W139" s="825">
        <v>5987.77</v>
      </c>
      <c r="X139" s="825">
        <f t="shared" si="195"/>
        <v>11.934842188138449</v>
      </c>
      <c r="Y139" s="825">
        <f t="shared" si="196"/>
        <v>10.155479098210376</v>
      </c>
      <c r="Z139" s="824">
        <f t="shared" si="168"/>
        <v>1.0399174047394032E-3</v>
      </c>
      <c r="AA139" s="808"/>
      <c r="AB139" s="825">
        <v>920</v>
      </c>
      <c r="AC139" s="825">
        <f t="shared" si="197"/>
        <v>2.0496596896547881</v>
      </c>
      <c r="AD139" s="825">
        <f t="shared" si="198"/>
        <v>1.8328401930697922</v>
      </c>
      <c r="AE139" s="824">
        <f t="shared" si="169"/>
        <v>1.3680876063226199E-4</v>
      </c>
      <c r="AF139" s="805"/>
      <c r="AG139" s="825">
        <v>11893.38</v>
      </c>
      <c r="AH139" s="825">
        <f t="shared" si="199"/>
        <v>23.713721737049884</v>
      </c>
      <c r="AI139" s="825">
        <f t="shared" si="200"/>
        <v>24.786821493382767</v>
      </c>
      <c r="AJ139" s="824">
        <f t="shared" si="170"/>
        <v>2.1894929855722249E-3</v>
      </c>
      <c r="AK139" s="808"/>
      <c r="AL139" s="825">
        <v>12411.99</v>
      </c>
      <c r="AM139" s="825">
        <f t="shared" si="201"/>
        <v>28.378176314309361</v>
      </c>
      <c r="AN139" s="825">
        <f t="shared" si="202"/>
        <v>22.865360645536146</v>
      </c>
      <c r="AO139" s="824">
        <f t="shared" si="171"/>
        <v>1.9905548928180988E-3</v>
      </c>
      <c r="AP139" s="805"/>
      <c r="AQ139" s="825">
        <v>4938.3999999999996</v>
      </c>
      <c r="AR139" s="825">
        <f t="shared" si="203"/>
        <v>12.71728101936022</v>
      </c>
      <c r="AS139" s="825">
        <f t="shared" si="204"/>
        <v>11.318947042711926</v>
      </c>
      <c r="AT139" s="824">
        <f t="shared" si="172"/>
        <v>1.1188607528900643E-3</v>
      </c>
      <c r="AU139" s="808"/>
      <c r="AV139" s="825"/>
      <c r="AW139" s="825">
        <f t="shared" si="205"/>
        <v>0</v>
      </c>
      <c r="AX139" s="825">
        <f t="shared" si="206"/>
        <v>0</v>
      </c>
      <c r="AY139" s="824">
        <f t="shared" si="173"/>
        <v>0</v>
      </c>
      <c r="AZ139" s="805"/>
      <c r="BA139" s="825"/>
      <c r="BB139" s="825">
        <f t="shared" si="207"/>
        <v>0</v>
      </c>
      <c r="BC139" s="825">
        <f t="shared" si="208"/>
        <v>0</v>
      </c>
      <c r="BD139" s="824">
        <f t="shared" si="174"/>
        <v>0</v>
      </c>
      <c r="BE139" s="808"/>
      <c r="BF139" s="825"/>
      <c r="BG139" s="825">
        <f t="shared" si="209"/>
        <v>0</v>
      </c>
      <c r="BH139" s="825">
        <f t="shared" si="210"/>
        <v>0</v>
      </c>
      <c r="BI139" s="824">
        <f t="shared" si="175"/>
        <v>0</v>
      </c>
      <c r="BJ139" s="811"/>
      <c r="BK139" s="825">
        <f t="shared" si="176"/>
        <v>63249.99</v>
      </c>
      <c r="BL139" s="349">
        <f t="shared" si="211"/>
        <v>7027.7766666666666</v>
      </c>
      <c r="BM139" s="852">
        <f t="shared" si="177"/>
        <v>17.898181341877887</v>
      </c>
      <c r="BN139" s="852">
        <f t="shared" si="178"/>
        <v>15.958756289695351</v>
      </c>
      <c r="BO139" s="853">
        <f t="shared" si="179"/>
        <v>1.2743550509524968E-3</v>
      </c>
      <c r="BP139" s="853">
        <f t="shared" si="180"/>
        <v>1.7167949546418657E-4</v>
      </c>
      <c r="BQ139" s="814"/>
      <c r="BR139" s="825">
        <f t="shared" si="181"/>
        <v>53080.06</v>
      </c>
      <c r="BS139" s="349">
        <f t="shared" si="182"/>
        <v>7582.8657142857137</v>
      </c>
      <c r="BT139" s="852">
        <f t="shared" si="183"/>
        <v>17.113755831808778</v>
      </c>
      <c r="BU139" s="852">
        <f t="shared" si="184"/>
        <v>14.915913948481169</v>
      </c>
      <c r="BV139" s="853">
        <f t="shared" si="185"/>
        <v>1.0694623574933348E-3</v>
      </c>
      <c r="BW139" s="853">
        <f t="shared" si="186"/>
        <v>1.6326810261064301E-4</v>
      </c>
    </row>
    <row r="140" spans="1:75" s="297" customFormat="1" ht="11.25" outlineLevel="1">
      <c r="A140" s="65" t="s">
        <v>435</v>
      </c>
      <c r="B140" s="805"/>
      <c r="C140" s="821">
        <f>SUM(C141:C142)</f>
        <v>59580.3</v>
      </c>
      <c r="D140" s="825">
        <f t="shared" si="187"/>
        <v>311.58637352522805</v>
      </c>
      <c r="E140" s="825">
        <f t="shared" si="188"/>
        <v>365.04057471728112</v>
      </c>
      <c r="F140" s="823">
        <f t="shared" si="164"/>
        <v>4.0314925785183098</v>
      </c>
      <c r="G140" s="808"/>
      <c r="H140" s="821">
        <f>SUM(H141:H142)</f>
        <v>131400</v>
      </c>
      <c r="I140" s="825">
        <f t="shared" si="189"/>
        <v>545.09250808927231</v>
      </c>
      <c r="J140" s="825">
        <f t="shared" si="190"/>
        <v>544.08608650968779</v>
      </c>
      <c r="K140" s="824">
        <f t="shared" si="165"/>
        <v>-9.1833525526781798</v>
      </c>
      <c r="L140" s="805"/>
      <c r="M140" s="825">
        <f>SUM(M141:M142)</f>
        <v>72780.02</v>
      </c>
      <c r="N140" s="825">
        <f t="shared" si="191"/>
        <v>211.83027829799107</v>
      </c>
      <c r="O140" s="825">
        <f t="shared" si="192"/>
        <v>220.11841871665374</v>
      </c>
      <c r="P140" s="824">
        <f t="shared" si="166"/>
        <v>1.1351464608827312E-2</v>
      </c>
      <c r="Q140" s="808"/>
      <c r="R140" s="825">
        <f>SUM(R141:R142)</f>
        <v>117533</v>
      </c>
      <c r="S140" s="825">
        <f t="shared" si="193"/>
        <v>244.20056638624385</v>
      </c>
      <c r="T140" s="825">
        <f t="shared" si="194"/>
        <v>173.48943096535334</v>
      </c>
      <c r="U140" s="824">
        <f t="shared" si="167"/>
        <v>8.0188572126566812E-3</v>
      </c>
      <c r="V140" s="805"/>
      <c r="W140" s="825">
        <f>SUM(W141:W142)</f>
        <v>31446.14</v>
      </c>
      <c r="X140" s="825">
        <f t="shared" si="195"/>
        <v>62.678546157602568</v>
      </c>
      <c r="Y140" s="825">
        <f t="shared" si="196"/>
        <v>53.333815007823809</v>
      </c>
      <c r="Z140" s="824">
        <f t="shared" si="168"/>
        <v>5.4613634621690438E-3</v>
      </c>
      <c r="AA140" s="808"/>
      <c r="AB140" s="825">
        <f>SUM(AB141:AB142)</f>
        <v>0</v>
      </c>
      <c r="AC140" s="825">
        <f t="shared" si="197"/>
        <v>0</v>
      </c>
      <c r="AD140" s="825">
        <f t="shared" si="198"/>
        <v>0</v>
      </c>
      <c r="AE140" s="824">
        <f t="shared" si="169"/>
        <v>0</v>
      </c>
      <c r="AF140" s="805"/>
      <c r="AG140" s="825">
        <f>SUM(AG141:AG142)</f>
        <v>3010</v>
      </c>
      <c r="AH140" s="825">
        <f t="shared" si="199"/>
        <v>6.0015153327750532</v>
      </c>
      <c r="AI140" s="825">
        <f t="shared" si="200"/>
        <v>6.273097529472877</v>
      </c>
      <c r="AJ140" s="824">
        <f t="shared" si="170"/>
        <v>5.5412119066004762E-4</v>
      </c>
      <c r="AK140" s="808"/>
      <c r="AL140" s="825">
        <f>SUM(AL141:AL142)</f>
        <v>33810</v>
      </c>
      <c r="AM140" s="825">
        <f t="shared" si="201"/>
        <v>77.301556091069969</v>
      </c>
      <c r="AN140" s="825">
        <f t="shared" si="202"/>
        <v>62.284762026522515</v>
      </c>
      <c r="AO140" s="824">
        <f t="shared" si="171"/>
        <v>5.4222297090297297E-3</v>
      </c>
      <c r="AP140" s="805"/>
      <c r="AQ140" s="825">
        <f>SUM(AQ141:AQ142)</f>
        <v>26000</v>
      </c>
      <c r="AR140" s="825">
        <f t="shared" si="203"/>
        <v>66.954743743594236</v>
      </c>
      <c r="AS140" s="825">
        <f t="shared" si="204"/>
        <v>59.592706769502286</v>
      </c>
      <c r="AT140" s="824">
        <f t="shared" si="172"/>
        <v>5.890648707099805E-3</v>
      </c>
      <c r="AU140" s="808"/>
      <c r="AV140" s="825">
        <f>SUM(AV141:AV142)</f>
        <v>0</v>
      </c>
      <c r="AW140" s="825">
        <f t="shared" si="205"/>
        <v>0</v>
      </c>
      <c r="AX140" s="825">
        <f t="shared" si="206"/>
        <v>0</v>
      </c>
      <c r="AY140" s="824">
        <f t="shared" si="173"/>
        <v>0</v>
      </c>
      <c r="AZ140" s="805"/>
      <c r="BA140" s="825">
        <f>SUM(BA141:BA142)</f>
        <v>0</v>
      </c>
      <c r="BB140" s="825">
        <f t="shared" si="207"/>
        <v>0</v>
      </c>
      <c r="BC140" s="825">
        <f t="shared" si="208"/>
        <v>0</v>
      </c>
      <c r="BD140" s="824">
        <f t="shared" si="174"/>
        <v>0</v>
      </c>
      <c r="BE140" s="808"/>
      <c r="BF140" s="825">
        <f>SUM(BF141:BF142)</f>
        <v>0</v>
      </c>
      <c r="BG140" s="825">
        <f t="shared" si="209"/>
        <v>0</v>
      </c>
      <c r="BH140" s="825">
        <f t="shared" si="210"/>
        <v>0</v>
      </c>
      <c r="BI140" s="824">
        <f t="shared" si="175"/>
        <v>0</v>
      </c>
      <c r="BJ140" s="811"/>
      <c r="BK140" s="825">
        <f t="shared" si="176"/>
        <v>475559.46</v>
      </c>
      <c r="BL140" s="349">
        <f t="shared" si="211"/>
        <v>52839.94</v>
      </c>
      <c r="BM140" s="852">
        <f t="shared" si="177"/>
        <v>134.57155414452276</v>
      </c>
      <c r="BN140" s="852">
        <f t="shared" si="178"/>
        <v>119.98954503232532</v>
      </c>
      <c r="BO140" s="853">
        <f t="shared" si="179"/>
        <v>9.5815287856842648E-3</v>
      </c>
      <c r="BP140" s="853">
        <f t="shared" si="180"/>
        <v>1.2908114002234787E-3</v>
      </c>
      <c r="BQ140" s="814"/>
      <c r="BR140" s="825">
        <f t="shared" si="181"/>
        <v>284579.16000000003</v>
      </c>
      <c r="BS140" s="349">
        <f t="shared" si="182"/>
        <v>40654.165714285722</v>
      </c>
      <c r="BT140" s="852">
        <f t="shared" si="183"/>
        <v>91.752312620996349</v>
      </c>
      <c r="BU140" s="852">
        <f t="shared" si="184"/>
        <v>79.968980104601528</v>
      </c>
      <c r="BV140" s="853">
        <f t="shared" si="185"/>
        <v>5.7337293768521171E-3</v>
      </c>
      <c r="BW140" s="853">
        <f t="shared" si="186"/>
        <v>8.7533245998084035E-4</v>
      </c>
    </row>
    <row r="141" spans="1:75" s="297" customFormat="1" ht="11.25" outlineLevel="1">
      <c r="A141" s="72" t="s">
        <v>436</v>
      </c>
      <c r="B141" s="854"/>
      <c r="C141" s="306">
        <v>59580.3</v>
      </c>
      <c r="D141" s="816">
        <f t="shared" si="187"/>
        <v>311.58637352522805</v>
      </c>
      <c r="E141" s="816">
        <f t="shared" si="188"/>
        <v>365.04057471728112</v>
      </c>
      <c r="F141" s="817">
        <f t="shared" si="164"/>
        <v>4.0314925785183098</v>
      </c>
      <c r="G141" s="808"/>
      <c r="H141" s="306">
        <v>131400</v>
      </c>
      <c r="I141" s="816">
        <f t="shared" si="189"/>
        <v>545.09250808927231</v>
      </c>
      <c r="J141" s="816">
        <f t="shared" si="190"/>
        <v>544.08608650968779</v>
      </c>
      <c r="K141" s="818">
        <f t="shared" si="165"/>
        <v>-9.1833525526781798</v>
      </c>
      <c r="L141" s="805"/>
      <c r="M141" s="162">
        <v>2780.02</v>
      </c>
      <c r="N141" s="816">
        <f t="shared" si="191"/>
        <v>8.0914021495732094</v>
      </c>
      <c r="O141" s="816">
        <f t="shared" si="192"/>
        <v>8.4079889837990116</v>
      </c>
      <c r="P141" s="818">
        <f t="shared" si="166"/>
        <v>4.3359837826139789E-4</v>
      </c>
      <c r="Q141" s="808"/>
      <c r="R141" s="162">
        <v>29214</v>
      </c>
      <c r="S141" s="816">
        <f t="shared" si="193"/>
        <v>60.698487628221244</v>
      </c>
      <c r="T141" s="816">
        <f t="shared" si="194"/>
        <v>43.122529300041961</v>
      </c>
      <c r="U141" s="818">
        <f t="shared" si="167"/>
        <v>1.9931669795763937E-3</v>
      </c>
      <c r="V141" s="805"/>
      <c r="W141" s="162">
        <v>20096.14</v>
      </c>
      <c r="X141" s="816">
        <f t="shared" si="195"/>
        <v>40.055690096770014</v>
      </c>
      <c r="Y141" s="816">
        <f t="shared" si="196"/>
        <v>34.083795757804559</v>
      </c>
      <c r="Z141" s="818">
        <f t="shared" si="168"/>
        <v>3.4901684189739602E-3</v>
      </c>
      <c r="AA141" s="808"/>
      <c r="AB141" s="162"/>
      <c r="AC141" s="816">
        <f t="shared" si="197"/>
        <v>0</v>
      </c>
      <c r="AD141" s="816">
        <f t="shared" si="198"/>
        <v>0</v>
      </c>
      <c r="AE141" s="818">
        <f t="shared" si="169"/>
        <v>0</v>
      </c>
      <c r="AF141" s="805"/>
      <c r="AG141" s="162">
        <v>3010</v>
      </c>
      <c r="AH141" s="816">
        <f t="shared" si="199"/>
        <v>6.0015153327750532</v>
      </c>
      <c r="AI141" s="816">
        <f t="shared" si="200"/>
        <v>6.273097529472877</v>
      </c>
      <c r="AJ141" s="818">
        <f t="shared" si="170"/>
        <v>5.5412119066004762E-4</v>
      </c>
      <c r="AK141" s="808"/>
      <c r="AL141" s="162">
        <v>33810</v>
      </c>
      <c r="AM141" s="816">
        <f t="shared" si="201"/>
        <v>77.301556091069969</v>
      </c>
      <c r="AN141" s="816">
        <f t="shared" si="202"/>
        <v>62.284762026522515</v>
      </c>
      <c r="AO141" s="818">
        <f t="shared" si="171"/>
        <v>5.4222297090297297E-3</v>
      </c>
      <c r="AP141" s="805"/>
      <c r="AQ141" s="162">
        <v>26000</v>
      </c>
      <c r="AR141" s="816">
        <f t="shared" si="203"/>
        <v>66.954743743594236</v>
      </c>
      <c r="AS141" s="816">
        <f t="shared" si="204"/>
        <v>59.592706769502286</v>
      </c>
      <c r="AT141" s="818">
        <f t="shared" si="172"/>
        <v>5.890648707099805E-3</v>
      </c>
      <c r="AU141" s="808"/>
      <c r="AV141" s="162"/>
      <c r="AW141" s="816">
        <f t="shared" si="205"/>
        <v>0</v>
      </c>
      <c r="AX141" s="816">
        <f t="shared" si="206"/>
        <v>0</v>
      </c>
      <c r="AY141" s="818">
        <f t="shared" si="173"/>
        <v>0</v>
      </c>
      <c r="AZ141" s="805"/>
      <c r="BA141" s="162"/>
      <c r="BB141" s="816">
        <f t="shared" si="207"/>
        <v>0</v>
      </c>
      <c r="BC141" s="816">
        <f t="shared" si="208"/>
        <v>0</v>
      </c>
      <c r="BD141" s="818">
        <f t="shared" si="174"/>
        <v>0</v>
      </c>
      <c r="BE141" s="808"/>
      <c r="BF141" s="162"/>
      <c r="BG141" s="816">
        <f t="shared" si="209"/>
        <v>0</v>
      </c>
      <c r="BH141" s="816">
        <f t="shared" si="210"/>
        <v>0</v>
      </c>
      <c r="BI141" s="818">
        <f t="shared" si="175"/>
        <v>0</v>
      </c>
      <c r="BJ141" s="811"/>
      <c r="BK141" s="162">
        <f t="shared" si="176"/>
        <v>305890.45999999996</v>
      </c>
      <c r="BL141" s="163">
        <f t="shared" si="211"/>
        <v>33987.828888888886</v>
      </c>
      <c r="BM141" s="164">
        <f t="shared" si="177"/>
        <v>86.559427500786057</v>
      </c>
      <c r="BN141" s="164">
        <f t="shared" si="178"/>
        <v>77.179953743594339</v>
      </c>
      <c r="BO141" s="165">
        <f t="shared" si="179"/>
        <v>6.1630531916160407E-3</v>
      </c>
      <c r="BP141" s="165">
        <f t="shared" si="180"/>
        <v>8.3027870581652171E-4</v>
      </c>
      <c r="BQ141" s="820"/>
      <c r="BR141" s="162">
        <f t="shared" si="181"/>
        <v>114910.16</v>
      </c>
      <c r="BS141" s="163">
        <f t="shared" si="182"/>
        <v>16415.737142857142</v>
      </c>
      <c r="BT141" s="164">
        <f t="shared" si="183"/>
        <v>37.048647285517006</v>
      </c>
      <c r="BU141" s="164">
        <f t="shared" si="184"/>
        <v>32.290657892364912</v>
      </c>
      <c r="BV141" s="165">
        <f t="shared" si="185"/>
        <v>2.3152213960107868E-3</v>
      </c>
      <c r="BW141" s="165">
        <f t="shared" si="186"/>
        <v>3.5345031248806819E-4</v>
      </c>
    </row>
    <row r="142" spans="1:75" s="297" customFormat="1" ht="11.25" outlineLevel="1">
      <c r="A142" s="72" t="s">
        <v>437</v>
      </c>
      <c r="B142" s="854"/>
      <c r="C142" s="306"/>
      <c r="D142" s="816">
        <f t="shared" si="187"/>
        <v>0</v>
      </c>
      <c r="E142" s="816">
        <f t="shared" si="188"/>
        <v>0</v>
      </c>
      <c r="F142" s="817">
        <f t="shared" si="164"/>
        <v>0</v>
      </c>
      <c r="G142" s="808"/>
      <c r="H142" s="306"/>
      <c r="I142" s="816">
        <f t="shared" si="189"/>
        <v>0</v>
      </c>
      <c r="J142" s="816">
        <f t="shared" si="190"/>
        <v>0</v>
      </c>
      <c r="K142" s="818">
        <f t="shared" si="165"/>
        <v>0</v>
      </c>
      <c r="L142" s="805"/>
      <c r="M142" s="162">
        <v>70000</v>
      </c>
      <c r="N142" s="816">
        <f t="shared" si="191"/>
        <v>203.73887614841786</v>
      </c>
      <c r="O142" s="816">
        <f t="shared" si="192"/>
        <v>211.71042973285472</v>
      </c>
      <c r="P142" s="818">
        <f t="shared" si="166"/>
        <v>1.0917866230565914E-2</v>
      </c>
      <c r="Q142" s="808"/>
      <c r="R142" s="162">
        <v>88319</v>
      </c>
      <c r="S142" s="816">
        <f t="shared" si="193"/>
        <v>183.50207875802261</v>
      </c>
      <c r="T142" s="816">
        <f t="shared" si="194"/>
        <v>130.36690166531136</v>
      </c>
      <c r="U142" s="818">
        <f t="shared" si="167"/>
        <v>6.0256902330802879E-3</v>
      </c>
      <c r="V142" s="805"/>
      <c r="W142" s="162">
        <v>11350</v>
      </c>
      <c r="X142" s="816">
        <f t="shared" si="195"/>
        <v>22.622856060832561</v>
      </c>
      <c r="Y142" s="816">
        <f t="shared" si="196"/>
        <v>19.25001925001925</v>
      </c>
      <c r="Z142" s="818">
        <f t="shared" si="168"/>
        <v>1.9711950431950836E-3</v>
      </c>
      <c r="AA142" s="808"/>
      <c r="AB142" s="162"/>
      <c r="AC142" s="816">
        <f t="shared" si="197"/>
        <v>0</v>
      </c>
      <c r="AD142" s="816">
        <f t="shared" si="198"/>
        <v>0</v>
      </c>
      <c r="AE142" s="818">
        <f t="shared" si="169"/>
        <v>0</v>
      </c>
      <c r="AF142" s="805"/>
      <c r="AG142" s="162"/>
      <c r="AH142" s="816">
        <f t="shared" si="199"/>
        <v>0</v>
      </c>
      <c r="AI142" s="816">
        <f t="shared" si="200"/>
        <v>0</v>
      </c>
      <c r="AJ142" s="818">
        <f t="shared" si="170"/>
        <v>0</v>
      </c>
      <c r="AK142" s="808"/>
      <c r="AL142" s="162"/>
      <c r="AM142" s="816">
        <f t="shared" si="201"/>
        <v>0</v>
      </c>
      <c r="AN142" s="816">
        <f t="shared" si="202"/>
        <v>0</v>
      </c>
      <c r="AO142" s="818">
        <f t="shared" si="171"/>
        <v>0</v>
      </c>
      <c r="AP142" s="805"/>
      <c r="AQ142" s="162"/>
      <c r="AR142" s="816">
        <f t="shared" si="203"/>
        <v>0</v>
      </c>
      <c r="AS142" s="816">
        <f t="shared" si="204"/>
        <v>0</v>
      </c>
      <c r="AT142" s="818">
        <f t="shared" si="172"/>
        <v>0</v>
      </c>
      <c r="AU142" s="808"/>
      <c r="AV142" s="162"/>
      <c r="AW142" s="816">
        <f t="shared" si="205"/>
        <v>0</v>
      </c>
      <c r="AX142" s="816">
        <f t="shared" si="206"/>
        <v>0</v>
      </c>
      <c r="AY142" s="818">
        <f t="shared" si="173"/>
        <v>0</v>
      </c>
      <c r="AZ142" s="805"/>
      <c r="BA142" s="162"/>
      <c r="BB142" s="816">
        <f t="shared" si="207"/>
        <v>0</v>
      </c>
      <c r="BC142" s="816">
        <f t="shared" si="208"/>
        <v>0</v>
      </c>
      <c r="BD142" s="818">
        <f t="shared" si="174"/>
        <v>0</v>
      </c>
      <c r="BE142" s="808"/>
      <c r="BF142" s="162"/>
      <c r="BG142" s="816">
        <f t="shared" si="209"/>
        <v>0</v>
      </c>
      <c r="BH142" s="816">
        <f t="shared" si="210"/>
        <v>0</v>
      </c>
      <c r="BI142" s="818">
        <f t="shared" si="175"/>
        <v>0</v>
      </c>
      <c r="BJ142" s="811"/>
      <c r="BK142" s="162">
        <f t="shared" si="176"/>
        <v>169669</v>
      </c>
      <c r="BL142" s="163">
        <f t="shared" si="211"/>
        <v>18852.111111111109</v>
      </c>
      <c r="BM142" s="164">
        <f t="shared" si="177"/>
        <v>48.012126643736693</v>
      </c>
      <c r="BN142" s="164">
        <f t="shared" si="178"/>
        <v>42.809591288730971</v>
      </c>
      <c r="BO142" s="165">
        <f t="shared" si="179"/>
        <v>3.4184755940682232E-3</v>
      </c>
      <c r="BP142" s="165">
        <f t="shared" si="180"/>
        <v>4.6053269440695684E-4</v>
      </c>
      <c r="BQ142" s="820"/>
      <c r="BR142" s="162">
        <f t="shared" si="181"/>
        <v>169669</v>
      </c>
      <c r="BS142" s="163">
        <f t="shared" si="182"/>
        <v>24238.428571428572</v>
      </c>
      <c r="BT142" s="164">
        <f t="shared" si="183"/>
        <v>54.703665335479336</v>
      </c>
      <c r="BU142" s="164">
        <f t="shared" si="184"/>
        <v>47.678322212236608</v>
      </c>
      <c r="BV142" s="165">
        <f t="shared" si="185"/>
        <v>3.4185079808413299E-3</v>
      </c>
      <c r="BW142" s="165">
        <f t="shared" si="186"/>
        <v>5.2188214749277211E-4</v>
      </c>
    </row>
    <row r="143" spans="1:75" s="297" customFormat="1" ht="11.25" outlineLevel="1">
      <c r="A143" s="65" t="s">
        <v>53</v>
      </c>
      <c r="B143" s="805"/>
      <c r="C143" s="821">
        <f>SUM(C144:C145)</f>
        <v>55500</v>
      </c>
      <c r="D143" s="825">
        <f t="shared" si="187"/>
        <v>290.24767801857587</v>
      </c>
      <c r="E143" s="825">
        <f t="shared" si="188"/>
        <v>340.04111924258689</v>
      </c>
      <c r="F143" s="823">
        <f t="shared" si="164"/>
        <v>3.7553996557212064</v>
      </c>
      <c r="G143" s="808"/>
      <c r="H143" s="821">
        <f>SUM(H144:H145)</f>
        <v>5372</v>
      </c>
      <c r="I143" s="825">
        <f t="shared" si="189"/>
        <v>22.284908321579689</v>
      </c>
      <c r="J143" s="825">
        <f t="shared" si="190"/>
        <v>22.24376298881311</v>
      </c>
      <c r="K143" s="824">
        <f t="shared" si="165"/>
        <v>-0.37544117133171367</v>
      </c>
      <c r="L143" s="805"/>
      <c r="M143" s="825">
        <f>SUM(M144:M145)</f>
        <v>106500</v>
      </c>
      <c r="N143" s="825">
        <f t="shared" si="191"/>
        <v>309.97414728295001</v>
      </c>
      <c r="O143" s="825">
        <f t="shared" si="192"/>
        <v>322.10229666498606</v>
      </c>
      <c r="P143" s="824">
        <f t="shared" si="166"/>
        <v>1.6610753622218141E-2</v>
      </c>
      <c r="Q143" s="808"/>
      <c r="R143" s="825">
        <f>SUM(R144:R145)</f>
        <v>14990</v>
      </c>
      <c r="S143" s="825">
        <f t="shared" si="193"/>
        <v>31.145010253544068</v>
      </c>
      <c r="T143" s="825">
        <f t="shared" si="194"/>
        <v>22.126607592511434</v>
      </c>
      <c r="U143" s="824">
        <f t="shared" si="167"/>
        <v>1.0227142131803294E-3</v>
      </c>
      <c r="V143" s="805"/>
      <c r="W143" s="825">
        <f>SUM(W144:W145)</f>
        <v>128590</v>
      </c>
      <c r="X143" s="825">
        <f t="shared" si="195"/>
        <v>256.30599655175848</v>
      </c>
      <c r="Y143" s="825">
        <f t="shared" si="196"/>
        <v>218.09338989955728</v>
      </c>
      <c r="Z143" s="824">
        <f t="shared" si="168"/>
        <v>2.2332684634753817E-2</v>
      </c>
      <c r="AA143" s="808"/>
      <c r="AB143" s="825">
        <f>SUM(AB144:AB145)</f>
        <v>4000</v>
      </c>
      <c r="AC143" s="825">
        <f t="shared" si="197"/>
        <v>8.911563868064297</v>
      </c>
      <c r="AD143" s="825">
        <f t="shared" si="198"/>
        <v>7.9688704046512706</v>
      </c>
      <c r="AE143" s="824">
        <f t="shared" si="169"/>
        <v>5.9482069840113903E-4</v>
      </c>
      <c r="AF143" s="805"/>
      <c r="AG143" s="825">
        <f>SUM(AG144:AG145)</f>
        <v>5850</v>
      </c>
      <c r="AH143" s="825">
        <f t="shared" si="199"/>
        <v>11.66407465007776</v>
      </c>
      <c r="AI143" s="825">
        <f t="shared" si="200"/>
        <v>12.191900514091804</v>
      </c>
      <c r="AJ143" s="824">
        <f t="shared" si="170"/>
        <v>1.0769465001200262E-3</v>
      </c>
      <c r="AK143" s="808"/>
      <c r="AL143" s="825">
        <f>SUM(AL144:AL145)</f>
        <v>6500</v>
      </c>
      <c r="AM143" s="825">
        <f t="shared" si="201"/>
        <v>14.86128703318411</v>
      </c>
      <c r="AN143" s="825">
        <f t="shared" si="202"/>
        <v>11.974296160082707</v>
      </c>
      <c r="AO143" s="824">
        <f t="shared" si="171"/>
        <v>1.0424280718335773E-3</v>
      </c>
      <c r="AP143" s="805"/>
      <c r="AQ143" s="825">
        <f>SUM(AQ144:AQ145)</f>
        <v>5350</v>
      </c>
      <c r="AR143" s="825">
        <f t="shared" si="203"/>
        <v>13.777226116470352</v>
      </c>
      <c r="AS143" s="825">
        <f t="shared" si="204"/>
        <v>12.262345431416817</v>
      </c>
      <c r="AT143" s="824">
        <f t="shared" si="172"/>
        <v>1.2121142531916905E-3</v>
      </c>
      <c r="AU143" s="808"/>
      <c r="AV143" s="825">
        <f>SUM(AV144:AV145)</f>
        <v>0</v>
      </c>
      <c r="AW143" s="825">
        <f t="shared" si="205"/>
        <v>0</v>
      </c>
      <c r="AX143" s="825">
        <f t="shared" si="206"/>
        <v>0</v>
      </c>
      <c r="AY143" s="824">
        <f t="shared" si="173"/>
        <v>0</v>
      </c>
      <c r="AZ143" s="805"/>
      <c r="BA143" s="825">
        <f>SUM(BA144:BA145)</f>
        <v>0</v>
      </c>
      <c r="BB143" s="825">
        <f t="shared" si="207"/>
        <v>0</v>
      </c>
      <c r="BC143" s="825">
        <f t="shared" si="208"/>
        <v>0</v>
      </c>
      <c r="BD143" s="824">
        <f t="shared" si="174"/>
        <v>0</v>
      </c>
      <c r="BE143" s="808"/>
      <c r="BF143" s="825">
        <f>SUM(BF144:BF145)</f>
        <v>0</v>
      </c>
      <c r="BG143" s="825">
        <f t="shared" si="209"/>
        <v>0</v>
      </c>
      <c r="BH143" s="825">
        <f t="shared" si="210"/>
        <v>0</v>
      </c>
      <c r="BI143" s="824">
        <f t="shared" si="175"/>
        <v>0</v>
      </c>
      <c r="BJ143" s="811"/>
      <c r="BK143" s="825">
        <f t="shared" si="176"/>
        <v>332652</v>
      </c>
      <c r="BL143" s="349">
        <f t="shared" si="211"/>
        <v>36961.333333333336</v>
      </c>
      <c r="BM143" s="852">
        <f t="shared" si="177"/>
        <v>94.132280807291252</v>
      </c>
      <c r="BN143" s="852">
        <f t="shared" si="178"/>
        <v>83.932221922560601</v>
      </c>
      <c r="BO143" s="853">
        <f t="shared" si="179"/>
        <v>6.7022422676975913E-3</v>
      </c>
      <c r="BP143" s="853">
        <f t="shared" si="180"/>
        <v>9.0291757398147567E-4</v>
      </c>
      <c r="BQ143" s="814"/>
      <c r="BR143" s="825">
        <f t="shared" si="181"/>
        <v>271780</v>
      </c>
      <c r="BS143" s="349">
        <f t="shared" si="182"/>
        <v>38825.714285714283</v>
      </c>
      <c r="BT143" s="852">
        <f t="shared" si="183"/>
        <v>87.625683919140045</v>
      </c>
      <c r="BU143" s="852">
        <f t="shared" si="184"/>
        <v>76.372315572330038</v>
      </c>
      <c r="BV143" s="853">
        <f t="shared" si="185"/>
        <v>5.4758506211096706E-3</v>
      </c>
      <c r="BW143" s="853">
        <f t="shared" si="186"/>
        <v>8.3596372964764103E-4</v>
      </c>
    </row>
    <row r="144" spans="1:75" s="297" customFormat="1" ht="11.25" outlineLevel="1">
      <c r="A144" s="72" t="s">
        <v>438</v>
      </c>
      <c r="B144" s="854"/>
      <c r="C144" s="306">
        <v>53000</v>
      </c>
      <c r="D144" s="816">
        <f t="shared" si="187"/>
        <v>277.17345828800939</v>
      </c>
      <c r="E144" s="816">
        <f t="shared" si="188"/>
        <v>324.72395170913705</v>
      </c>
      <c r="F144" s="817">
        <f t="shared" ref="F144:F151" si="212">IF(C144=0,0,C144/C$151)</f>
        <v>3.5862375090670979</v>
      </c>
      <c r="G144" s="808"/>
      <c r="H144" s="306">
        <v>3000</v>
      </c>
      <c r="I144" s="816">
        <f t="shared" si="189"/>
        <v>12.445034431261925</v>
      </c>
      <c r="J144" s="816">
        <f t="shared" si="190"/>
        <v>12.422056769627574</v>
      </c>
      <c r="K144" s="818">
        <f t="shared" ref="K144:K151" si="213">IF(H144=0,0,H144/H$151)</f>
        <v>-0.20966558339447897</v>
      </c>
      <c r="L144" s="805"/>
      <c r="M144" s="162">
        <v>104000</v>
      </c>
      <c r="N144" s="816">
        <f t="shared" si="191"/>
        <v>302.69775884907796</v>
      </c>
      <c r="O144" s="816">
        <f t="shared" si="192"/>
        <v>314.54120988881272</v>
      </c>
      <c r="P144" s="818">
        <f t="shared" ref="P144:P151" si="214">IF(M144=0,0,M144/M$151)</f>
        <v>1.6220829828269358E-2</v>
      </c>
      <c r="Q144" s="808"/>
      <c r="R144" s="162">
        <v>12490</v>
      </c>
      <c r="S144" s="816">
        <f t="shared" si="193"/>
        <v>25.950712346015038</v>
      </c>
      <c r="T144" s="816">
        <f t="shared" si="194"/>
        <v>18.436379508370102</v>
      </c>
      <c r="U144" s="818">
        <f t="shared" ref="U144:U151" si="215">IF(R144=0,0,R144/R$151)</f>
        <v>8.5214813359721917E-4</v>
      </c>
      <c r="V144" s="805"/>
      <c r="W144" s="162">
        <v>126090</v>
      </c>
      <c r="X144" s="816">
        <f t="shared" si="195"/>
        <v>251.32298860884384</v>
      </c>
      <c r="Y144" s="816">
        <f t="shared" si="196"/>
        <v>213.85329755373806</v>
      </c>
      <c r="Z144" s="818">
        <f t="shared" ref="Z144:Z151" si="216">IF(W144=0,0,W144/W$151)</f>
        <v>2.1898500704534633E-2</v>
      </c>
      <c r="AA144" s="808"/>
      <c r="AB144" s="162">
        <v>4000</v>
      </c>
      <c r="AC144" s="816">
        <f t="shared" si="197"/>
        <v>8.911563868064297</v>
      </c>
      <c r="AD144" s="816">
        <f t="shared" si="198"/>
        <v>7.9688704046512706</v>
      </c>
      <c r="AE144" s="818">
        <f t="shared" ref="AE144:AE151" si="217">IF(AB144=0,0,AB144/AB$151)</f>
        <v>5.9482069840113903E-4</v>
      </c>
      <c r="AF144" s="805"/>
      <c r="AG144" s="162"/>
      <c r="AH144" s="816">
        <f t="shared" si="199"/>
        <v>0</v>
      </c>
      <c r="AI144" s="816">
        <f t="shared" si="200"/>
        <v>0</v>
      </c>
      <c r="AJ144" s="818">
        <f t="shared" ref="AJ144:AJ151" si="218">IF(AG144=0,0,AG144/AG$151)</f>
        <v>0</v>
      </c>
      <c r="AK144" s="808"/>
      <c r="AL144" s="162">
        <v>4000</v>
      </c>
      <c r="AM144" s="816">
        <f t="shared" si="201"/>
        <v>9.1454074050363747</v>
      </c>
      <c r="AN144" s="816">
        <f t="shared" si="202"/>
        <v>7.3687976369739738</v>
      </c>
      <c r="AO144" s="818">
        <f t="shared" ref="AO144:AO151" si="219">IF(AL144=0,0,AL144/AL$151)</f>
        <v>6.4149419805143207E-4</v>
      </c>
      <c r="AP144" s="805"/>
      <c r="AQ144" s="162">
        <v>2850</v>
      </c>
      <c r="AR144" s="816">
        <f t="shared" si="203"/>
        <v>7.3392699872785991</v>
      </c>
      <c r="AS144" s="816">
        <f t="shared" si="204"/>
        <v>6.5322774728108275</v>
      </c>
      <c r="AT144" s="818">
        <f t="shared" ref="AT144:AT151" si="220">IF(AQ144=0,0,AQ144/AQ$151)</f>
        <v>6.4570572366286325E-4</v>
      </c>
      <c r="AU144" s="808"/>
      <c r="AV144" s="162"/>
      <c r="AW144" s="816">
        <f t="shared" si="205"/>
        <v>0</v>
      </c>
      <c r="AX144" s="816">
        <f t="shared" si="206"/>
        <v>0</v>
      </c>
      <c r="AY144" s="818">
        <f t="shared" ref="AY144:AY151" si="221">IF(AV144=0,0,AV144/AV$151)</f>
        <v>0</v>
      </c>
      <c r="AZ144" s="805"/>
      <c r="BA144" s="162"/>
      <c r="BB144" s="816">
        <f t="shared" si="207"/>
        <v>0</v>
      </c>
      <c r="BC144" s="816">
        <f t="shared" si="208"/>
        <v>0</v>
      </c>
      <c r="BD144" s="818">
        <f t="shared" ref="BD144:BD151" si="222">IF(BA144=0,0,BA144/BA$151)</f>
        <v>0</v>
      </c>
      <c r="BE144" s="808"/>
      <c r="BF144" s="162"/>
      <c r="BG144" s="816">
        <f t="shared" si="209"/>
        <v>0</v>
      </c>
      <c r="BH144" s="816">
        <f t="shared" si="210"/>
        <v>0</v>
      </c>
      <c r="BI144" s="818">
        <f t="shared" ref="BI144:BI151" si="223">IF(BF144=0,0,BF144/BF$151)</f>
        <v>0</v>
      </c>
      <c r="BJ144" s="811"/>
      <c r="BK144" s="162">
        <f t="shared" si="176"/>
        <v>309430</v>
      </c>
      <c r="BL144" s="163">
        <f t="shared" si="211"/>
        <v>34381.111111111109</v>
      </c>
      <c r="BM144" s="164">
        <f t="shared" si="177"/>
        <v>87.561029695297577</v>
      </c>
      <c r="BN144" s="164">
        <f t="shared" si="178"/>
        <v>78.073023548627177</v>
      </c>
      <c r="BO144" s="165">
        <f t="shared" si="179"/>
        <v>6.2343675218957516E-3</v>
      </c>
      <c r="BP144" s="165">
        <f t="shared" si="180"/>
        <v>8.3988608190267309E-4</v>
      </c>
      <c r="BQ144" s="820"/>
      <c r="BR144" s="162">
        <f t="shared" si="181"/>
        <v>253430</v>
      </c>
      <c r="BS144" s="163">
        <f t="shared" si="182"/>
        <v>36204.285714285717</v>
      </c>
      <c r="BT144" s="164">
        <f t="shared" si="183"/>
        <v>81.709386546573199</v>
      </c>
      <c r="BU144" s="164">
        <f t="shared" si="184"/>
        <v>71.2158213830878</v>
      </c>
      <c r="BV144" s="165">
        <f t="shared" si="185"/>
        <v>5.1061329858997119E-3</v>
      </c>
      <c r="BW144" s="165">
        <f t="shared" si="186"/>
        <v>7.7952125985945126E-4</v>
      </c>
    </row>
    <row r="145" spans="1:75" s="297" customFormat="1" ht="11.25" outlineLevel="1">
      <c r="A145" s="72" t="s">
        <v>439</v>
      </c>
      <c r="B145" s="854"/>
      <c r="C145" s="306">
        <v>2500</v>
      </c>
      <c r="D145" s="816">
        <f t="shared" si="187"/>
        <v>13.07421973056648</v>
      </c>
      <c r="E145" s="816">
        <f t="shared" si="188"/>
        <v>15.31716753344986</v>
      </c>
      <c r="F145" s="817">
        <f t="shared" si="212"/>
        <v>0.16916214665410839</v>
      </c>
      <c r="G145" s="808"/>
      <c r="H145" s="306">
        <v>2372</v>
      </c>
      <c r="I145" s="816">
        <f t="shared" si="189"/>
        <v>9.8398738903177634</v>
      </c>
      <c r="J145" s="816">
        <f t="shared" si="190"/>
        <v>9.8217062191855362</v>
      </c>
      <c r="K145" s="818">
        <f t="shared" si="213"/>
        <v>-0.16577558793723471</v>
      </c>
      <c r="L145" s="805"/>
      <c r="M145" s="162">
        <v>2500</v>
      </c>
      <c r="N145" s="816">
        <f t="shared" si="191"/>
        <v>7.2763884338720661</v>
      </c>
      <c r="O145" s="816">
        <f t="shared" si="192"/>
        <v>7.561086776173382</v>
      </c>
      <c r="P145" s="818">
        <f t="shared" si="214"/>
        <v>3.8992379394878261E-4</v>
      </c>
      <c r="Q145" s="808"/>
      <c r="R145" s="162">
        <v>2500</v>
      </c>
      <c r="S145" s="816">
        <f t="shared" si="193"/>
        <v>5.1942979075290303</v>
      </c>
      <c r="T145" s="816">
        <f t="shared" si="194"/>
        <v>3.6902280841413329</v>
      </c>
      <c r="U145" s="818">
        <f t="shared" si="215"/>
        <v>1.7056607958311032E-4</v>
      </c>
      <c r="V145" s="805"/>
      <c r="W145" s="162">
        <v>2500</v>
      </c>
      <c r="X145" s="816">
        <f t="shared" si="195"/>
        <v>4.9830079429146608</v>
      </c>
      <c r="Y145" s="816">
        <f t="shared" si="196"/>
        <v>4.2400923458192175</v>
      </c>
      <c r="Z145" s="818">
        <f t="shared" si="216"/>
        <v>4.3418393021918145E-4</v>
      </c>
      <c r="AA145" s="808"/>
      <c r="AB145" s="162"/>
      <c r="AC145" s="816">
        <f t="shared" si="197"/>
        <v>0</v>
      </c>
      <c r="AD145" s="816">
        <f t="shared" si="198"/>
        <v>0</v>
      </c>
      <c r="AE145" s="818">
        <f t="shared" si="217"/>
        <v>0</v>
      </c>
      <c r="AF145" s="805"/>
      <c r="AG145" s="162">
        <v>5850</v>
      </c>
      <c r="AH145" s="816">
        <f t="shared" si="199"/>
        <v>11.66407465007776</v>
      </c>
      <c r="AI145" s="816">
        <f t="shared" si="200"/>
        <v>12.191900514091804</v>
      </c>
      <c r="AJ145" s="818">
        <f t="shared" si="218"/>
        <v>1.0769465001200262E-3</v>
      </c>
      <c r="AK145" s="808"/>
      <c r="AL145" s="162">
        <v>2500</v>
      </c>
      <c r="AM145" s="816">
        <f t="shared" si="201"/>
        <v>5.7158796281477358</v>
      </c>
      <c r="AN145" s="816">
        <f t="shared" si="202"/>
        <v>4.605498523108734</v>
      </c>
      <c r="AO145" s="818">
        <f t="shared" si="219"/>
        <v>4.0093387378214507E-4</v>
      </c>
      <c r="AP145" s="805"/>
      <c r="AQ145" s="162">
        <v>2500</v>
      </c>
      <c r="AR145" s="816">
        <f t="shared" si="203"/>
        <v>6.437956129191754</v>
      </c>
      <c r="AS145" s="816">
        <f t="shared" si="204"/>
        <v>5.7300679586059893</v>
      </c>
      <c r="AT145" s="818">
        <f t="shared" si="220"/>
        <v>5.6640852952882738E-4</v>
      </c>
      <c r="AU145" s="808"/>
      <c r="AV145" s="162"/>
      <c r="AW145" s="816">
        <f t="shared" si="205"/>
        <v>0</v>
      </c>
      <c r="AX145" s="816">
        <f t="shared" si="206"/>
        <v>0</v>
      </c>
      <c r="AY145" s="818">
        <f t="shared" si="221"/>
        <v>0</v>
      </c>
      <c r="AZ145" s="805"/>
      <c r="BA145" s="162"/>
      <c r="BB145" s="816">
        <f t="shared" si="207"/>
        <v>0</v>
      </c>
      <c r="BC145" s="816">
        <f t="shared" si="208"/>
        <v>0</v>
      </c>
      <c r="BD145" s="818">
        <f t="shared" si="222"/>
        <v>0</v>
      </c>
      <c r="BE145" s="808"/>
      <c r="BF145" s="162"/>
      <c r="BG145" s="816">
        <f t="shared" si="209"/>
        <v>0</v>
      </c>
      <c r="BH145" s="816">
        <f t="shared" si="210"/>
        <v>0</v>
      </c>
      <c r="BI145" s="818">
        <f t="shared" si="223"/>
        <v>0</v>
      </c>
      <c r="BJ145" s="811"/>
      <c r="BK145" s="162">
        <f t="shared" si="176"/>
        <v>23222</v>
      </c>
      <c r="BL145" s="163">
        <f t="shared" si="211"/>
        <v>2580.2222222222222</v>
      </c>
      <c r="BM145" s="164">
        <f t="shared" si="177"/>
        <v>6.571251111993667</v>
      </c>
      <c r="BN145" s="164">
        <f t="shared" si="178"/>
        <v>5.8591983739334275</v>
      </c>
      <c r="BO145" s="165">
        <f t="shared" si="179"/>
        <v>4.6787474580183935E-4</v>
      </c>
      <c r="BP145" s="165">
        <f t="shared" si="180"/>
        <v>6.3031492078802551E-5</v>
      </c>
      <c r="BQ145" s="820"/>
      <c r="BR145" s="162">
        <f t="shared" si="181"/>
        <v>18350</v>
      </c>
      <c r="BS145" s="163">
        <f t="shared" si="182"/>
        <v>2621.4285714285716</v>
      </c>
      <c r="BT145" s="164">
        <f t="shared" si="183"/>
        <v>5.9162973725668557</v>
      </c>
      <c r="BU145" s="164">
        <f t="shared" si="184"/>
        <v>5.1564941892422409</v>
      </c>
      <c r="BV145" s="165">
        <f t="shared" si="185"/>
        <v>3.6971763520995824E-4</v>
      </c>
      <c r="BW145" s="165">
        <f t="shared" si="186"/>
        <v>5.644246978818976E-5</v>
      </c>
    </row>
    <row r="146" spans="1:75" s="297" customFormat="1" ht="11.25" outlineLevel="1">
      <c r="A146" s="65" t="s">
        <v>59</v>
      </c>
      <c r="B146" s="805"/>
      <c r="C146" s="821"/>
      <c r="D146" s="825">
        <f t="shared" si="187"/>
        <v>0</v>
      </c>
      <c r="E146" s="825">
        <f t="shared" si="188"/>
        <v>0</v>
      </c>
      <c r="F146" s="823">
        <f t="shared" si="212"/>
        <v>0</v>
      </c>
      <c r="G146" s="808"/>
      <c r="H146" s="821">
        <v>29447.51</v>
      </c>
      <c r="I146" s="825">
        <f t="shared" si="189"/>
        <v>122.15842528830996</v>
      </c>
      <c r="J146" s="825">
        <f t="shared" si="190"/>
        <v>121.93288031472522</v>
      </c>
      <c r="K146" s="824">
        <f t="shared" si="213"/>
        <v>-2.0580431212215844</v>
      </c>
      <c r="L146" s="805"/>
      <c r="M146" s="825"/>
      <c r="N146" s="825">
        <f t="shared" si="191"/>
        <v>0</v>
      </c>
      <c r="O146" s="825">
        <f t="shared" si="192"/>
        <v>0</v>
      </c>
      <c r="P146" s="824">
        <f t="shared" si="214"/>
        <v>0</v>
      </c>
      <c r="Q146" s="808"/>
      <c r="R146" s="825">
        <v>731.16</v>
      </c>
      <c r="S146" s="825">
        <f t="shared" si="193"/>
        <v>1.5191451432275704</v>
      </c>
      <c r="T146" s="825">
        <f t="shared" si="194"/>
        <v>1.0792588664003109</v>
      </c>
      <c r="U146" s="824">
        <f t="shared" si="215"/>
        <v>4.9884437899194775E-5</v>
      </c>
      <c r="V146" s="805"/>
      <c r="W146" s="825">
        <v>15479.95</v>
      </c>
      <c r="X146" s="825">
        <f t="shared" si="195"/>
        <v>30.854685522368726</v>
      </c>
      <c r="Y146" s="825">
        <f t="shared" si="196"/>
        <v>26.254567003465681</v>
      </c>
      <c r="Z146" s="824">
        <f t="shared" si="216"/>
        <v>2.6884582122385673E-3</v>
      </c>
      <c r="AA146" s="808"/>
      <c r="AB146" s="825">
        <v>4555.7299999999996</v>
      </c>
      <c r="AC146" s="825">
        <f t="shared" si="197"/>
        <v>10.149669715164139</v>
      </c>
      <c r="AD146" s="825">
        <f t="shared" si="198"/>
        <v>9.076005492145482</v>
      </c>
      <c r="AE146" s="824">
        <f t="shared" si="217"/>
        <v>6.774606250817553E-4</v>
      </c>
      <c r="AF146" s="805"/>
      <c r="AG146" s="825">
        <v>1699.28</v>
      </c>
      <c r="AH146" s="825">
        <f t="shared" si="199"/>
        <v>3.3881245763049805</v>
      </c>
      <c r="AI146" s="825">
        <f t="shared" si="200"/>
        <v>3.5414449069377643</v>
      </c>
      <c r="AJ146" s="824">
        <f t="shared" si="218"/>
        <v>3.128262647391381E-4</v>
      </c>
      <c r="AK146" s="808"/>
      <c r="AL146" s="825"/>
      <c r="AM146" s="825">
        <f t="shared" si="201"/>
        <v>0</v>
      </c>
      <c r="AN146" s="825">
        <f t="shared" si="202"/>
        <v>0</v>
      </c>
      <c r="AO146" s="824">
        <f t="shared" si="219"/>
        <v>0</v>
      </c>
      <c r="AP146" s="805"/>
      <c r="AQ146" s="825"/>
      <c r="AR146" s="825">
        <f t="shared" si="203"/>
        <v>0</v>
      </c>
      <c r="AS146" s="825">
        <f t="shared" si="204"/>
        <v>0</v>
      </c>
      <c r="AT146" s="824">
        <f t="shared" si="220"/>
        <v>0</v>
      </c>
      <c r="AU146" s="808"/>
      <c r="AV146" s="825"/>
      <c r="AW146" s="825">
        <f t="shared" si="205"/>
        <v>0</v>
      </c>
      <c r="AX146" s="825">
        <f t="shared" si="206"/>
        <v>0</v>
      </c>
      <c r="AY146" s="824">
        <f t="shared" si="221"/>
        <v>0</v>
      </c>
      <c r="AZ146" s="805"/>
      <c r="BA146" s="825"/>
      <c r="BB146" s="825">
        <f t="shared" si="207"/>
        <v>0</v>
      </c>
      <c r="BC146" s="825">
        <f t="shared" si="208"/>
        <v>0</v>
      </c>
      <c r="BD146" s="824">
        <f t="shared" si="222"/>
        <v>0</v>
      </c>
      <c r="BE146" s="808"/>
      <c r="BF146" s="825"/>
      <c r="BG146" s="825">
        <f t="shared" si="209"/>
        <v>0</v>
      </c>
      <c r="BH146" s="825">
        <f t="shared" si="210"/>
        <v>0</v>
      </c>
      <c r="BI146" s="824">
        <f t="shared" si="223"/>
        <v>0</v>
      </c>
      <c r="BJ146" s="811"/>
      <c r="BK146" s="825">
        <f t="shared" si="176"/>
        <v>51913.62999999999</v>
      </c>
      <c r="BL146" s="349">
        <f t="shared" si="211"/>
        <v>5768.1811111111101</v>
      </c>
      <c r="BM146" s="852">
        <f t="shared" si="177"/>
        <v>14.690272106843844</v>
      </c>
      <c r="BN146" s="852">
        <f t="shared" si="178"/>
        <v>13.098452178149234</v>
      </c>
      <c r="BO146" s="853">
        <f t="shared" si="179"/>
        <v>1.0459510998148626E-3</v>
      </c>
      <c r="BP146" s="853">
        <f t="shared" si="180"/>
        <v>1.4090920498350211E-4</v>
      </c>
      <c r="BQ146" s="814"/>
      <c r="BR146" s="825">
        <f t="shared" si="181"/>
        <v>22466.12</v>
      </c>
      <c r="BS146" s="349">
        <f t="shared" si="182"/>
        <v>3209.4457142857141</v>
      </c>
      <c r="BT146" s="852">
        <f t="shared" si="183"/>
        <v>7.2433921922491384</v>
      </c>
      <c r="BU146" s="852">
        <f t="shared" si="184"/>
        <v>6.3131562525786853</v>
      </c>
      <c r="BV146" s="853">
        <f t="shared" si="185"/>
        <v>4.5264963262905429E-4</v>
      </c>
      <c r="BW146" s="853">
        <f t="shared" si="186"/>
        <v>6.9103177076721835E-5</v>
      </c>
    </row>
    <row r="147" spans="1:75" s="297" customFormat="1" ht="11.25" outlineLevel="1">
      <c r="A147" s="65" t="s">
        <v>61</v>
      </c>
      <c r="B147" s="805"/>
      <c r="C147" s="821">
        <v>9218.65</v>
      </c>
      <c r="D147" s="825">
        <f t="shared" si="187"/>
        <v>48.210662287674673</v>
      </c>
      <c r="E147" s="825">
        <f t="shared" si="188"/>
        <v>56.481442592895021</v>
      </c>
      <c r="F147" s="823">
        <f t="shared" si="212"/>
        <v>0.62377864930115845</v>
      </c>
      <c r="G147" s="808"/>
      <c r="H147" s="821">
        <f>5336.38+0.06</f>
        <v>5336.4400000000005</v>
      </c>
      <c r="I147" s="825">
        <f t="shared" si="189"/>
        <v>22.137393180121133</v>
      </c>
      <c r="J147" s="825">
        <f t="shared" si="190"/>
        <v>22.096520209237127</v>
      </c>
      <c r="K147" s="824">
        <f t="shared" si="213"/>
        <v>-0.37295593528321114</v>
      </c>
      <c r="L147" s="805"/>
      <c r="M147" s="825"/>
      <c r="N147" s="825">
        <f t="shared" si="191"/>
        <v>0</v>
      </c>
      <c r="O147" s="825">
        <f t="shared" si="192"/>
        <v>0</v>
      </c>
      <c r="P147" s="824">
        <f t="shared" si="214"/>
        <v>0</v>
      </c>
      <c r="Q147" s="808"/>
      <c r="R147" s="825"/>
      <c r="S147" s="825">
        <f t="shared" si="193"/>
        <v>0</v>
      </c>
      <c r="T147" s="825">
        <f t="shared" si="194"/>
        <v>0</v>
      </c>
      <c r="U147" s="824">
        <f t="shared" si="215"/>
        <v>0</v>
      </c>
      <c r="V147" s="805"/>
      <c r="W147" s="825"/>
      <c r="X147" s="825">
        <f t="shared" si="195"/>
        <v>0</v>
      </c>
      <c r="Y147" s="825">
        <f t="shared" si="196"/>
        <v>0</v>
      </c>
      <c r="Z147" s="824">
        <f t="shared" si="216"/>
        <v>0</v>
      </c>
      <c r="AA147" s="808"/>
      <c r="AB147" s="825">
        <v>14561.96</v>
      </c>
      <c r="AC147" s="825">
        <f t="shared" si="197"/>
        <v>32.442459146049387</v>
      </c>
      <c r="AD147" s="825">
        <f t="shared" si="198"/>
        <v>29.010593019428899</v>
      </c>
      <c r="AE147" s="824">
        <f t="shared" si="217"/>
        <v>2.1654388043223626E-3</v>
      </c>
      <c r="AF147" s="805"/>
      <c r="AG147" s="825"/>
      <c r="AH147" s="825">
        <f t="shared" si="199"/>
        <v>0</v>
      </c>
      <c r="AI147" s="825">
        <f t="shared" si="200"/>
        <v>0</v>
      </c>
      <c r="AJ147" s="824">
        <f t="shared" si="218"/>
        <v>0</v>
      </c>
      <c r="AK147" s="808"/>
      <c r="AL147" s="825"/>
      <c r="AM147" s="825">
        <f t="shared" si="201"/>
        <v>0</v>
      </c>
      <c r="AN147" s="825">
        <f t="shared" si="202"/>
        <v>0</v>
      </c>
      <c r="AO147" s="824">
        <f t="shared" si="219"/>
        <v>0</v>
      </c>
      <c r="AP147" s="805"/>
      <c r="AQ147" s="825">
        <v>88820.27</v>
      </c>
      <c r="AR147" s="825">
        <f t="shared" si="203"/>
        <v>228.72840065718657</v>
      </c>
      <c r="AS147" s="825">
        <f t="shared" si="204"/>
        <v>203.57847328069312</v>
      </c>
      <c r="AT147" s="824">
        <f t="shared" si="220"/>
        <v>2.012342340922137E-2</v>
      </c>
      <c r="AU147" s="808"/>
      <c r="AV147" s="825"/>
      <c r="AW147" s="825">
        <f t="shared" si="205"/>
        <v>0</v>
      </c>
      <c r="AX147" s="825">
        <f t="shared" si="206"/>
        <v>0</v>
      </c>
      <c r="AY147" s="824">
        <f t="shared" si="221"/>
        <v>0</v>
      </c>
      <c r="AZ147" s="805"/>
      <c r="BA147" s="825"/>
      <c r="BB147" s="825">
        <f t="shared" si="207"/>
        <v>0</v>
      </c>
      <c r="BC147" s="825">
        <f t="shared" si="208"/>
        <v>0</v>
      </c>
      <c r="BD147" s="824">
        <f t="shared" si="222"/>
        <v>0</v>
      </c>
      <c r="BE147" s="808"/>
      <c r="BF147" s="825"/>
      <c r="BG147" s="825">
        <f t="shared" si="209"/>
        <v>0</v>
      </c>
      <c r="BH147" s="825">
        <f t="shared" si="210"/>
        <v>0</v>
      </c>
      <c r="BI147" s="824">
        <f t="shared" si="223"/>
        <v>0</v>
      </c>
      <c r="BJ147" s="811"/>
      <c r="BK147" s="825">
        <f t="shared" si="176"/>
        <v>117937.32</v>
      </c>
      <c r="BL147" s="349">
        <f t="shared" si="211"/>
        <v>13104.146666666667</v>
      </c>
      <c r="BM147" s="852">
        <f t="shared" si="177"/>
        <v>33.373341882505947</v>
      </c>
      <c r="BN147" s="852">
        <f t="shared" si="178"/>
        <v>29.757047350360274</v>
      </c>
      <c r="BO147" s="853">
        <f t="shared" si="179"/>
        <v>2.3761904063194467E-3</v>
      </c>
      <c r="BP147" s="853">
        <f t="shared" si="180"/>
        <v>3.2011735644540534E-4</v>
      </c>
      <c r="BQ147" s="814"/>
      <c r="BR147" s="825">
        <f t="shared" si="181"/>
        <v>103382.23000000001</v>
      </c>
      <c r="BS147" s="349">
        <f t="shared" si="182"/>
        <v>14768.890000000001</v>
      </c>
      <c r="BT147" s="852">
        <f t="shared" si="183"/>
        <v>33.331880965618666</v>
      </c>
      <c r="BU147" s="852">
        <f t="shared" si="184"/>
        <v>29.051218979068384</v>
      </c>
      <c r="BV147" s="853">
        <f t="shared" si="185"/>
        <v>2.0829555094458857E-3</v>
      </c>
      <c r="BW147" s="853">
        <f t="shared" si="186"/>
        <v>3.1799173806052784E-4</v>
      </c>
    </row>
    <row r="148" spans="1:75" s="297" customFormat="1" ht="11.25" outlineLevel="1">
      <c r="A148" s="65" t="s">
        <v>440</v>
      </c>
      <c r="B148" s="805"/>
      <c r="C148" s="821">
        <v>160213.1</v>
      </c>
      <c r="D148" s="825">
        <f t="shared" si="187"/>
        <v>837.86450924608823</v>
      </c>
      <c r="E148" s="825">
        <f t="shared" si="188"/>
        <v>981.60435750134241</v>
      </c>
      <c r="F148" s="823">
        <f t="shared" si="212"/>
        <v>10.840796767243733</v>
      </c>
      <c r="G148" s="808"/>
      <c r="H148" s="821">
        <v>242234.07</v>
      </c>
      <c r="I148" s="825">
        <f t="shared" si="189"/>
        <v>1004.8704471915706</v>
      </c>
      <c r="J148" s="825">
        <f t="shared" si="190"/>
        <v>1003.0151230259801</v>
      </c>
      <c r="K148" s="824">
        <f t="shared" si="213"/>
        <v>-16.929382534856352</v>
      </c>
      <c r="L148" s="805"/>
      <c r="M148" s="825">
        <v>752297.97</v>
      </c>
      <c r="N148" s="825">
        <f t="shared" si="191"/>
        <v>2189.6048990933737</v>
      </c>
      <c r="O148" s="825">
        <f t="shared" si="192"/>
        <v>2275.2760930836316</v>
      </c>
      <c r="P148" s="824">
        <f t="shared" si="214"/>
        <v>0.11733555145694698</v>
      </c>
      <c r="Q148" s="808"/>
      <c r="R148" s="825">
        <v>911653.45</v>
      </c>
      <c r="S148" s="825">
        <f t="shared" si="193"/>
        <v>1894.1598430906488</v>
      </c>
      <c r="T148" s="825">
        <f t="shared" si="194"/>
        <v>1345.6836656777348</v>
      </c>
      <c r="U148" s="824">
        <f t="shared" si="215"/>
        <v>6.2198861961966827E-2</v>
      </c>
      <c r="V148" s="805"/>
      <c r="W148" s="825">
        <v>934097.91</v>
      </c>
      <c r="X148" s="825">
        <f t="shared" si="195"/>
        <v>1861.8469219959936</v>
      </c>
      <c r="Y148" s="825">
        <f t="shared" si="196"/>
        <v>1584.2645593746915</v>
      </c>
      <c r="Z148" s="824">
        <f t="shared" si="216"/>
        <v>0.16222812070932929</v>
      </c>
      <c r="AA148" s="808"/>
      <c r="AB148" s="825">
        <v>974919.62</v>
      </c>
      <c r="AC148" s="825">
        <f t="shared" si="197"/>
        <v>2172.0146149647435</v>
      </c>
      <c r="AD148" s="825">
        <f t="shared" si="198"/>
        <v>1942.2520266829656</v>
      </c>
      <c r="AE148" s="824">
        <f t="shared" si="217"/>
        <v>0.14497559231334328</v>
      </c>
      <c r="AF148" s="805"/>
      <c r="AG148" s="825">
        <v>849469.65</v>
      </c>
      <c r="AH148" s="825">
        <f t="shared" si="199"/>
        <v>1693.722634286398</v>
      </c>
      <c r="AI148" s="825">
        <f t="shared" si="200"/>
        <v>1770.3674294940829</v>
      </c>
      <c r="AJ148" s="824">
        <f t="shared" si="218"/>
        <v>0.15638177205567241</v>
      </c>
      <c r="AK148" s="808"/>
      <c r="AL148" s="825">
        <v>1026491.85</v>
      </c>
      <c r="AM148" s="825">
        <f t="shared" si="201"/>
        <v>2346.921541549872</v>
      </c>
      <c r="AN148" s="825">
        <f t="shared" si="202"/>
        <v>1891.0026796632606</v>
      </c>
      <c r="AO148" s="824">
        <f t="shared" si="219"/>
        <v>0.16462214153052024</v>
      </c>
      <c r="AP148" s="805"/>
      <c r="AQ148" s="825">
        <v>645203.22</v>
      </c>
      <c r="AR148" s="825">
        <f t="shared" si="203"/>
        <v>1661.5160099093021</v>
      </c>
      <c r="AS148" s="825">
        <f t="shared" si="204"/>
        <v>1478.8233190845642</v>
      </c>
      <c r="AT148" s="824">
        <f t="shared" si="220"/>
        <v>0.1461794428349858</v>
      </c>
      <c r="AU148" s="808"/>
      <c r="AV148" s="825"/>
      <c r="AW148" s="825">
        <f t="shared" si="205"/>
        <v>0</v>
      </c>
      <c r="AX148" s="825">
        <f t="shared" si="206"/>
        <v>0</v>
      </c>
      <c r="AY148" s="824">
        <f t="shared" si="221"/>
        <v>0</v>
      </c>
      <c r="AZ148" s="805"/>
      <c r="BA148" s="825"/>
      <c r="BB148" s="825">
        <f t="shared" si="207"/>
        <v>0</v>
      </c>
      <c r="BC148" s="825">
        <f t="shared" si="208"/>
        <v>0</v>
      </c>
      <c r="BD148" s="824">
        <f t="shared" si="222"/>
        <v>0</v>
      </c>
      <c r="BE148" s="808"/>
      <c r="BF148" s="825"/>
      <c r="BG148" s="825">
        <f t="shared" si="209"/>
        <v>0</v>
      </c>
      <c r="BH148" s="825">
        <f t="shared" si="210"/>
        <v>0</v>
      </c>
      <c r="BI148" s="824">
        <f t="shared" si="223"/>
        <v>0</v>
      </c>
      <c r="BJ148" s="811"/>
      <c r="BK148" s="825">
        <f t="shared" si="176"/>
        <v>6496580.8399999999</v>
      </c>
      <c r="BL148" s="349">
        <f t="shared" si="211"/>
        <v>721842.31555555551</v>
      </c>
      <c r="BM148" s="852">
        <f t="shared" si="177"/>
        <v>1838.3715471969144</v>
      </c>
      <c r="BN148" s="852">
        <f t="shared" si="178"/>
        <v>1639.1678534947487</v>
      </c>
      <c r="BO148" s="853">
        <f t="shared" si="179"/>
        <v>0.13089252041581689</v>
      </c>
      <c r="BP148" s="853">
        <f t="shared" si="180"/>
        <v>1.7633674263877377E-2</v>
      </c>
      <c r="BQ148" s="814"/>
      <c r="BR148" s="825">
        <f t="shared" si="181"/>
        <v>6094133.6699999999</v>
      </c>
      <c r="BS148" s="349">
        <f t="shared" si="182"/>
        <v>870590.52428571426</v>
      </c>
      <c r="BT148" s="852">
        <f t="shared" si="183"/>
        <v>1964.8341700213739</v>
      </c>
      <c r="BU148" s="852">
        <f t="shared" si="184"/>
        <v>1712.4994472926699</v>
      </c>
      <c r="BV148" s="853">
        <f t="shared" si="185"/>
        <v>0.12278521466625526</v>
      </c>
      <c r="BW148" s="853">
        <f t="shared" si="186"/>
        <v>1.8744847714123433E-2</v>
      </c>
    </row>
    <row r="149" spans="1:75" s="297" customFormat="1" ht="11.25" outlineLevel="1">
      <c r="A149" s="65"/>
      <c r="B149" s="805"/>
      <c r="C149" s="821"/>
      <c r="D149" s="825">
        <f t="shared" si="187"/>
        <v>0</v>
      </c>
      <c r="E149" s="825">
        <f t="shared" si="188"/>
        <v>0</v>
      </c>
      <c r="F149" s="823">
        <f t="shared" si="212"/>
        <v>0</v>
      </c>
      <c r="G149" s="808"/>
      <c r="H149" s="821"/>
      <c r="I149" s="825">
        <f t="shared" si="189"/>
        <v>0</v>
      </c>
      <c r="J149" s="825">
        <f t="shared" si="190"/>
        <v>0</v>
      </c>
      <c r="K149" s="824">
        <f t="shared" si="213"/>
        <v>0</v>
      </c>
      <c r="L149" s="805"/>
      <c r="M149" s="825"/>
      <c r="N149" s="825">
        <f t="shared" si="191"/>
        <v>0</v>
      </c>
      <c r="O149" s="825">
        <f t="shared" si="192"/>
        <v>0</v>
      </c>
      <c r="P149" s="824">
        <f t="shared" si="214"/>
        <v>0</v>
      </c>
      <c r="Q149" s="808"/>
      <c r="R149" s="825"/>
      <c r="S149" s="825">
        <f t="shared" si="193"/>
        <v>0</v>
      </c>
      <c r="T149" s="825">
        <f t="shared" si="194"/>
        <v>0</v>
      </c>
      <c r="U149" s="824">
        <f t="shared" si="215"/>
        <v>0</v>
      </c>
      <c r="V149" s="805"/>
      <c r="W149" s="825"/>
      <c r="X149" s="825">
        <f t="shared" si="195"/>
        <v>0</v>
      </c>
      <c r="Y149" s="825">
        <f t="shared" si="196"/>
        <v>0</v>
      </c>
      <c r="Z149" s="824">
        <f t="shared" si="216"/>
        <v>0</v>
      </c>
      <c r="AA149" s="808"/>
      <c r="AB149" s="825"/>
      <c r="AC149" s="825">
        <f t="shared" si="197"/>
        <v>0</v>
      </c>
      <c r="AD149" s="825">
        <f t="shared" si="198"/>
        <v>0</v>
      </c>
      <c r="AE149" s="824">
        <f t="shared" si="217"/>
        <v>0</v>
      </c>
      <c r="AF149" s="805"/>
      <c r="AG149" s="825"/>
      <c r="AH149" s="825">
        <f t="shared" si="199"/>
        <v>0</v>
      </c>
      <c r="AI149" s="825">
        <f t="shared" si="200"/>
        <v>0</v>
      </c>
      <c r="AJ149" s="824">
        <f t="shared" si="218"/>
        <v>0</v>
      </c>
      <c r="AK149" s="808"/>
      <c r="AL149" s="825"/>
      <c r="AM149" s="825">
        <f t="shared" si="201"/>
        <v>0</v>
      </c>
      <c r="AN149" s="825">
        <f t="shared" si="202"/>
        <v>0</v>
      </c>
      <c r="AO149" s="824">
        <f t="shared" si="219"/>
        <v>0</v>
      </c>
      <c r="AP149" s="805"/>
      <c r="AQ149" s="825"/>
      <c r="AR149" s="825">
        <f t="shared" si="203"/>
        <v>0</v>
      </c>
      <c r="AS149" s="825">
        <f t="shared" si="204"/>
        <v>0</v>
      </c>
      <c r="AT149" s="824">
        <f t="shared" si="220"/>
        <v>0</v>
      </c>
      <c r="AU149" s="808"/>
      <c r="AV149" s="825"/>
      <c r="AW149" s="825">
        <f t="shared" si="205"/>
        <v>0</v>
      </c>
      <c r="AX149" s="825">
        <f t="shared" si="206"/>
        <v>0</v>
      </c>
      <c r="AY149" s="824">
        <f t="shared" si="221"/>
        <v>0</v>
      </c>
      <c r="AZ149" s="805"/>
      <c r="BA149" s="825"/>
      <c r="BB149" s="825">
        <f t="shared" si="207"/>
        <v>0</v>
      </c>
      <c r="BC149" s="825">
        <f t="shared" si="208"/>
        <v>0</v>
      </c>
      <c r="BD149" s="824">
        <f t="shared" si="222"/>
        <v>0</v>
      </c>
      <c r="BE149" s="808"/>
      <c r="BF149" s="825"/>
      <c r="BG149" s="825">
        <f t="shared" si="209"/>
        <v>0</v>
      </c>
      <c r="BH149" s="825">
        <f t="shared" si="210"/>
        <v>0</v>
      </c>
      <c r="BI149" s="824">
        <f t="shared" si="223"/>
        <v>0</v>
      </c>
      <c r="BJ149" s="811"/>
      <c r="BK149" s="825">
        <f t="shared" si="176"/>
        <v>0</v>
      </c>
      <c r="BL149" s="349">
        <f t="shared" si="211"/>
        <v>0</v>
      </c>
      <c r="BM149" s="852">
        <f t="shared" si="177"/>
        <v>0</v>
      </c>
      <c r="BN149" s="852">
        <f t="shared" si="178"/>
        <v>0</v>
      </c>
      <c r="BO149" s="853">
        <f t="shared" si="179"/>
        <v>0</v>
      </c>
      <c r="BP149" s="853">
        <f t="shared" si="180"/>
        <v>0</v>
      </c>
      <c r="BQ149" s="814"/>
      <c r="BR149" s="825">
        <f t="shared" si="181"/>
        <v>0</v>
      </c>
      <c r="BS149" s="349">
        <f t="shared" si="182"/>
        <v>0</v>
      </c>
      <c r="BT149" s="852">
        <f t="shared" si="183"/>
        <v>0</v>
      </c>
      <c r="BU149" s="852">
        <f t="shared" si="184"/>
        <v>0</v>
      </c>
      <c r="BV149" s="853">
        <f t="shared" si="185"/>
        <v>0</v>
      </c>
      <c r="BW149" s="853">
        <f t="shared" si="186"/>
        <v>0</v>
      </c>
    </row>
    <row r="150" spans="1:75" s="297" customFormat="1" ht="11.25" outlineLevel="1">
      <c r="A150" s="65"/>
      <c r="B150" s="805"/>
      <c r="C150" s="821"/>
      <c r="D150" s="825">
        <f t="shared" si="187"/>
        <v>0</v>
      </c>
      <c r="E150" s="825">
        <f t="shared" si="188"/>
        <v>0</v>
      </c>
      <c r="F150" s="823">
        <f t="shared" si="212"/>
        <v>0</v>
      </c>
      <c r="G150" s="808"/>
      <c r="H150" s="821"/>
      <c r="I150" s="825">
        <f t="shared" si="189"/>
        <v>0</v>
      </c>
      <c r="J150" s="825">
        <f t="shared" si="190"/>
        <v>0</v>
      </c>
      <c r="K150" s="824">
        <f t="shared" si="213"/>
        <v>0</v>
      </c>
      <c r="L150" s="805"/>
      <c r="M150" s="825"/>
      <c r="N150" s="825">
        <f t="shared" si="191"/>
        <v>0</v>
      </c>
      <c r="O150" s="825">
        <f t="shared" si="192"/>
        <v>0</v>
      </c>
      <c r="P150" s="824">
        <f t="shared" si="214"/>
        <v>0</v>
      </c>
      <c r="Q150" s="808"/>
      <c r="R150" s="825"/>
      <c r="S150" s="825">
        <f t="shared" si="193"/>
        <v>0</v>
      </c>
      <c r="T150" s="825">
        <f t="shared" si="194"/>
        <v>0</v>
      </c>
      <c r="U150" s="824">
        <f t="shared" si="215"/>
        <v>0</v>
      </c>
      <c r="V150" s="805"/>
      <c r="W150" s="825"/>
      <c r="X150" s="825">
        <f t="shared" si="195"/>
        <v>0</v>
      </c>
      <c r="Y150" s="825">
        <f t="shared" si="196"/>
        <v>0</v>
      </c>
      <c r="Z150" s="824">
        <f t="shared" si="216"/>
        <v>0</v>
      </c>
      <c r="AA150" s="808"/>
      <c r="AB150" s="825"/>
      <c r="AC150" s="825">
        <f t="shared" si="197"/>
        <v>0</v>
      </c>
      <c r="AD150" s="825">
        <f t="shared" si="198"/>
        <v>0</v>
      </c>
      <c r="AE150" s="824">
        <f t="shared" si="217"/>
        <v>0</v>
      </c>
      <c r="AF150" s="805"/>
      <c r="AG150" s="825"/>
      <c r="AH150" s="825">
        <f t="shared" si="199"/>
        <v>0</v>
      </c>
      <c r="AI150" s="825">
        <f t="shared" si="200"/>
        <v>0</v>
      </c>
      <c r="AJ150" s="824">
        <f t="shared" si="218"/>
        <v>0</v>
      </c>
      <c r="AK150" s="808"/>
      <c r="AL150" s="825"/>
      <c r="AM150" s="825">
        <f t="shared" si="201"/>
        <v>0</v>
      </c>
      <c r="AN150" s="825">
        <f t="shared" si="202"/>
        <v>0</v>
      </c>
      <c r="AO150" s="824">
        <f t="shared" si="219"/>
        <v>0</v>
      </c>
      <c r="AP150" s="805"/>
      <c r="AQ150" s="825"/>
      <c r="AR150" s="825">
        <f t="shared" si="203"/>
        <v>0</v>
      </c>
      <c r="AS150" s="825">
        <f t="shared" si="204"/>
        <v>0</v>
      </c>
      <c r="AT150" s="824">
        <f t="shared" si="220"/>
        <v>0</v>
      </c>
      <c r="AU150" s="808"/>
      <c r="AV150" s="825"/>
      <c r="AW150" s="825">
        <f t="shared" si="205"/>
        <v>0</v>
      </c>
      <c r="AX150" s="825">
        <f t="shared" si="206"/>
        <v>0</v>
      </c>
      <c r="AY150" s="824">
        <f t="shared" si="221"/>
        <v>0</v>
      </c>
      <c r="AZ150" s="805"/>
      <c r="BA150" s="825"/>
      <c r="BB150" s="825">
        <f t="shared" si="207"/>
        <v>0</v>
      </c>
      <c r="BC150" s="825">
        <f t="shared" si="208"/>
        <v>0</v>
      </c>
      <c r="BD150" s="824">
        <f t="shared" si="222"/>
        <v>0</v>
      </c>
      <c r="BE150" s="808"/>
      <c r="BF150" s="825"/>
      <c r="BG150" s="825">
        <f t="shared" si="209"/>
        <v>0</v>
      </c>
      <c r="BH150" s="825">
        <f t="shared" si="210"/>
        <v>0</v>
      </c>
      <c r="BI150" s="824">
        <f t="shared" si="223"/>
        <v>0</v>
      </c>
      <c r="BJ150" s="811"/>
      <c r="BK150" s="825">
        <f t="shared" si="176"/>
        <v>0</v>
      </c>
      <c r="BL150" s="349">
        <f t="shared" si="211"/>
        <v>0</v>
      </c>
      <c r="BM150" s="852">
        <f t="shared" si="177"/>
        <v>0</v>
      </c>
      <c r="BN150" s="852">
        <f t="shared" si="178"/>
        <v>0</v>
      </c>
      <c r="BO150" s="853">
        <f t="shared" si="179"/>
        <v>0</v>
      </c>
      <c r="BP150" s="853">
        <f t="shared" si="180"/>
        <v>0</v>
      </c>
      <c r="BQ150" s="814"/>
      <c r="BR150" s="825">
        <f t="shared" si="181"/>
        <v>0</v>
      </c>
      <c r="BS150" s="349">
        <f t="shared" si="182"/>
        <v>0</v>
      </c>
      <c r="BT150" s="852">
        <f t="shared" si="183"/>
        <v>0</v>
      </c>
      <c r="BU150" s="852">
        <f t="shared" si="184"/>
        <v>0</v>
      </c>
      <c r="BV150" s="853">
        <f t="shared" si="185"/>
        <v>0</v>
      </c>
      <c r="BW150" s="853">
        <f t="shared" si="186"/>
        <v>0</v>
      </c>
    </row>
    <row r="151" spans="1:75" s="297" customFormat="1" ht="13.5" thickBot="1">
      <c r="A151" s="198" t="s">
        <v>62</v>
      </c>
      <c r="B151" s="845"/>
      <c r="C151" s="359">
        <f>C58+C84</f>
        <v>14778.719999999972</v>
      </c>
      <c r="D151" s="864">
        <f>D58+D84</f>
        <v>-395.64173500125435</v>
      </c>
      <c r="E151" s="864">
        <f>E58+E84</f>
        <v>-463.5160539692406</v>
      </c>
      <c r="F151" s="846">
        <f t="shared" si="212"/>
        <v>1</v>
      </c>
      <c r="G151" s="847"/>
      <c r="H151" s="359">
        <f>H58+H84</f>
        <v>-14308.500000000466</v>
      </c>
      <c r="I151" s="864">
        <f>I58+I84</f>
        <v>-1086.3644320915973</v>
      </c>
      <c r="J151" s="864">
        <f>J58+J84</f>
        <v>-1084.3586429979532</v>
      </c>
      <c r="K151" s="848">
        <f t="shared" si="213"/>
        <v>1</v>
      </c>
      <c r="L151" s="845"/>
      <c r="M151" s="200">
        <f>M58+M84</f>
        <v>6411509.2199999997</v>
      </c>
      <c r="N151" s="864">
        <f>N58+N84</f>
        <v>16471.44771373547</v>
      </c>
      <c r="O151" s="864">
        <f>O58+O84</f>
        <v>17115.914938378657</v>
      </c>
      <c r="P151" s="848">
        <f t="shared" si="214"/>
        <v>1</v>
      </c>
      <c r="Q151" s="847"/>
      <c r="R151" s="200">
        <f>R58+R84</f>
        <v>14657076.049999999</v>
      </c>
      <c r="S151" s="864">
        <f>S58+S84</f>
        <v>28530.822132695612</v>
      </c>
      <c r="T151" s="864">
        <f>T58+T84</f>
        <v>20269.388273842676</v>
      </c>
      <c r="U151" s="848">
        <f t="shared" si="215"/>
        <v>1</v>
      </c>
      <c r="V151" s="845"/>
      <c r="W151" s="200">
        <f>W58+W84</f>
        <v>5757928.4399999995</v>
      </c>
      <c r="X151" s="864">
        <f>X58+X84</f>
        <v>9603.2792577311375</v>
      </c>
      <c r="Y151" s="864">
        <f>Y58+Y84</f>
        <v>8171.5283904711214</v>
      </c>
      <c r="Z151" s="848">
        <f t="shared" si="216"/>
        <v>1</v>
      </c>
      <c r="AA151" s="847"/>
      <c r="AB151" s="200">
        <f>AB58+AB84</f>
        <v>6724715.5499999998</v>
      </c>
      <c r="AC151" s="864">
        <f>AC58+AC84</f>
        <v>12772.394871394992</v>
      </c>
      <c r="AD151" s="864">
        <f>AD58+AD84</f>
        <v>11421.290470904458</v>
      </c>
      <c r="AE151" s="848">
        <f t="shared" si="217"/>
        <v>1</v>
      </c>
      <c r="AF151" s="845"/>
      <c r="AG151" s="200">
        <f>AG58+AG84</f>
        <v>5432024.71</v>
      </c>
      <c r="AH151" s="864">
        <f>AH58+AH84</f>
        <v>9121.2502492323656</v>
      </c>
      <c r="AI151" s="864">
        <f>AI58+AI84</f>
        <v>9534.0075350113348</v>
      </c>
      <c r="AJ151" s="848">
        <f t="shared" si="218"/>
        <v>1</v>
      </c>
      <c r="AK151" s="847"/>
      <c r="AL151" s="200">
        <f>AL58+AL84</f>
        <v>6235442.2100000009</v>
      </c>
      <c r="AM151" s="864">
        <f>AM58+AM84</f>
        <v>11895.230647174754</v>
      </c>
      <c r="AN151" s="864">
        <f>AN58+AN84</f>
        <v>9584.4333228819196</v>
      </c>
      <c r="AO151" s="848">
        <f t="shared" si="219"/>
        <v>1</v>
      </c>
      <c r="AP151" s="845"/>
      <c r="AQ151" s="200">
        <f>AQ58+AQ84</f>
        <v>4413775.34</v>
      </c>
      <c r="AR151" s="864">
        <f>AR58+AR84</f>
        <v>9476.0323906448775</v>
      </c>
      <c r="AS151" s="864">
        <f>AS58+AS84</f>
        <v>8434.0912685224448</v>
      </c>
      <c r="AT151" s="848">
        <f t="shared" si="220"/>
        <v>1</v>
      </c>
      <c r="AU151" s="847"/>
      <c r="AV151" s="200">
        <f>AV58+AV84</f>
        <v>0</v>
      </c>
      <c r="AW151" s="864">
        <f>AW58+AW84</f>
        <v>0</v>
      </c>
      <c r="AX151" s="864">
        <f>AX58+AX84</f>
        <v>0</v>
      </c>
      <c r="AY151" s="848">
        <f t="shared" si="221"/>
        <v>0</v>
      </c>
      <c r="AZ151" s="845"/>
      <c r="BA151" s="200">
        <f>BA58+BA84</f>
        <v>0</v>
      </c>
      <c r="BB151" s="864">
        <f>BB58+BB84</f>
        <v>0</v>
      </c>
      <c r="BC151" s="864">
        <f>BC58+BC84</f>
        <v>0</v>
      </c>
      <c r="BD151" s="848">
        <f t="shared" si="222"/>
        <v>0</v>
      </c>
      <c r="BE151" s="847"/>
      <c r="BF151" s="200">
        <f>BF58+BF84</f>
        <v>0</v>
      </c>
      <c r="BG151" s="864">
        <f>BG58+BG84</f>
        <v>0</v>
      </c>
      <c r="BH151" s="864">
        <f>BH58+BH84</f>
        <v>0</v>
      </c>
      <c r="BI151" s="848">
        <f t="shared" si="223"/>
        <v>0</v>
      </c>
      <c r="BJ151" s="849"/>
      <c r="BK151" s="200">
        <f t="shared" si="176"/>
        <v>49632941.739999995</v>
      </c>
      <c r="BL151" s="201">
        <f t="shared" si="211"/>
        <v>5514771.3044444434</v>
      </c>
      <c r="BM151" s="202">
        <f t="shared" si="177"/>
        <v>14044.89379039238</v>
      </c>
      <c r="BN151" s="202">
        <f t="shared" si="178"/>
        <v>12523.006267183726</v>
      </c>
      <c r="BO151" s="203">
        <f t="shared" si="179"/>
        <v>1</v>
      </c>
      <c r="BP151" s="203">
        <f t="shared" si="180"/>
        <v>0.13471873112274904</v>
      </c>
      <c r="BQ151" s="850"/>
      <c r="BR151" s="200">
        <f t="shared" si="181"/>
        <v>49632471.519999996</v>
      </c>
      <c r="BS151" s="201">
        <f t="shared" si="182"/>
        <v>7090353.074285714</v>
      </c>
      <c r="BT151" s="202">
        <f t="shared" si="183"/>
        <v>16002.20495083244</v>
      </c>
      <c r="BU151" s="202">
        <f t="shared" si="184"/>
        <v>13947.114495401143</v>
      </c>
      <c r="BV151" s="203">
        <f t="shared" si="185"/>
        <v>1</v>
      </c>
      <c r="BW151" s="203">
        <f t="shared" si="186"/>
        <v>0.15266372066925277</v>
      </c>
    </row>
    <row r="152" spans="1:75" ht="13.5" thickBot="1">
      <c r="B152" s="865"/>
      <c r="C152" s="389"/>
      <c r="D152" s="258"/>
      <c r="E152" s="258"/>
      <c r="F152" s="258"/>
      <c r="G152" s="470"/>
      <c r="H152" s="389"/>
      <c r="I152" s="258"/>
      <c r="J152" s="258"/>
      <c r="K152" s="258"/>
      <c r="L152" s="865"/>
      <c r="M152" s="389"/>
      <c r="N152" s="258"/>
      <c r="O152" s="258"/>
      <c r="P152" s="258"/>
      <c r="Q152" s="470"/>
      <c r="R152" s="389"/>
      <c r="S152" s="258"/>
      <c r="T152" s="258"/>
      <c r="U152" s="258"/>
      <c r="V152" s="865"/>
      <c r="W152" s="389"/>
      <c r="X152" s="258"/>
      <c r="Y152" s="258"/>
      <c r="Z152" s="258"/>
      <c r="AA152" s="470"/>
      <c r="AB152" s="389"/>
      <c r="AC152" s="258"/>
      <c r="AD152" s="258"/>
      <c r="AE152" s="258"/>
      <c r="AF152" s="865"/>
      <c r="AG152" s="389"/>
      <c r="AH152" s="258"/>
      <c r="AI152" s="258"/>
      <c r="AJ152" s="258"/>
      <c r="AK152" s="470"/>
      <c r="AL152" s="389"/>
      <c r="AM152" s="258"/>
      <c r="AN152" s="258"/>
      <c r="AO152" s="258"/>
      <c r="AP152" s="865"/>
      <c r="AQ152" s="389"/>
      <c r="AR152" s="258"/>
      <c r="AS152" s="258"/>
      <c r="AT152" s="258"/>
      <c r="AU152" s="470"/>
      <c r="AV152" s="389"/>
      <c r="AW152" s="258"/>
      <c r="AX152" s="258"/>
      <c r="AY152" s="258"/>
      <c r="AZ152" s="865"/>
      <c r="BA152" s="389"/>
      <c r="BB152" s="258"/>
      <c r="BC152" s="258"/>
      <c r="BD152" s="258"/>
      <c r="BE152" s="470"/>
      <c r="BF152" s="389"/>
      <c r="BG152" s="258"/>
      <c r="BH152" s="258"/>
      <c r="BI152" s="258"/>
      <c r="BJ152" s="866"/>
      <c r="BK152" s="119">
        <f>BK132-BK153</f>
        <v>7080511.1000000006</v>
      </c>
      <c r="BL152" s="1654">
        <f t="shared" si="211"/>
        <v>786723.45555555564</v>
      </c>
      <c r="BM152" s="121">
        <f t="shared" si="177"/>
        <v>2003.609354894432</v>
      </c>
      <c r="BN152" s="121">
        <f t="shared" si="178"/>
        <v>1786.5006943302724</v>
      </c>
      <c r="BO152" s="122">
        <f t="shared" si="179"/>
        <v>0.14265749423217647</v>
      </c>
      <c r="BP152" s="122">
        <f t="shared" si="180"/>
        <v>1.9218636608109706E-2</v>
      </c>
      <c r="BQ152" s="867"/>
      <c r="BR152" s="389"/>
      <c r="BS152" s="261"/>
      <c r="BT152" s="261"/>
    </row>
    <row r="153" spans="1:75">
      <c r="A153" s="74" t="s">
        <v>441</v>
      </c>
      <c r="B153" s="489"/>
      <c r="C153" s="286">
        <f>SUM(C154:C159)</f>
        <v>417915.32</v>
      </c>
      <c r="D153" s="799">
        <f>SUM(D154:D159)</f>
        <v>2185.5666889800018</v>
      </c>
      <c r="E153" s="799">
        <f>SUM(E154:E159)</f>
        <v>2560.5115884941238</v>
      </c>
      <c r="F153" s="800">
        <f>IF(D$27=0,0,D153/D$27*1000)</f>
        <v>0.11974238406284708</v>
      </c>
      <c r="G153" s="801"/>
      <c r="H153" s="286">
        <f>SUM(H154:H159)</f>
        <v>208659.61</v>
      </c>
      <c r="I153" s="799">
        <f>SUM(I154:I159)</f>
        <v>865.59201028789516</v>
      </c>
      <c r="J153" s="799">
        <f>SUM(J154:J159)</f>
        <v>863.99384031611646</v>
      </c>
      <c r="K153" s="802">
        <f>IF(I$27=0,0,I153/I$27*1000)</f>
        <v>3.4544955332453428E-2</v>
      </c>
      <c r="L153" s="489"/>
      <c r="M153" s="119">
        <f>SUM(M154:M159)</f>
        <v>148447.45000000001</v>
      </c>
      <c r="N153" s="799">
        <f>SUM(N154:N159)</f>
        <v>432.06452328712078</v>
      </c>
      <c r="O153" s="799">
        <f>SUM(O154:O159)</f>
        <v>448.9696204606638</v>
      </c>
      <c r="P153" s="802">
        <f>IF(N$27=0,0,N153/N$27*1000)</f>
        <v>1.3016440861526792E-2</v>
      </c>
      <c r="Q153" s="801"/>
      <c r="R153" s="119">
        <f>SUM(R154:R159)</f>
        <v>334734.37</v>
      </c>
      <c r="S153" s="799">
        <f>SUM(S154:S159)</f>
        <v>695.48401506761934</v>
      </c>
      <c r="T153" s="799">
        <f>SUM(T154:T159)</f>
        <v>494.09846916054244</v>
      </c>
      <c r="U153" s="802">
        <f>IF(S$27=0,0,S153/S$27*1000)</f>
        <v>1.2029511199571812E-2</v>
      </c>
      <c r="V153" s="489"/>
      <c r="W153" s="119">
        <f>SUM(W154:W159)</f>
        <v>279926.95999999996</v>
      </c>
      <c r="X153" s="799">
        <f>SUM(X154:X159)</f>
        <v>557.95130604638166</v>
      </c>
      <c r="Y153" s="799">
        <f>SUM(Y154:Y159)</f>
        <v>474.76646419377687</v>
      </c>
      <c r="Z153" s="802">
        <f>IF(X$27=0,0,X153/X$27*1000)</f>
        <v>9.8323722117811419E-3</v>
      </c>
      <c r="AA153" s="801"/>
      <c r="AB153" s="119">
        <f>SUM(AB154:AB159)</f>
        <v>194749.41</v>
      </c>
      <c r="AC153" s="799">
        <f>SUM(AC154:AC159)</f>
        <v>433.88045137070992</v>
      </c>
      <c r="AD153" s="799">
        <f>SUM(AD154:AD159)</f>
        <v>387.98320241807397</v>
      </c>
      <c r="AE153" s="802">
        <f>IF(AC$27=0,0,AC153/AC$27*1000)</f>
        <v>9.7924725677675378E-3</v>
      </c>
      <c r="AF153" s="489"/>
      <c r="AG153" s="119">
        <f>SUM(AG154:AG159)</f>
        <v>557230.32000000007</v>
      </c>
      <c r="AH153" s="799">
        <f>SUM(AH154:AH159)</f>
        <v>1111.0386409857638</v>
      </c>
      <c r="AI153" s="799">
        <f>SUM(AI154:AI159)</f>
        <v>1161.3156623718874</v>
      </c>
      <c r="AJ153" s="802">
        <f>IF(AH$27=0,0,AH153/AH$27*1000)</f>
        <v>2.5229744617589603E-2</v>
      </c>
      <c r="AK153" s="801"/>
      <c r="AL153" s="119">
        <f>SUM(AL154:AL159)</f>
        <v>627620.76</v>
      </c>
      <c r="AM153" s="799">
        <f>SUM(AM154:AM159)</f>
        <v>1434.9618865146392</v>
      </c>
      <c r="AN153" s="799">
        <f>SUM(AN154:AN159)</f>
        <v>1156.2025933009522</v>
      </c>
      <c r="AO153" s="802">
        <f>IF(AM$27=0,0,AM153/AM$27*1000)</f>
        <v>2.8450647325768501E-2</v>
      </c>
      <c r="AP153" s="489"/>
      <c r="AQ153" s="119">
        <f>SUM(AQ154:AQ159)</f>
        <v>396031.94</v>
      </c>
      <c r="AR153" s="799">
        <f>SUM(AR154:AR159)</f>
        <v>1019.8545021914803</v>
      </c>
      <c r="AS153" s="799">
        <f>SUM(AS154:AS159)</f>
        <v>907.71597199142786</v>
      </c>
      <c r="AT153" s="802">
        <f>IF(AR$27=0,0,AR153/AR$27*1000)</f>
        <v>2.6439194392700965E-2</v>
      </c>
      <c r="AU153" s="801"/>
      <c r="AV153" s="119">
        <f>SUM(AV154:AV159)</f>
        <v>0</v>
      </c>
      <c r="AW153" s="799">
        <f>SUM(AW154:AW159)</f>
        <v>0</v>
      </c>
      <c r="AX153" s="799">
        <f>SUM(AX154:AX159)</f>
        <v>0</v>
      </c>
      <c r="AY153" s="802">
        <f>IF(AW$27=0,0,AW153/AW$27*1000)</f>
        <v>0</v>
      </c>
      <c r="AZ153" s="489"/>
      <c r="BA153" s="119">
        <f>SUM(BA154:BA159)</f>
        <v>0</v>
      </c>
      <c r="BB153" s="799">
        <f>SUM(BB154:BB159)</f>
        <v>0</v>
      </c>
      <c r="BC153" s="799">
        <f>SUM(BC154:BC159)</f>
        <v>0</v>
      </c>
      <c r="BD153" s="802">
        <f>IF(BB$27=0,0,BB153/BB$27*1000)</f>
        <v>0</v>
      </c>
      <c r="BE153" s="801"/>
      <c r="BF153" s="119">
        <f>SUM(BF154:BF159)</f>
        <v>0</v>
      </c>
      <c r="BG153" s="799">
        <f>SUM(BG154:BG159)</f>
        <v>0</v>
      </c>
      <c r="BH153" s="799">
        <f>SUM(BH154:BH159)</f>
        <v>0</v>
      </c>
      <c r="BI153" s="802">
        <f>IF(BG$27=0,0,BG153/BG$27*1000)</f>
        <v>0</v>
      </c>
      <c r="BJ153" s="495"/>
      <c r="BK153" s="119">
        <f>SUM(BK154:BK159)</f>
        <v>3165316.1399999997</v>
      </c>
      <c r="BL153" s="868"/>
      <c r="BM153" s="868"/>
      <c r="BN153" s="869"/>
      <c r="BO153" s="869"/>
      <c r="BP153" s="869"/>
      <c r="BQ153" s="500"/>
      <c r="BR153" s="119">
        <f t="shared" ref="BR153:BR159" si="224">SUM(M153,R153,W153,AB153,AG153,AL153,AQ153,AV153,BA153,BF153)</f>
        <v>2538741.2100000004</v>
      </c>
      <c r="BS153" s="868">
        <f t="shared" ref="BS153:BS159" si="225">BR153/$BS$56</f>
        <v>362677.31571428577</v>
      </c>
      <c r="BT153" s="868">
        <f t="shared" ref="BT153:BT159" si="226">BR153/$BS$5*1000</f>
        <v>818.52577386104645</v>
      </c>
      <c r="BU153" s="869">
        <f t="shared" ref="BU153:BU159" si="227">BR153/$BR$27*1000</f>
        <v>713.4062287386821</v>
      </c>
      <c r="BV153" s="869">
        <f t="shared" ref="BV153:BV159" si="228">BR153/$BR$151</f>
        <v>5.1150811802248945E-2</v>
      </c>
      <c r="BW153" s="869">
        <f t="shared" ref="BW153:BW159" si="229">BR153/$BS$27</f>
        <v>7.8088732449840513E-3</v>
      </c>
    </row>
    <row r="154" spans="1:75" ht="11.25" outlineLevel="1">
      <c r="A154" s="65" t="s">
        <v>442</v>
      </c>
      <c r="B154" s="805"/>
      <c r="C154" s="821"/>
      <c r="D154" s="825">
        <f t="shared" ref="D154:D159" si="230">IF(C$5=0,0,C154/C$5*1000)</f>
        <v>0</v>
      </c>
      <c r="E154" s="825">
        <f t="shared" ref="E154:E159" si="231">IF(C$27=0,0,C154/C$27*1000)</f>
        <v>0</v>
      </c>
      <c r="F154" s="823">
        <f>IF(D$27=0,0,D154/D$27*1000)</f>
        <v>0</v>
      </c>
      <c r="G154" s="463"/>
      <c r="H154" s="821"/>
      <c r="I154" s="825">
        <f t="shared" ref="I154:I159" si="232">IF(H$5=0,0,H154/H$5*1000)</f>
        <v>0</v>
      </c>
      <c r="J154" s="825">
        <f t="shared" ref="J154:J159" si="233">IF(H$27=0,0,H154/H$27*1000)</f>
        <v>0</v>
      </c>
      <c r="K154" s="824">
        <f>IF(I$27=0,0,I154/I$27*1000)</f>
        <v>0</v>
      </c>
      <c r="L154" s="815"/>
      <c r="M154" s="825"/>
      <c r="N154" s="825">
        <f t="shared" ref="N154:N159" si="234">IF(M$5=0,0,M154/M$5*1000)</f>
        <v>0</v>
      </c>
      <c r="O154" s="825">
        <f t="shared" ref="O154:O159" si="235">IF(M$27=0,0,M154/M$27*1000)</f>
        <v>0</v>
      </c>
      <c r="P154" s="824">
        <f>IF(N$27=0,0,N154/N$27*1000)</f>
        <v>0</v>
      </c>
      <c r="Q154" s="463"/>
      <c r="R154" s="825"/>
      <c r="S154" s="825">
        <f t="shared" ref="S154:S159" si="236">IF(R$5=0,0,R154/R$5*1000)</f>
        <v>0</v>
      </c>
      <c r="T154" s="825">
        <f t="shared" ref="T154:T159" si="237">IF(R$27=0,0,R154/R$27*1000)</f>
        <v>0</v>
      </c>
      <c r="U154" s="824">
        <f>IF(S$27=0,0,S154/S$27*1000)</f>
        <v>0</v>
      </c>
      <c r="V154" s="815"/>
      <c r="W154" s="825"/>
      <c r="X154" s="825">
        <f t="shared" ref="X154:X159" si="238">IF(W$5=0,0,W154/W$5*1000)</f>
        <v>0</v>
      </c>
      <c r="Y154" s="825">
        <f t="shared" ref="Y154:Y159" si="239">IF(W$27=0,0,W154/W$27*1000)</f>
        <v>0</v>
      </c>
      <c r="Z154" s="824">
        <f>IF(X$27=0,0,X154/X$27*1000)</f>
        <v>0</v>
      </c>
      <c r="AA154" s="463"/>
      <c r="AB154" s="825"/>
      <c r="AC154" s="825">
        <f t="shared" ref="AC154:AC159" si="240">IF(AB$5=0,0,AB154/AB$5*1000)</f>
        <v>0</v>
      </c>
      <c r="AD154" s="825">
        <f t="shared" ref="AD154:AD159" si="241">IF(AB$27=0,0,AB154/AB$27*1000)</f>
        <v>0</v>
      </c>
      <c r="AE154" s="824">
        <f>IF(AC$27=0,0,AC154/AC$27*1000)</f>
        <v>0</v>
      </c>
      <c r="AF154" s="815"/>
      <c r="AG154" s="825"/>
      <c r="AH154" s="825">
        <f t="shared" ref="AH154:AH159" si="242">IF(AG$5=0,0,AG154/AG$5*1000)</f>
        <v>0</v>
      </c>
      <c r="AI154" s="825">
        <f t="shared" ref="AI154:AI159" si="243">IF(AG$27=0,0,AG154/AG$27*1000)</f>
        <v>0</v>
      </c>
      <c r="AJ154" s="824">
        <f>IF(AH$27=0,0,AH154/AH$27*1000)</f>
        <v>0</v>
      </c>
      <c r="AK154" s="463"/>
      <c r="AL154" s="825"/>
      <c r="AM154" s="825">
        <f t="shared" ref="AM154:AM159" si="244">IF(AL$5=0,0,AL154/AL$5*1000)</f>
        <v>0</v>
      </c>
      <c r="AN154" s="825">
        <f t="shared" ref="AN154:AN159" si="245">IF(AL$27=0,0,AL154/AL$27*1000)</f>
        <v>0</v>
      </c>
      <c r="AO154" s="824">
        <f>IF(AM$27=0,0,AM154/AM$27*1000)</f>
        <v>0</v>
      </c>
      <c r="AP154" s="815"/>
      <c r="AQ154" s="825"/>
      <c r="AR154" s="825">
        <f t="shared" ref="AR154:AR159" si="246">IF(AQ$5=0,0,AQ154/AQ$5*1000)</f>
        <v>0</v>
      </c>
      <c r="AS154" s="825">
        <f t="shared" ref="AS154:AS159" si="247">IF(AQ$27=0,0,AQ154/AQ$27*1000)</f>
        <v>0</v>
      </c>
      <c r="AT154" s="824">
        <f>IF(AR$27=0,0,AR154/AR$27*1000)</f>
        <v>0</v>
      </c>
      <c r="AU154" s="463"/>
      <c r="AV154" s="825"/>
      <c r="AW154" s="825">
        <f t="shared" ref="AW154:AW159" si="248">IF(AV$5=0,0,AV154/AV$5*1000)</f>
        <v>0</v>
      </c>
      <c r="AX154" s="825">
        <f t="shared" ref="AX154:AX159" si="249">IF(AV$27=0,0,AV154/AV$27*1000)</f>
        <v>0</v>
      </c>
      <c r="AY154" s="824">
        <f>IF(AW$27=0,0,AW154/AW$27*1000)</f>
        <v>0</v>
      </c>
      <c r="AZ154" s="815"/>
      <c r="BA154" s="825"/>
      <c r="BB154" s="825">
        <f t="shared" ref="BB154:BB159" si="250">IF(BA$5=0,0,BA154/BA$5*1000)</f>
        <v>0</v>
      </c>
      <c r="BC154" s="825">
        <f t="shared" ref="BC154:BC159" si="251">IF(BA$27=0,0,BA154/BA$27*1000)</f>
        <v>0</v>
      </c>
      <c r="BD154" s="824">
        <f>IF(BB$27=0,0,BB154/BB$27*1000)</f>
        <v>0</v>
      </c>
      <c r="BE154" s="463"/>
      <c r="BF154" s="825"/>
      <c r="BG154" s="825">
        <f t="shared" ref="BG154:BG159" si="252">IF(BF$5=0,0,BF154/BF$5*1000)</f>
        <v>0</v>
      </c>
      <c r="BH154" s="825">
        <f t="shared" ref="BH154:BH159" si="253">IF(BF$27=0,0,BF154/BF$27*1000)</f>
        <v>0</v>
      </c>
      <c r="BI154" s="824">
        <f>IF(BG$27=0,0,BG154/BG$27*1000)</f>
        <v>0</v>
      </c>
      <c r="BJ154" s="870"/>
      <c r="BK154" s="825">
        <f t="shared" ref="BK154:BK159" si="254">SUM(C154,H154,M154,R154,W154,AB154,AG154,AL154,AQ154,AV154,BA154,BF154)</f>
        <v>0</v>
      </c>
      <c r="BL154" s="349">
        <f t="shared" ref="BL154:BL159" si="255">BK154/$BL$56</f>
        <v>0</v>
      </c>
      <c r="BM154" s="852">
        <f t="shared" ref="BM154:BM159" si="256">BK154/$BL$5*1000</f>
        <v>0</v>
      </c>
      <c r="BN154" s="852">
        <f t="shared" ref="BN154:BN159" si="257">BK154/$BK$27*1000</f>
        <v>0</v>
      </c>
      <c r="BO154" s="853">
        <f t="shared" ref="BO154:BO159" si="258">BK154/$BK$151</f>
        <v>0</v>
      </c>
      <c r="BP154" s="853">
        <f t="shared" ref="BP154:BP159" si="259">BK154/$BL$27</f>
        <v>0</v>
      </c>
      <c r="BQ154" s="814"/>
      <c r="BR154" s="825">
        <f t="shared" si="224"/>
        <v>0</v>
      </c>
      <c r="BS154" s="349">
        <f t="shared" si="225"/>
        <v>0</v>
      </c>
      <c r="BT154" s="852">
        <f t="shared" si="226"/>
        <v>0</v>
      </c>
      <c r="BU154" s="852">
        <f t="shared" si="227"/>
        <v>0</v>
      </c>
      <c r="BV154" s="853">
        <f t="shared" si="228"/>
        <v>0</v>
      </c>
      <c r="BW154" s="853">
        <f t="shared" si="229"/>
        <v>0</v>
      </c>
    </row>
    <row r="155" spans="1:75" ht="11.25" outlineLevel="1">
      <c r="A155" s="65" t="s">
        <v>443</v>
      </c>
      <c r="B155" s="805"/>
      <c r="C155" s="821"/>
      <c r="D155" s="825">
        <f t="shared" si="230"/>
        <v>0</v>
      </c>
      <c r="E155" s="825">
        <f t="shared" si="231"/>
        <v>0</v>
      </c>
      <c r="F155" s="823">
        <f>IF(D$27=0,0,D155/D$27*1000)</f>
        <v>0</v>
      </c>
      <c r="G155" s="463"/>
      <c r="H155" s="821"/>
      <c r="I155" s="825">
        <f t="shared" si="232"/>
        <v>0</v>
      </c>
      <c r="J155" s="825">
        <f t="shared" si="233"/>
        <v>0</v>
      </c>
      <c r="K155" s="824">
        <f>IF(I$27=0,0,I155/I$27*1000)</f>
        <v>0</v>
      </c>
      <c r="L155" s="815"/>
      <c r="M155" s="825"/>
      <c r="N155" s="825">
        <f t="shared" si="234"/>
        <v>0</v>
      </c>
      <c r="O155" s="825">
        <f t="shared" si="235"/>
        <v>0</v>
      </c>
      <c r="P155" s="824">
        <f>IF(N$27=0,0,N155/N$27*1000)</f>
        <v>0</v>
      </c>
      <c r="Q155" s="463"/>
      <c r="R155" s="825"/>
      <c r="S155" s="825">
        <f t="shared" si="236"/>
        <v>0</v>
      </c>
      <c r="T155" s="825">
        <f t="shared" si="237"/>
        <v>0</v>
      </c>
      <c r="U155" s="824">
        <f>IF(S$27=0,0,S155/S$27*1000)</f>
        <v>0</v>
      </c>
      <c r="V155" s="815"/>
      <c r="W155" s="825"/>
      <c r="X155" s="825">
        <f t="shared" si="238"/>
        <v>0</v>
      </c>
      <c r="Y155" s="825">
        <f t="shared" si="239"/>
        <v>0</v>
      </c>
      <c r="Z155" s="824">
        <f>IF(X$27=0,0,X155/X$27*1000)</f>
        <v>0</v>
      </c>
      <c r="AA155" s="463"/>
      <c r="AB155" s="825"/>
      <c r="AC155" s="825">
        <f t="shared" si="240"/>
        <v>0</v>
      </c>
      <c r="AD155" s="825">
        <f t="shared" si="241"/>
        <v>0</v>
      </c>
      <c r="AE155" s="824">
        <f>IF(AC$27=0,0,AC155/AC$27*1000)</f>
        <v>0</v>
      </c>
      <c r="AF155" s="815"/>
      <c r="AG155" s="825"/>
      <c r="AH155" s="825">
        <f t="shared" si="242"/>
        <v>0</v>
      </c>
      <c r="AI155" s="825">
        <f t="shared" si="243"/>
        <v>0</v>
      </c>
      <c r="AJ155" s="824">
        <f>IF(AH$27=0,0,AH155/AH$27*1000)</f>
        <v>0</v>
      </c>
      <c r="AK155" s="463"/>
      <c r="AL155" s="825">
        <v>174257.75</v>
      </c>
      <c r="AM155" s="825">
        <f t="shared" si="244"/>
        <v>398.41452930874436</v>
      </c>
      <c r="AN155" s="825">
        <f t="shared" si="245"/>
        <v>321.01752410610032</v>
      </c>
      <c r="AO155" s="824">
        <f>IF(AM$27=0,0,AM155/AM$27*1000)</f>
        <v>7.8992699174449503E-3</v>
      </c>
      <c r="AP155" s="815"/>
      <c r="AQ155" s="825"/>
      <c r="AR155" s="825">
        <f t="shared" si="246"/>
        <v>0</v>
      </c>
      <c r="AS155" s="825">
        <f t="shared" si="247"/>
        <v>0</v>
      </c>
      <c r="AT155" s="824">
        <f>IF(AR$27=0,0,AR155/AR$27*1000)</f>
        <v>0</v>
      </c>
      <c r="AU155" s="463"/>
      <c r="AV155" s="825"/>
      <c r="AW155" s="825">
        <f t="shared" si="248"/>
        <v>0</v>
      </c>
      <c r="AX155" s="825">
        <f t="shared" si="249"/>
        <v>0</v>
      </c>
      <c r="AY155" s="824">
        <f>IF(AW$27=0,0,AW155/AW$27*1000)</f>
        <v>0</v>
      </c>
      <c r="AZ155" s="815"/>
      <c r="BA155" s="825"/>
      <c r="BB155" s="825">
        <f t="shared" si="250"/>
        <v>0</v>
      </c>
      <c r="BC155" s="825">
        <f t="shared" si="251"/>
        <v>0</v>
      </c>
      <c r="BD155" s="824">
        <f>IF(BB$27=0,0,BB155/BB$27*1000)</f>
        <v>0</v>
      </c>
      <c r="BE155" s="463"/>
      <c r="BF155" s="825"/>
      <c r="BG155" s="825">
        <f t="shared" si="252"/>
        <v>0</v>
      </c>
      <c r="BH155" s="825">
        <f t="shared" si="253"/>
        <v>0</v>
      </c>
      <c r="BI155" s="824">
        <f>IF(BG$27=0,0,BG155/BG$27*1000)</f>
        <v>0</v>
      </c>
      <c r="BJ155" s="870"/>
      <c r="BK155" s="825">
        <f t="shared" si="254"/>
        <v>174257.75</v>
      </c>
      <c r="BL155" s="349">
        <f t="shared" si="255"/>
        <v>19361.972222222223</v>
      </c>
      <c r="BM155" s="852">
        <f t="shared" si="256"/>
        <v>49.310629293816824</v>
      </c>
      <c r="BN155" s="852">
        <f t="shared" si="257"/>
        <v>43.9673897788863</v>
      </c>
      <c r="BO155" s="853">
        <f t="shared" si="258"/>
        <v>3.5109293120855426E-3</v>
      </c>
      <c r="BP155" s="853">
        <f t="shared" si="259"/>
        <v>4.729879419858305E-4</v>
      </c>
      <c r="BQ155" s="814"/>
      <c r="BR155" s="825">
        <f t="shared" si="224"/>
        <v>174257.75</v>
      </c>
      <c r="BS155" s="349">
        <f t="shared" si="225"/>
        <v>24893.964285714286</v>
      </c>
      <c r="BT155" s="852">
        <f t="shared" si="226"/>
        <v>56.183142696153247</v>
      </c>
      <c r="BU155" s="852">
        <f t="shared" si="227"/>
        <v>48.967797019369321</v>
      </c>
      <c r="BV155" s="853">
        <f t="shared" si="228"/>
        <v>3.5109625747688339E-3</v>
      </c>
      <c r="BW155" s="853">
        <f t="shared" si="229"/>
        <v>5.359966097947098E-4</v>
      </c>
    </row>
    <row r="156" spans="1:75" ht="11.25" outlineLevel="1">
      <c r="A156" s="65" t="s">
        <v>444</v>
      </c>
      <c r="B156" s="805"/>
      <c r="C156" s="821"/>
      <c r="D156" s="825">
        <f t="shared" si="230"/>
        <v>0</v>
      </c>
      <c r="E156" s="825">
        <f t="shared" si="231"/>
        <v>0</v>
      </c>
      <c r="F156" s="823">
        <f>IF(C156=0,0,C156/C$151)</f>
        <v>0</v>
      </c>
      <c r="G156" s="463"/>
      <c r="H156" s="821">
        <v>5.53</v>
      </c>
      <c r="I156" s="825">
        <f t="shared" si="232"/>
        <v>2.2940346801626151E-2</v>
      </c>
      <c r="J156" s="825">
        <f t="shared" si="233"/>
        <v>2.2897991312013494E-2</v>
      </c>
      <c r="K156" s="824">
        <f>IF(H156=0,0,H156/H$151)</f>
        <v>-3.8648355872382292E-4</v>
      </c>
      <c r="L156" s="815"/>
      <c r="M156" s="825">
        <v>3.35</v>
      </c>
      <c r="N156" s="825">
        <f t="shared" si="234"/>
        <v>9.7503605013885691E-3</v>
      </c>
      <c r="O156" s="825">
        <f t="shared" si="235"/>
        <v>1.0131856280072333E-2</v>
      </c>
      <c r="P156" s="824">
        <f>IF(M156=0,0,M156/M$151)</f>
        <v>5.2249788389136879E-7</v>
      </c>
      <c r="Q156" s="463"/>
      <c r="R156" s="825">
        <v>4.26</v>
      </c>
      <c r="S156" s="825">
        <f t="shared" si="236"/>
        <v>8.8510836344294682E-3</v>
      </c>
      <c r="T156" s="825">
        <f t="shared" si="237"/>
        <v>6.2881486553768313E-3</v>
      </c>
      <c r="U156" s="824">
        <f>IF(R156=0,0,R156/R$151)</f>
        <v>2.9064459960961996E-7</v>
      </c>
      <c r="V156" s="815"/>
      <c r="W156" s="825">
        <v>4.74</v>
      </c>
      <c r="X156" s="825">
        <f t="shared" si="238"/>
        <v>9.4477830597661967E-3</v>
      </c>
      <c r="Y156" s="825">
        <f t="shared" si="239"/>
        <v>8.0392150876732356E-3</v>
      </c>
      <c r="Z156" s="824">
        <f>IF(W156=0,0,W156/W$151)</f>
        <v>8.2321273169556803E-7</v>
      </c>
      <c r="AA156" s="463"/>
      <c r="AB156" s="825">
        <v>3.26</v>
      </c>
      <c r="AC156" s="825">
        <f t="shared" si="240"/>
        <v>7.2629245524724016E-3</v>
      </c>
      <c r="AD156" s="825">
        <f t="shared" si="241"/>
        <v>6.4946293797907848E-3</v>
      </c>
      <c r="AE156" s="824">
        <f>IF(AB156=0,0,AB156/AB$151)</f>
        <v>4.8477886919692828E-7</v>
      </c>
      <c r="AF156" s="815"/>
      <c r="AG156" s="825">
        <v>5.15</v>
      </c>
      <c r="AH156" s="825">
        <f t="shared" si="242"/>
        <v>1.0268373409897516E-2</v>
      </c>
      <c r="AI156" s="825">
        <f t="shared" si="243"/>
        <v>1.0733040623516717E-2</v>
      </c>
      <c r="AJ156" s="824">
        <f>IF(AG156=0,0,AG156/AG$151)</f>
        <v>9.4808110694327097E-7</v>
      </c>
      <c r="AK156" s="463"/>
      <c r="AL156" s="825">
        <v>57.84</v>
      </c>
      <c r="AM156" s="825">
        <f t="shared" si="244"/>
        <v>0.13224259107682598</v>
      </c>
      <c r="AN156" s="825">
        <f t="shared" si="245"/>
        <v>0.10655281383064368</v>
      </c>
      <c r="AO156" s="824">
        <f>IF(AL156=0,0,AL156/AL$151)</f>
        <v>9.2760061038237086E-6</v>
      </c>
      <c r="AP156" s="815"/>
      <c r="AQ156" s="825">
        <v>5.81</v>
      </c>
      <c r="AR156" s="825">
        <f t="shared" si="246"/>
        <v>1.4961810044241634E-2</v>
      </c>
      <c r="AS156" s="825">
        <f t="shared" si="247"/>
        <v>1.3316677935800318E-2</v>
      </c>
      <c r="AT156" s="824">
        <f>IF(AQ156=0,0,AQ156/AQ$151)</f>
        <v>1.3163334226249948E-6</v>
      </c>
      <c r="AU156" s="463"/>
      <c r="AV156" s="825"/>
      <c r="AW156" s="825">
        <f t="shared" si="248"/>
        <v>0</v>
      </c>
      <c r="AX156" s="825">
        <f t="shared" si="249"/>
        <v>0</v>
      </c>
      <c r="AY156" s="824">
        <f>IF(AV156=0,0,AV156/AV$151)</f>
        <v>0</v>
      </c>
      <c r="AZ156" s="815"/>
      <c r="BA156" s="825"/>
      <c r="BB156" s="825">
        <f t="shared" si="250"/>
        <v>0</v>
      </c>
      <c r="BC156" s="825">
        <f t="shared" si="251"/>
        <v>0</v>
      </c>
      <c r="BD156" s="824">
        <f>IF(BA156=0,0,BA156/BA$151)</f>
        <v>0</v>
      </c>
      <c r="BE156" s="463"/>
      <c r="BF156" s="825"/>
      <c r="BG156" s="825">
        <f t="shared" si="252"/>
        <v>0</v>
      </c>
      <c r="BH156" s="825">
        <f t="shared" si="253"/>
        <v>0</v>
      </c>
      <c r="BI156" s="824">
        <f>IF(BF156=0,0,BF156/BF$151)</f>
        <v>0</v>
      </c>
      <c r="BJ156" s="870"/>
      <c r="BK156" s="825">
        <f t="shared" si="254"/>
        <v>89.94</v>
      </c>
      <c r="BL156" s="349">
        <f t="shared" si="255"/>
        <v>9.9933333333333323</v>
      </c>
      <c r="BM156" s="852">
        <f t="shared" si="256"/>
        <v>2.5450793429192591E-2</v>
      </c>
      <c r="BN156" s="852">
        <f t="shared" si="257"/>
        <v>2.2692976563240565E-2</v>
      </c>
      <c r="BO156" s="853">
        <f t="shared" si="258"/>
        <v>1.8121029470940242E-6</v>
      </c>
      <c r="BP156" s="853">
        <f t="shared" si="259"/>
        <v>2.4412420969630101E-7</v>
      </c>
      <c r="BQ156" s="814"/>
      <c r="BR156" s="825">
        <f t="shared" si="224"/>
        <v>84.41</v>
      </c>
      <c r="BS156" s="349">
        <f t="shared" si="225"/>
        <v>12.058571428571428</v>
      </c>
      <c r="BT156" s="852">
        <f t="shared" si="226"/>
        <v>2.7214967913807536E-2</v>
      </c>
      <c r="BU156" s="852">
        <f t="shared" si="227"/>
        <v>2.3719873270514304E-2</v>
      </c>
      <c r="BV156" s="853">
        <f t="shared" si="228"/>
        <v>1.7007011219658077E-6</v>
      </c>
      <c r="BW156" s="853">
        <f t="shared" si="229"/>
        <v>2.596353610256729E-7</v>
      </c>
    </row>
    <row r="157" spans="1:75" s="874" customFormat="1" ht="11.25" outlineLevel="1">
      <c r="A157" s="65" t="s">
        <v>445</v>
      </c>
      <c r="B157" s="805"/>
      <c r="C157" s="821">
        <v>417915.32</v>
      </c>
      <c r="D157" s="825">
        <f t="shared" si="230"/>
        <v>2185.5666889800018</v>
      </c>
      <c r="E157" s="825">
        <f t="shared" si="231"/>
        <v>2560.5115884941238</v>
      </c>
      <c r="F157" s="823">
        <f>IF(C157=0,0,C157/C$151)</f>
        <v>28.278181060335456</v>
      </c>
      <c r="G157" s="871"/>
      <c r="H157" s="821">
        <v>208654.07999999999</v>
      </c>
      <c r="I157" s="825">
        <f t="shared" si="232"/>
        <v>865.56906994109352</v>
      </c>
      <c r="J157" s="825">
        <f t="shared" si="233"/>
        <v>863.97094232480447</v>
      </c>
      <c r="K157" s="824">
        <f>IF(H157=0,0,H157/H$151)</f>
        <v>-14.582526470279427</v>
      </c>
      <c r="L157" s="872"/>
      <c r="M157" s="825">
        <v>148444.1</v>
      </c>
      <c r="N157" s="825">
        <f t="shared" si="234"/>
        <v>432.05477292661936</v>
      </c>
      <c r="O157" s="825">
        <f t="shared" si="235"/>
        <v>448.95948860438375</v>
      </c>
      <c r="P157" s="824">
        <f>IF(M157=0,0,M157/M$151)</f>
        <v>2.3152754664524995E-2</v>
      </c>
      <c r="Q157" s="871"/>
      <c r="R157" s="825">
        <v>334730.11</v>
      </c>
      <c r="S157" s="825">
        <f t="shared" si="236"/>
        <v>695.47516398398488</v>
      </c>
      <c r="T157" s="825">
        <f t="shared" si="237"/>
        <v>494.09218101188708</v>
      </c>
      <c r="U157" s="824">
        <f>IF(R157=0,0,R157/R$151)</f>
        <v>2.2837441032449307E-2</v>
      </c>
      <c r="V157" s="872"/>
      <c r="W157" s="825">
        <v>279922.21999999997</v>
      </c>
      <c r="X157" s="825">
        <f t="shared" si="238"/>
        <v>557.94185826332193</v>
      </c>
      <c r="Y157" s="825">
        <f t="shared" si="239"/>
        <v>474.75842497868922</v>
      </c>
      <c r="Z157" s="824">
        <f>IF(W157=0,0,W157/W$151)</f>
        <v>4.8615091854111336E-2</v>
      </c>
      <c r="AA157" s="871"/>
      <c r="AB157" s="825">
        <v>194746.15</v>
      </c>
      <c r="AC157" s="825">
        <f t="shared" si="240"/>
        <v>433.87318844615743</v>
      </c>
      <c r="AD157" s="825">
        <f t="shared" si="241"/>
        <v>387.97670778869417</v>
      </c>
      <c r="AE157" s="824">
        <f>IF(AB157=0,0,AB157/AB$151)</f>
        <v>2.8959760238483248E-2</v>
      </c>
      <c r="AF157" s="872"/>
      <c r="AG157" s="825">
        <v>557225.17000000004</v>
      </c>
      <c r="AH157" s="825">
        <f t="shared" si="242"/>
        <v>1111.0283726123539</v>
      </c>
      <c r="AI157" s="825">
        <f t="shared" si="243"/>
        <v>1161.3049293312638</v>
      </c>
      <c r="AJ157" s="824">
        <f>IF(AG157=0,0,AG157/AG$151)</f>
        <v>0.102581486600049</v>
      </c>
      <c r="AK157" s="871"/>
      <c r="AL157" s="825">
        <v>453305.17</v>
      </c>
      <c r="AM157" s="825">
        <f t="shared" si="244"/>
        <v>1036.4151146148181</v>
      </c>
      <c r="AN157" s="825">
        <f t="shared" si="245"/>
        <v>835.07851638102125</v>
      </c>
      <c r="AO157" s="824">
        <f>IF(AL157=0,0,AL157/AL$151)</f>
        <v>7.2698159125429526E-2</v>
      </c>
      <c r="AP157" s="872"/>
      <c r="AQ157" s="825">
        <f>353273.97+42752.16</f>
        <v>396026.13</v>
      </c>
      <c r="AR157" s="825">
        <f t="shared" si="246"/>
        <v>1019.839540381436</v>
      </c>
      <c r="AS157" s="825">
        <f t="shared" si="247"/>
        <v>907.70265531349207</v>
      </c>
      <c r="AT157" s="824">
        <f>IF(AQ157=0,0,AQ157/AQ$151)</f>
        <v>8.9725031179316891E-2</v>
      </c>
      <c r="AU157" s="871"/>
      <c r="AV157" s="825"/>
      <c r="AW157" s="825">
        <f t="shared" si="248"/>
        <v>0</v>
      </c>
      <c r="AX157" s="825">
        <f t="shared" si="249"/>
        <v>0</v>
      </c>
      <c r="AY157" s="824">
        <f>IF(AV157=0,0,AV157/AV$151)</f>
        <v>0</v>
      </c>
      <c r="AZ157" s="872"/>
      <c r="BA157" s="825"/>
      <c r="BB157" s="825">
        <f t="shared" si="250"/>
        <v>0</v>
      </c>
      <c r="BC157" s="825">
        <f t="shared" si="251"/>
        <v>0</v>
      </c>
      <c r="BD157" s="824">
        <f>IF(BA157=0,0,BA157/BA$151)</f>
        <v>0</v>
      </c>
      <c r="BE157" s="871"/>
      <c r="BF157" s="825"/>
      <c r="BG157" s="825">
        <f t="shared" si="252"/>
        <v>0</v>
      </c>
      <c r="BH157" s="825">
        <f t="shared" si="253"/>
        <v>0</v>
      </c>
      <c r="BI157" s="824">
        <f>IF(BF157=0,0,BF157/BF$151)</f>
        <v>0</v>
      </c>
      <c r="BJ157" s="873"/>
      <c r="BK157" s="825">
        <f t="shared" si="254"/>
        <v>2990968.4499999997</v>
      </c>
      <c r="BL157" s="349">
        <f t="shared" si="255"/>
        <v>332329.82777777774</v>
      </c>
      <c r="BM157" s="852">
        <f t="shared" si="256"/>
        <v>846.37002639740206</v>
      </c>
      <c r="BN157" s="852">
        <f t="shared" si="257"/>
        <v>754.65840490595906</v>
      </c>
      <c r="BO157" s="853">
        <f t="shared" si="258"/>
        <v>6.0261760539362302E-2</v>
      </c>
      <c r="BP157" s="853">
        <f t="shared" si="259"/>
        <v>8.1183879150858382E-3</v>
      </c>
      <c r="BQ157" s="814"/>
      <c r="BR157" s="825">
        <f t="shared" si="224"/>
        <v>2364399.0499999998</v>
      </c>
      <c r="BS157" s="349">
        <f t="shared" si="225"/>
        <v>337771.29285714281</v>
      </c>
      <c r="BT157" s="852">
        <f t="shared" si="226"/>
        <v>762.31541619697919</v>
      </c>
      <c r="BU157" s="852">
        <f t="shared" si="227"/>
        <v>664.41471184604222</v>
      </c>
      <c r="BV157" s="853">
        <f t="shared" si="228"/>
        <v>4.7638148526358136E-2</v>
      </c>
      <c r="BW157" s="853">
        <f t="shared" si="229"/>
        <v>7.2726169998283139E-3</v>
      </c>
    </row>
    <row r="158" spans="1:75" s="874" customFormat="1" ht="11.25" outlineLevel="1">
      <c r="A158" s="65" t="s">
        <v>446</v>
      </c>
      <c r="B158" s="805"/>
      <c r="C158" s="821"/>
      <c r="D158" s="825">
        <f t="shared" si="230"/>
        <v>0</v>
      </c>
      <c r="E158" s="825">
        <f t="shared" si="231"/>
        <v>0</v>
      </c>
      <c r="F158" s="823">
        <f>IF(C158=0,0,C158/C$151)</f>
        <v>0</v>
      </c>
      <c r="G158" s="871"/>
      <c r="H158" s="821"/>
      <c r="I158" s="825">
        <f t="shared" si="232"/>
        <v>0</v>
      </c>
      <c r="J158" s="825">
        <f t="shared" si="233"/>
        <v>0</v>
      </c>
      <c r="K158" s="824">
        <f>IF(H158=0,0,H158/H$151)</f>
        <v>0</v>
      </c>
      <c r="L158" s="872"/>
      <c r="M158" s="825"/>
      <c r="N158" s="825">
        <f t="shared" si="234"/>
        <v>0</v>
      </c>
      <c r="O158" s="825">
        <f t="shared" si="235"/>
        <v>0</v>
      </c>
      <c r="P158" s="824">
        <f>IF(M158=0,0,M158/M$151)</f>
        <v>0</v>
      </c>
      <c r="Q158" s="871"/>
      <c r="R158" s="825"/>
      <c r="S158" s="825">
        <f t="shared" si="236"/>
        <v>0</v>
      </c>
      <c r="T158" s="825">
        <f t="shared" si="237"/>
        <v>0</v>
      </c>
      <c r="U158" s="824">
        <f>IF(R158=0,0,R158/R$151)</f>
        <v>0</v>
      </c>
      <c r="V158" s="872"/>
      <c r="W158" s="825"/>
      <c r="X158" s="825">
        <f t="shared" si="238"/>
        <v>0</v>
      </c>
      <c r="Y158" s="825">
        <f t="shared" si="239"/>
        <v>0</v>
      </c>
      <c r="Z158" s="824">
        <f>IF(W158=0,0,W158/W$151)</f>
        <v>0</v>
      </c>
      <c r="AA158" s="871"/>
      <c r="AB158" s="825"/>
      <c r="AC158" s="825">
        <f t="shared" si="240"/>
        <v>0</v>
      </c>
      <c r="AD158" s="825">
        <f t="shared" si="241"/>
        <v>0</v>
      </c>
      <c r="AE158" s="824">
        <f>IF(AB158=0,0,AB158/AB$151)</f>
        <v>0</v>
      </c>
      <c r="AF158" s="872"/>
      <c r="AG158" s="825"/>
      <c r="AH158" s="825">
        <f t="shared" si="242"/>
        <v>0</v>
      </c>
      <c r="AI158" s="825">
        <f t="shared" si="243"/>
        <v>0</v>
      </c>
      <c r="AJ158" s="824">
        <f>IF(AG158=0,0,AG158/AG$151)</f>
        <v>0</v>
      </c>
      <c r="AK158" s="871"/>
      <c r="AL158" s="825"/>
      <c r="AM158" s="825">
        <f t="shared" si="244"/>
        <v>0</v>
      </c>
      <c r="AN158" s="825">
        <f t="shared" si="245"/>
        <v>0</v>
      </c>
      <c r="AO158" s="824">
        <f>IF(AL158=0,0,AL158/AL$151)</f>
        <v>0</v>
      </c>
      <c r="AP158" s="872"/>
      <c r="AQ158" s="825"/>
      <c r="AR158" s="825">
        <f t="shared" si="246"/>
        <v>0</v>
      </c>
      <c r="AS158" s="825">
        <f t="shared" si="247"/>
        <v>0</v>
      </c>
      <c r="AT158" s="824">
        <f>IF(AQ158=0,0,AQ158/AQ$151)</f>
        <v>0</v>
      </c>
      <c r="AU158" s="871"/>
      <c r="AV158" s="825"/>
      <c r="AW158" s="825">
        <f t="shared" si="248"/>
        <v>0</v>
      </c>
      <c r="AX158" s="825">
        <f t="shared" si="249"/>
        <v>0</v>
      </c>
      <c r="AY158" s="824">
        <f>IF(AV158=0,0,AV158/AV$151)</f>
        <v>0</v>
      </c>
      <c r="AZ158" s="872"/>
      <c r="BA158" s="825"/>
      <c r="BB158" s="825">
        <f t="shared" si="250"/>
        <v>0</v>
      </c>
      <c r="BC158" s="825">
        <f t="shared" si="251"/>
        <v>0</v>
      </c>
      <c r="BD158" s="824">
        <f>IF(BA158=0,0,BA158/BA$151)</f>
        <v>0</v>
      </c>
      <c r="BE158" s="871"/>
      <c r="BF158" s="825"/>
      <c r="BG158" s="825">
        <f t="shared" si="252"/>
        <v>0</v>
      </c>
      <c r="BH158" s="825">
        <f t="shared" si="253"/>
        <v>0</v>
      </c>
      <c r="BI158" s="824">
        <f>IF(BF158=0,0,BF158/BF$151)</f>
        <v>0</v>
      </c>
      <c r="BJ158" s="873"/>
      <c r="BK158" s="825">
        <f t="shared" si="254"/>
        <v>0</v>
      </c>
      <c r="BL158" s="349">
        <f t="shared" si="255"/>
        <v>0</v>
      </c>
      <c r="BM158" s="852">
        <f t="shared" si="256"/>
        <v>0</v>
      </c>
      <c r="BN158" s="852">
        <f t="shared" si="257"/>
        <v>0</v>
      </c>
      <c r="BO158" s="853">
        <f t="shared" si="258"/>
        <v>0</v>
      </c>
      <c r="BP158" s="853">
        <f t="shared" si="259"/>
        <v>0</v>
      </c>
      <c r="BQ158" s="814"/>
      <c r="BR158" s="825">
        <f t="shared" si="224"/>
        <v>0</v>
      </c>
      <c r="BS158" s="349">
        <f t="shared" si="225"/>
        <v>0</v>
      </c>
      <c r="BT158" s="852">
        <f t="shared" si="226"/>
        <v>0</v>
      </c>
      <c r="BU158" s="852">
        <f t="shared" si="227"/>
        <v>0</v>
      </c>
      <c r="BV158" s="853">
        <f t="shared" si="228"/>
        <v>0</v>
      </c>
      <c r="BW158" s="853">
        <f t="shared" si="229"/>
        <v>0</v>
      </c>
    </row>
    <row r="159" spans="1:75" ht="11.25" outlineLevel="1">
      <c r="A159" s="65"/>
      <c r="B159" s="805"/>
      <c r="C159" s="821"/>
      <c r="D159" s="825">
        <f t="shared" si="230"/>
        <v>0</v>
      </c>
      <c r="E159" s="825">
        <f t="shared" si="231"/>
        <v>0</v>
      </c>
      <c r="F159" s="823">
        <f>IF(C159=0,0,C159/C$151)</f>
        <v>0</v>
      </c>
      <c r="G159" s="463"/>
      <c r="H159" s="821"/>
      <c r="I159" s="825">
        <f t="shared" si="232"/>
        <v>0</v>
      </c>
      <c r="J159" s="825">
        <f t="shared" si="233"/>
        <v>0</v>
      </c>
      <c r="K159" s="824">
        <f>IF(H159=0,0,H159/H$151)</f>
        <v>0</v>
      </c>
      <c r="L159" s="815"/>
      <c r="M159" s="825"/>
      <c r="N159" s="825">
        <f t="shared" si="234"/>
        <v>0</v>
      </c>
      <c r="O159" s="825">
        <f t="shared" si="235"/>
        <v>0</v>
      </c>
      <c r="P159" s="824">
        <f>IF(M159=0,0,M159/M$151)</f>
        <v>0</v>
      </c>
      <c r="Q159" s="463"/>
      <c r="R159" s="825"/>
      <c r="S159" s="825">
        <f t="shared" si="236"/>
        <v>0</v>
      </c>
      <c r="T159" s="825">
        <f t="shared" si="237"/>
        <v>0</v>
      </c>
      <c r="U159" s="824">
        <f>IF(R159=0,0,R159/R$151)</f>
        <v>0</v>
      </c>
      <c r="V159" s="815"/>
      <c r="W159" s="825"/>
      <c r="X159" s="825">
        <f t="shared" si="238"/>
        <v>0</v>
      </c>
      <c r="Y159" s="825">
        <f t="shared" si="239"/>
        <v>0</v>
      </c>
      <c r="Z159" s="824">
        <f>IF(W159=0,0,W159/W$151)</f>
        <v>0</v>
      </c>
      <c r="AA159" s="463"/>
      <c r="AB159" s="825"/>
      <c r="AC159" s="825">
        <f t="shared" si="240"/>
        <v>0</v>
      </c>
      <c r="AD159" s="825">
        <f t="shared" si="241"/>
        <v>0</v>
      </c>
      <c r="AE159" s="824">
        <f>IF(AB159=0,0,AB159/AB$151)</f>
        <v>0</v>
      </c>
      <c r="AF159" s="815"/>
      <c r="AG159" s="825"/>
      <c r="AH159" s="825">
        <f t="shared" si="242"/>
        <v>0</v>
      </c>
      <c r="AI159" s="825">
        <f t="shared" si="243"/>
        <v>0</v>
      </c>
      <c r="AJ159" s="824">
        <f>IF(AG159=0,0,AG159/AG$151)</f>
        <v>0</v>
      </c>
      <c r="AK159" s="463"/>
      <c r="AL159" s="825"/>
      <c r="AM159" s="825">
        <f t="shared" si="244"/>
        <v>0</v>
      </c>
      <c r="AN159" s="825">
        <f t="shared" si="245"/>
        <v>0</v>
      </c>
      <c r="AO159" s="824">
        <f>IF(AL159=0,0,AL159/AL$151)</f>
        <v>0</v>
      </c>
      <c r="AP159" s="815"/>
      <c r="AQ159" s="825"/>
      <c r="AR159" s="825">
        <f t="shared" si="246"/>
        <v>0</v>
      </c>
      <c r="AS159" s="825">
        <f t="shared" si="247"/>
        <v>0</v>
      </c>
      <c r="AT159" s="824">
        <f>IF(AQ159=0,0,AQ159/AQ$151)</f>
        <v>0</v>
      </c>
      <c r="AU159" s="463"/>
      <c r="AV159" s="825"/>
      <c r="AW159" s="825">
        <f t="shared" si="248"/>
        <v>0</v>
      </c>
      <c r="AX159" s="825">
        <f t="shared" si="249"/>
        <v>0</v>
      </c>
      <c r="AY159" s="824">
        <f>IF(AV159=0,0,AV159/AV$151)</f>
        <v>0</v>
      </c>
      <c r="AZ159" s="815"/>
      <c r="BA159" s="825"/>
      <c r="BB159" s="825">
        <f t="shared" si="250"/>
        <v>0</v>
      </c>
      <c r="BC159" s="825">
        <f t="shared" si="251"/>
        <v>0</v>
      </c>
      <c r="BD159" s="824">
        <f>IF(BA159=0,0,BA159/BA$151)</f>
        <v>0</v>
      </c>
      <c r="BE159" s="463"/>
      <c r="BF159" s="825"/>
      <c r="BG159" s="825">
        <f t="shared" si="252"/>
        <v>0</v>
      </c>
      <c r="BH159" s="825">
        <f t="shared" si="253"/>
        <v>0</v>
      </c>
      <c r="BI159" s="824">
        <f>IF(BF159=0,0,BF159/BF$151)</f>
        <v>0</v>
      </c>
      <c r="BJ159" s="870"/>
      <c r="BK159" s="825">
        <f t="shared" si="254"/>
        <v>0</v>
      </c>
      <c r="BL159" s="349">
        <f t="shared" si="255"/>
        <v>0</v>
      </c>
      <c r="BM159" s="852">
        <f t="shared" si="256"/>
        <v>0</v>
      </c>
      <c r="BN159" s="852">
        <f t="shared" si="257"/>
        <v>0</v>
      </c>
      <c r="BO159" s="853">
        <f t="shared" si="258"/>
        <v>0</v>
      </c>
      <c r="BP159" s="853">
        <f t="shared" si="259"/>
        <v>0</v>
      </c>
      <c r="BQ159" s="814"/>
      <c r="BR159" s="825">
        <f t="shared" si="224"/>
        <v>0</v>
      </c>
      <c r="BS159" s="349">
        <f t="shared" si="225"/>
        <v>0</v>
      </c>
      <c r="BT159" s="852">
        <f t="shared" si="226"/>
        <v>0</v>
      </c>
      <c r="BU159" s="852">
        <f t="shared" si="227"/>
        <v>0</v>
      </c>
      <c r="BV159" s="853">
        <f t="shared" si="228"/>
        <v>0</v>
      </c>
      <c r="BW159" s="853">
        <f t="shared" si="229"/>
        <v>0</v>
      </c>
    </row>
    <row r="160" spans="1:75">
      <c r="B160" s="865"/>
      <c r="D160" s="258"/>
      <c r="E160" s="390"/>
      <c r="F160" s="260"/>
      <c r="G160" s="875"/>
      <c r="I160" s="258"/>
      <c r="J160" s="390"/>
      <c r="L160" s="865"/>
      <c r="N160" s="258"/>
      <c r="O160" s="390"/>
      <c r="Q160" s="875"/>
      <c r="S160" s="258"/>
      <c r="T160" s="390"/>
      <c r="V160" s="865"/>
      <c r="X160" s="258"/>
      <c r="Y160" s="390"/>
      <c r="AA160" s="875"/>
      <c r="AB160" s="258"/>
      <c r="AC160" s="258"/>
      <c r="AD160" s="390"/>
      <c r="AF160" s="865"/>
      <c r="AG160" s="258"/>
      <c r="AH160" s="258"/>
      <c r="AI160" s="390"/>
      <c r="AK160" s="875"/>
      <c r="AL160" s="258"/>
      <c r="AM160" s="258"/>
      <c r="AN160" s="390"/>
      <c r="AP160" s="865"/>
      <c r="AQ160" s="258"/>
      <c r="AR160" s="258"/>
      <c r="AS160" s="390"/>
      <c r="AU160" s="875"/>
      <c r="AV160" s="258"/>
      <c r="AW160" s="258"/>
      <c r="AX160" s="390"/>
      <c r="AZ160" s="865"/>
      <c r="BA160" s="258"/>
      <c r="BB160" s="258"/>
      <c r="BC160" s="390"/>
      <c r="BE160" s="875"/>
      <c r="BF160" s="258"/>
      <c r="BG160" s="258"/>
      <c r="BH160" s="390"/>
      <c r="BJ160" s="866"/>
      <c r="BL160" s="876"/>
      <c r="BM160" s="877"/>
      <c r="BN160" s="393"/>
      <c r="BO160" s="393"/>
      <c r="BP160" s="393"/>
      <c r="BQ160" s="867"/>
      <c r="BS160" s="876" t="e">
        <f>NA()</f>
        <v>#N/A</v>
      </c>
      <c r="BT160" s="877"/>
      <c r="BU160" s="393"/>
      <c r="BV160" s="393"/>
      <c r="BW160" s="393"/>
    </row>
    <row r="161" spans="1:75" ht="22.5">
      <c r="A161" s="878" t="s">
        <v>447</v>
      </c>
      <c r="B161" s="489"/>
      <c r="C161" s="879"/>
      <c r="D161" s="880">
        <f>SUM(D162:D166)</f>
        <v>69632.846309932211</v>
      </c>
      <c r="E161" s="880">
        <f>SUM(E162:E166)</f>
        <v>81578.709455725591</v>
      </c>
      <c r="F161" s="881">
        <f>IF(D$27=0,0,D161/D$27*1000)</f>
        <v>3.8150302474295263</v>
      </c>
      <c r="G161" s="875"/>
      <c r="H161" s="879"/>
      <c r="I161" s="880">
        <f>SUM(I162:I166)</f>
        <v>5677.9722890566663</v>
      </c>
      <c r="J161" s="880">
        <f>SUM(J162:J166)</f>
        <v>5667.4888688019628</v>
      </c>
      <c r="K161" s="882">
        <f>IF(I$27=0,0,I161/I$27*1000)</f>
        <v>0.2266024833560249</v>
      </c>
      <c r="L161" s="865"/>
      <c r="M161" s="883"/>
      <c r="N161" s="880">
        <f>SUM(N162:N166)</f>
        <v>29511.590180764117</v>
      </c>
      <c r="O161" s="880">
        <f>SUM(O162:O166)</f>
        <v>30666.270264090617</v>
      </c>
      <c r="P161" s="882">
        <f>IF(N$27=0,0,N161/N$27*1000)</f>
        <v>0.88907060777646918</v>
      </c>
      <c r="Q161" s="875"/>
      <c r="R161" s="883"/>
      <c r="S161" s="880">
        <f>SUM(S162:S166)</f>
        <v>64396.873531312274</v>
      </c>
      <c r="T161" s="880">
        <f>SUM(T162:T166)</f>
        <v>45750.004229001381</v>
      </c>
      <c r="U161" s="882">
        <f>IF(S$27=0,0,S161/S$27*1000)</f>
        <v>1.113847183514366</v>
      </c>
      <c r="V161" s="865"/>
      <c r="W161" s="883"/>
      <c r="X161" s="880">
        <f>SUM(X162:X166)</f>
        <v>44816.297605166386</v>
      </c>
      <c r="Y161" s="880">
        <f>SUM(Y162:Y166)</f>
        <v>38134.64530270698</v>
      </c>
      <c r="Z161" s="882">
        <f>IF(X$27=0,0,X161/X$27*1000)</f>
        <v>0.7897651899596434</v>
      </c>
      <c r="AA161" s="875"/>
      <c r="AB161" s="883"/>
      <c r="AC161" s="880">
        <f>SUM(AC162:AC166)</f>
        <v>306.3350079647102</v>
      </c>
      <c r="AD161" s="880">
        <f>SUM(AD162:AD166)</f>
        <v>273.92992015988744</v>
      </c>
      <c r="AE161" s="882">
        <f>IF(AC$27=0,0,AC161/AC$27*1000)</f>
        <v>6.9138334132464721E-3</v>
      </c>
      <c r="AF161" s="865"/>
      <c r="AG161" s="883"/>
      <c r="AH161" s="880">
        <f>SUM(AH162:AH166)</f>
        <v>3031.4920644415206</v>
      </c>
      <c r="AI161" s="880">
        <f>SUM(AI162:AI166)</f>
        <v>3168.6739640922478</v>
      </c>
      <c r="AJ161" s="882">
        <f>IF(AH$27=0,0,AH161/AH$27*1000)</f>
        <v>6.8839883487984893E-2</v>
      </c>
      <c r="AK161" s="875"/>
      <c r="AL161" s="883"/>
      <c r="AM161" s="880">
        <f>SUM(AM162:AM166)</f>
        <v>2378.4416454417005</v>
      </c>
      <c r="AN161" s="880">
        <f>SUM(AN162:AN166)</f>
        <v>1916.3996091589734</v>
      </c>
      <c r="AO161" s="882">
        <f>IF(AM$27=0,0,AM161/AM$27*1000)</f>
        <v>4.7156795644057697E-2</v>
      </c>
      <c r="AP161" s="865"/>
      <c r="AQ161" s="883"/>
      <c r="AR161" s="880">
        <f>SUM(AR162:AR166)</f>
        <v>5771.8219158327374</v>
      </c>
      <c r="AS161" s="880">
        <f>SUM(AS162:AS166)</f>
        <v>5137.178812500716</v>
      </c>
      <c r="AT161" s="882">
        <f>IF(AR$27=0,0,AR161/AR$27*1000)</f>
        <v>0.14963146341447633</v>
      </c>
      <c r="AU161" s="875"/>
      <c r="AV161" s="883"/>
      <c r="AW161" s="880">
        <f>SUM(AW162:AW166)</f>
        <v>0</v>
      </c>
      <c r="AX161" s="880">
        <f>SUM(AX162:AX166)</f>
        <v>0</v>
      </c>
      <c r="AY161" s="882">
        <f>IF(AW$27=0,0,AW161/AW$27*1000)</f>
        <v>0</v>
      </c>
      <c r="AZ161" s="865"/>
      <c r="BA161" s="883"/>
      <c r="BB161" s="880">
        <f>SUM(BB162:BB166)</f>
        <v>0</v>
      </c>
      <c r="BC161" s="880">
        <f>SUM(BC162:BC166)</f>
        <v>0</v>
      </c>
      <c r="BD161" s="882">
        <f>IF(BB$27=0,0,BB161/BB$27*1000)</f>
        <v>0</v>
      </c>
      <c r="BE161" s="875"/>
      <c r="BF161" s="883"/>
      <c r="BG161" s="880">
        <f>SUM(BG162:BG166)</f>
        <v>0</v>
      </c>
      <c r="BH161" s="880">
        <f>SUM(BH162:BH166)</f>
        <v>0</v>
      </c>
      <c r="BI161" s="882">
        <f>IF(BG$27=0,0,BG161/BG$27*1000)</f>
        <v>0</v>
      </c>
      <c r="BJ161" s="866"/>
      <c r="BK161" s="878"/>
      <c r="BL161" s="878"/>
      <c r="BM161" s="878"/>
      <c r="BN161" s="878"/>
      <c r="BO161" s="878"/>
      <c r="BP161" s="878"/>
      <c r="BQ161" s="867"/>
      <c r="BR161" s="878"/>
      <c r="BS161" s="878"/>
      <c r="BT161" s="878"/>
      <c r="BU161" s="878"/>
      <c r="BV161" s="878"/>
      <c r="BW161" s="878"/>
    </row>
    <row r="162" spans="1:75" ht="11.25">
      <c r="A162" s="204" t="s">
        <v>448</v>
      </c>
      <c r="B162" s="805"/>
      <c r="C162" s="884">
        <v>350000</v>
      </c>
      <c r="D162" s="885">
        <f t="shared" ref="D162:D166" si="260">IF(C$5=0,0,C162/C$5*1000)</f>
        <v>1830.3907622793072</v>
      </c>
      <c r="E162" s="885">
        <f t="shared" ref="E162:E166" si="261">IF(C$27=0,0,C162/C$27*1000)</f>
        <v>2144.4034546829807</v>
      </c>
      <c r="F162" s="856">
        <f>IF(D$27=0,0,D162/D$27*1000)</f>
        <v>0.10028307749521237</v>
      </c>
      <c r="G162" s="875"/>
      <c r="H162" s="884">
        <v>412500</v>
      </c>
      <c r="I162" s="885">
        <f t="shared" ref="I162:I166" si="262">IF(H$5=0,0,H162/H$5*1000)</f>
        <v>1711.1922342985149</v>
      </c>
      <c r="J162" s="885">
        <f t="shared" ref="J162:J166" si="263">IF(H$27=0,0,H162/H$27*1000)</f>
        <v>1708.0328058237915</v>
      </c>
      <c r="K162" s="857">
        <f>IF(I$27=0,0,I162/I$27*1000)</f>
        <v>6.8292057454900065E-2</v>
      </c>
      <c r="L162" s="865"/>
      <c r="M162" s="885">
        <v>550000</v>
      </c>
      <c r="N162" s="885">
        <f t="shared" ref="N162:N166" si="264">IF(M$5=0,0,M162/M$5*1000)</f>
        <v>1600.8054554518544</v>
      </c>
      <c r="O162" s="885">
        <f t="shared" ref="O162:O166" si="265">IF(M$27=0,0,M162/M$27*1000)</f>
        <v>1663.4390907581442</v>
      </c>
      <c r="P162" s="857">
        <f>IF(N$27=0,0,N162/N$27*1000)</f>
        <v>4.8226106099092531E-2</v>
      </c>
      <c r="Q162" s="875"/>
      <c r="R162" s="885">
        <v>337500</v>
      </c>
      <c r="S162" s="885">
        <f t="shared" ref="S162:S166" si="266">IF(R$5=0,0,R162/R$5*1000)</f>
        <v>701.2302175164192</v>
      </c>
      <c r="T162" s="885">
        <f t="shared" ref="T162:T166" si="267">IF(R$27=0,0,R162/R$27*1000)</f>
        <v>498.18079135907999</v>
      </c>
      <c r="U162" s="857">
        <f>IF(S$27=0,0,S162/S$27*1000)</f>
        <v>1.2128900984549293E-2</v>
      </c>
      <c r="V162" s="865"/>
      <c r="W162" s="885">
        <v>600000</v>
      </c>
      <c r="X162" s="885">
        <f t="shared" ref="X162:X166" si="268">IF(W$5=0,0,W162/W$5*1000)</f>
        <v>1195.9219062995185</v>
      </c>
      <c r="Y162" s="885">
        <f t="shared" ref="Y162:Y166" si="269">IF(W$27=0,0,W162/W$27*1000)</f>
        <v>1017.6221629966122</v>
      </c>
      <c r="Z162" s="857">
        <f>IF(X$27=0,0,X162/X$27*1000)</f>
        <v>2.1074866554720868E-2</v>
      </c>
      <c r="AA162" s="875"/>
      <c r="AB162" s="885">
        <v>137500</v>
      </c>
      <c r="AC162" s="885">
        <f t="shared" ref="AC162:AC166" si="270">IF(AB$5=0,0,AB162/AB$5*1000)</f>
        <v>306.3350079647102</v>
      </c>
      <c r="AD162" s="885">
        <f t="shared" ref="AD162:AD166" si="271">IF(AB$27=0,0,AB162/AB$27*1000)</f>
        <v>273.92992015988744</v>
      </c>
      <c r="AE162" s="857">
        <f>IF(AC$27=0,0,AC162/AC$27*1000)</f>
        <v>6.9138334132464721E-3</v>
      </c>
      <c r="AF162" s="865"/>
      <c r="AG162" s="885">
        <v>170000</v>
      </c>
      <c r="AH162" s="885">
        <f t="shared" ref="AH162:AH166" si="272">IF(AG$5=0,0,AG162/AG$5*1000)</f>
        <v>338.95601547234514</v>
      </c>
      <c r="AI162" s="885">
        <f t="shared" ref="AI162:AI166" si="273">IF(AG$27=0,0,AG162/AG$27*1000)</f>
        <v>354.2945448539499</v>
      </c>
      <c r="AJ162" s="857">
        <f>IF(AH$27=0,0,AH162/AH$27*1000)</f>
        <v>7.6970983649817049E-3</v>
      </c>
      <c r="AK162" s="875"/>
      <c r="AL162" s="885">
        <f>187500+150000</f>
        <v>337500</v>
      </c>
      <c r="AM162" s="885">
        <f t="shared" ref="AM162:AM166" si="274">IF(AL$5=0,0,AL162/AL$5*1000)</f>
        <v>771.6437497999442</v>
      </c>
      <c r="AN162" s="885">
        <f t="shared" ref="AN162:AN166" si="275">IF(AL$27=0,0,AL162/AL$27*1000)</f>
        <v>621.7423006196791</v>
      </c>
      <c r="AO162" s="857">
        <f>IF(AM$27=0,0,AM162/AM$27*1000)</f>
        <v>1.5299196719443877E-2</v>
      </c>
      <c r="AP162" s="865"/>
      <c r="AQ162" s="885">
        <v>637500</v>
      </c>
      <c r="AR162" s="885">
        <f>IF(AQ$5=0,0,AQ162/AQ$5*1000)</f>
        <v>1641.6788129438971</v>
      </c>
      <c r="AS162" s="885">
        <f t="shared" ref="AS162:AS166" si="276">IF(AQ$27=0,0,AQ162/AQ$27*1000)</f>
        <v>1461.1673294445272</v>
      </c>
      <c r="AT162" s="857">
        <f>IF(AR$27=0,0,AR162/AR$27*1000)</f>
        <v>4.255966431734487E-2</v>
      </c>
      <c r="AU162" s="875"/>
      <c r="AV162" s="885"/>
      <c r="AW162" s="885">
        <f t="shared" ref="AW162:AW166" si="277">IF(AV$5=0,0,AV162/AV$5*1000)</f>
        <v>0</v>
      </c>
      <c r="AX162" s="885">
        <f t="shared" ref="AX162:AX166" si="278">IF(AV$27=0,0,AV162/AV$27*1000)</f>
        <v>0</v>
      </c>
      <c r="AY162" s="857">
        <f>IF(AW$27=0,0,AW162/AW$27*1000)</f>
        <v>0</v>
      </c>
      <c r="AZ162" s="865"/>
      <c r="BA162" s="885"/>
      <c r="BB162" s="885">
        <f t="shared" ref="BB162:BB166" si="279">IF(BA$5=0,0,BA162/BA$5*1000)</f>
        <v>0</v>
      </c>
      <c r="BC162" s="885">
        <f t="shared" ref="BC162:BC166" si="280">IF(BA$27=0,0,BA162/BA$27*1000)</f>
        <v>0</v>
      </c>
      <c r="BD162" s="857">
        <f>IF(BB$27=0,0,BB162/BB$27*1000)</f>
        <v>0</v>
      </c>
      <c r="BE162" s="875"/>
      <c r="BF162" s="885"/>
      <c r="BG162" s="885">
        <f t="shared" ref="BG162:BG166" si="281">IF(BF$5=0,0,BF162/BF$5*1000)</f>
        <v>0</v>
      </c>
      <c r="BH162" s="885">
        <f t="shared" ref="BH162:BH166" si="282">IF(BF$27=0,0,BF162/BF$27*1000)</f>
        <v>0</v>
      </c>
      <c r="BI162" s="857">
        <f>IF(BG$27=0,0,BG162/BG$27*1000)</f>
        <v>0</v>
      </c>
      <c r="BJ162" s="866"/>
      <c r="BK162" s="886"/>
      <c r="BL162" s="886"/>
      <c r="BM162" s="886"/>
      <c r="BN162" s="886"/>
      <c r="BO162" s="886"/>
      <c r="BP162" s="886"/>
      <c r="BQ162" s="867"/>
      <c r="BR162" s="886"/>
      <c r="BS162" s="886"/>
      <c r="BT162" s="886"/>
      <c r="BU162" s="886"/>
      <c r="BV162" s="886"/>
      <c r="BW162" s="886"/>
    </row>
    <row r="163" spans="1:75" ht="11.25">
      <c r="A163" s="204" t="s">
        <v>449</v>
      </c>
      <c r="B163" s="805"/>
      <c r="C163" s="884">
        <v>12964914.34</v>
      </c>
      <c r="D163" s="885">
        <f t="shared" si="260"/>
        <v>67802.455547652906</v>
      </c>
      <c r="E163" s="885">
        <f t="shared" si="261"/>
        <v>79434.306001042612</v>
      </c>
      <c r="F163" s="856">
        <f>IF(D$27=0,0,D163/D$27*1000)</f>
        <v>3.7147471699343142</v>
      </c>
      <c r="G163" s="875"/>
      <c r="H163" s="884">
        <v>956232</v>
      </c>
      <c r="I163" s="885">
        <f t="shared" si="262"/>
        <v>3966.7800547581514</v>
      </c>
      <c r="J163" s="885">
        <f t="shared" si="263"/>
        <v>3959.4560629781713</v>
      </c>
      <c r="K163" s="857">
        <f>IF(I$27=0,0,I163/I$27*1000)</f>
        <v>0.15831042590112485</v>
      </c>
      <c r="L163" s="865"/>
      <c r="M163" s="885">
        <v>9589504.8000000007</v>
      </c>
      <c r="N163" s="885">
        <f t="shared" si="264"/>
        <v>27910.784725312264</v>
      </c>
      <c r="O163" s="885">
        <f t="shared" si="265"/>
        <v>29002.831173332474</v>
      </c>
      <c r="P163" s="857">
        <f>IF(N$27=0,0,N163/N$27*1000)</f>
        <v>0.84084450167737668</v>
      </c>
      <c r="Q163" s="875"/>
      <c r="R163" s="885">
        <v>30583532.039999999</v>
      </c>
      <c r="S163" s="885">
        <f t="shared" si="266"/>
        <v>63543.990592087634</v>
      </c>
      <c r="T163" s="885">
        <f t="shared" si="267"/>
        <v>45144.083538497711</v>
      </c>
      <c r="U163" s="857">
        <f>IF(S$27=0,0,S163/S$27*1000)</f>
        <v>1.0990952055435579</v>
      </c>
      <c r="V163" s="865"/>
      <c r="W163" s="885">
        <v>15269215.710000001</v>
      </c>
      <c r="X163" s="885">
        <f t="shared" si="268"/>
        <v>30434.649266002933</v>
      </c>
      <c r="Y163" s="885">
        <f t="shared" si="269"/>
        <v>25897.153863453423</v>
      </c>
      <c r="Z163" s="857">
        <f>IF(X$27=0,0,X163/X$27*1000)</f>
        <v>0.53632780580582928</v>
      </c>
      <c r="AA163" s="875"/>
      <c r="AB163" s="885"/>
      <c r="AC163" s="885">
        <f t="shared" si="270"/>
        <v>0</v>
      </c>
      <c r="AD163" s="885">
        <f t="shared" si="271"/>
        <v>0</v>
      </c>
      <c r="AE163" s="857">
        <f>IF(AC$27=0,0,AC163/AC$27*1000)</f>
        <v>0</v>
      </c>
      <c r="AF163" s="865"/>
      <c r="AG163" s="885">
        <v>1350000</v>
      </c>
      <c r="AH163" s="885">
        <f t="shared" si="272"/>
        <v>2691.7095346333294</v>
      </c>
      <c r="AI163" s="885">
        <f t="shared" si="273"/>
        <v>2813.5155032519551</v>
      </c>
      <c r="AJ163" s="857">
        <f>IF(AH$27=0,0,AH163/AH$27*1000)</f>
        <v>6.1124016427795899E-2</v>
      </c>
      <c r="AK163" s="875"/>
      <c r="AL163" s="885">
        <v>702778.05</v>
      </c>
      <c r="AM163" s="885">
        <f t="shared" si="274"/>
        <v>1606.7978956417562</v>
      </c>
      <c r="AN163" s="885">
        <f t="shared" si="275"/>
        <v>1294.6573085392943</v>
      </c>
      <c r="AO163" s="857">
        <f>IF(AM$27=0,0,AM163/AM$27*1000)</f>
        <v>3.1857598924613817E-2</v>
      </c>
      <c r="AP163" s="865"/>
      <c r="AQ163" s="885">
        <v>1600000</v>
      </c>
      <c r="AR163" s="885">
        <f t="shared" ref="AR163:AR166" si="283">IF(AQ$5=0,0,AQ163/AQ$5*1000)</f>
        <v>4120.2919226827225</v>
      </c>
      <c r="AS163" s="885">
        <f t="shared" si="276"/>
        <v>3667.2434935078327</v>
      </c>
      <c r="AT163" s="857">
        <f>IF(AR$27=0,0,AR163/AR$27*1000)</f>
        <v>0.10681641240431655</v>
      </c>
      <c r="AU163" s="875"/>
      <c r="AV163" s="885"/>
      <c r="AW163" s="885">
        <f t="shared" si="277"/>
        <v>0</v>
      </c>
      <c r="AX163" s="885">
        <f t="shared" si="278"/>
        <v>0</v>
      </c>
      <c r="AY163" s="857">
        <f>IF(AW$27=0,0,AW163/AW$27*1000)</f>
        <v>0</v>
      </c>
      <c r="AZ163" s="865"/>
      <c r="BA163" s="885"/>
      <c r="BB163" s="885">
        <f t="shared" si="279"/>
        <v>0</v>
      </c>
      <c r="BC163" s="885">
        <f t="shared" si="280"/>
        <v>0</v>
      </c>
      <c r="BD163" s="857">
        <f>IF(BB$27=0,0,BB163/BB$27*1000)</f>
        <v>0</v>
      </c>
      <c r="BE163" s="875"/>
      <c r="BF163" s="885"/>
      <c r="BG163" s="885">
        <f t="shared" si="281"/>
        <v>0</v>
      </c>
      <c r="BH163" s="885">
        <f t="shared" si="282"/>
        <v>0</v>
      </c>
      <c r="BI163" s="857">
        <f>IF(BG$27=0,0,BG163/BG$27*1000)</f>
        <v>0</v>
      </c>
      <c r="BJ163" s="866"/>
      <c r="BK163" s="886"/>
      <c r="BL163" s="886"/>
      <c r="BM163" s="886"/>
      <c r="BN163" s="886"/>
      <c r="BO163" s="886"/>
      <c r="BP163" s="886"/>
      <c r="BQ163" s="867"/>
      <c r="BR163" s="886"/>
      <c r="BS163" s="886"/>
      <c r="BT163" s="886"/>
      <c r="BU163" s="886"/>
      <c r="BV163" s="886"/>
      <c r="BW163" s="886"/>
    </row>
    <row r="164" spans="1:75" ht="11.25">
      <c r="A164" s="204" t="s">
        <v>450</v>
      </c>
      <c r="B164" s="805"/>
      <c r="C164" s="884"/>
      <c r="D164" s="885">
        <f t="shared" si="260"/>
        <v>0</v>
      </c>
      <c r="E164" s="885">
        <f t="shared" si="261"/>
        <v>0</v>
      </c>
      <c r="F164" s="856">
        <f>IF(C164=0,0,C164/C$151)</f>
        <v>0</v>
      </c>
      <c r="G164" s="875"/>
      <c r="H164" s="884"/>
      <c r="I164" s="885">
        <f t="shared" si="262"/>
        <v>0</v>
      </c>
      <c r="J164" s="885">
        <f t="shared" si="263"/>
        <v>0</v>
      </c>
      <c r="K164" s="857">
        <f>IF(H164=0,0,H164/H$151)</f>
        <v>0</v>
      </c>
      <c r="L164" s="865"/>
      <c r="M164" s="885"/>
      <c r="N164" s="885">
        <f t="shared" si="264"/>
        <v>0</v>
      </c>
      <c r="O164" s="885">
        <f t="shared" si="265"/>
        <v>0</v>
      </c>
      <c r="P164" s="857">
        <f>IF(M164=0,0,M164/M$151)</f>
        <v>0</v>
      </c>
      <c r="Q164" s="875"/>
      <c r="R164" s="885">
        <v>72990</v>
      </c>
      <c r="S164" s="885">
        <f t="shared" si="266"/>
        <v>151.6527217082176</v>
      </c>
      <c r="T164" s="885">
        <f t="shared" si="267"/>
        <v>107.73989914459037</v>
      </c>
      <c r="U164" s="857">
        <f>IF(R164=0,0,R164/R$151)</f>
        <v>4.9798472595084884E-3</v>
      </c>
      <c r="V164" s="865"/>
      <c r="W164" s="885">
        <v>6615344.8799999999</v>
      </c>
      <c r="X164" s="885">
        <f t="shared" si="268"/>
        <v>13185.726432863934</v>
      </c>
      <c r="Y164" s="885">
        <f t="shared" si="269"/>
        <v>11219.869276256941</v>
      </c>
      <c r="Z164" s="857">
        <f>IF(W164=0,0,W164/W$151)</f>
        <v>1.1489105759014957</v>
      </c>
      <c r="AA164" s="875"/>
      <c r="AB164" s="885"/>
      <c r="AC164" s="885">
        <f t="shared" si="270"/>
        <v>0</v>
      </c>
      <c r="AD164" s="885">
        <f t="shared" si="271"/>
        <v>0</v>
      </c>
      <c r="AE164" s="857">
        <f>IF(AB164=0,0,AB164/AB$151)</f>
        <v>0</v>
      </c>
      <c r="AF164" s="865"/>
      <c r="AG164" s="885">
        <v>414.53</v>
      </c>
      <c r="AH164" s="885">
        <f t="shared" si="272"/>
        <v>0.82651433584559553</v>
      </c>
      <c r="AI164" s="885">
        <f t="shared" si="273"/>
        <v>0.86391598634298727</v>
      </c>
      <c r="AJ164" s="857">
        <f>IF(AG164=0,0,AG164/AG$151)</f>
        <v>7.6312244905086225E-5</v>
      </c>
      <c r="AK164" s="875"/>
      <c r="AL164" s="885"/>
      <c r="AM164" s="885">
        <f t="shared" si="274"/>
        <v>0</v>
      </c>
      <c r="AN164" s="885">
        <f t="shared" si="275"/>
        <v>0</v>
      </c>
      <c r="AO164" s="857">
        <f>IF(AL164=0,0,AL164/AL$151)</f>
        <v>0</v>
      </c>
      <c r="AP164" s="865"/>
      <c r="AQ164" s="885">
        <v>3825.43</v>
      </c>
      <c r="AR164" s="885">
        <f t="shared" si="283"/>
        <v>9.8511802061176024</v>
      </c>
      <c r="AS164" s="885">
        <f t="shared" si="276"/>
        <v>8.7679895483560433</v>
      </c>
      <c r="AT164" s="857">
        <f>IF(AQ164=0,0,AQ164/AQ$151)</f>
        <v>8.6670247244618483E-4</v>
      </c>
      <c r="AU164" s="875"/>
      <c r="AV164" s="885"/>
      <c r="AW164" s="885">
        <f t="shared" si="277"/>
        <v>0</v>
      </c>
      <c r="AX164" s="885">
        <f t="shared" si="278"/>
        <v>0</v>
      </c>
      <c r="AY164" s="857">
        <f>IF(AV164=0,0,AV164/AV$151)</f>
        <v>0</v>
      </c>
      <c r="AZ164" s="865"/>
      <c r="BA164" s="885"/>
      <c r="BB164" s="885">
        <f t="shared" si="279"/>
        <v>0</v>
      </c>
      <c r="BC164" s="885">
        <f t="shared" si="280"/>
        <v>0</v>
      </c>
      <c r="BD164" s="857">
        <f>IF(BA164=0,0,BA164/BA$151)</f>
        <v>0</v>
      </c>
      <c r="BE164" s="875"/>
      <c r="BF164" s="885"/>
      <c r="BG164" s="885">
        <f t="shared" si="281"/>
        <v>0</v>
      </c>
      <c r="BH164" s="885">
        <f t="shared" si="282"/>
        <v>0</v>
      </c>
      <c r="BI164" s="857">
        <f>IF(BF164=0,0,BF164/BF$151)</f>
        <v>0</v>
      </c>
      <c r="BJ164" s="866"/>
      <c r="BK164" s="886"/>
      <c r="BL164" s="886"/>
      <c r="BM164" s="886"/>
      <c r="BN164" s="886"/>
      <c r="BO164" s="886"/>
      <c r="BP164" s="886"/>
      <c r="BQ164" s="867"/>
      <c r="BR164" s="886"/>
      <c r="BS164" s="886"/>
      <c r="BT164" s="886"/>
      <c r="BU164" s="886"/>
      <c r="BV164" s="886"/>
      <c r="BW164" s="886"/>
    </row>
    <row r="165" spans="1:75" ht="11.25">
      <c r="A165" s="204"/>
      <c r="B165" s="805"/>
      <c r="C165" s="884"/>
      <c r="D165" s="885">
        <f t="shared" si="260"/>
        <v>0</v>
      </c>
      <c r="E165" s="885">
        <f t="shared" si="261"/>
        <v>0</v>
      </c>
      <c r="F165" s="856">
        <f>IF(C165=0,0,C165/C$151)</f>
        <v>0</v>
      </c>
      <c r="G165" s="875"/>
      <c r="H165" s="884"/>
      <c r="I165" s="885">
        <f t="shared" si="262"/>
        <v>0</v>
      </c>
      <c r="J165" s="885">
        <f t="shared" si="263"/>
        <v>0</v>
      </c>
      <c r="K165" s="857">
        <f>IF(H165=0,0,H165/H$151)</f>
        <v>0</v>
      </c>
      <c r="L165" s="865"/>
      <c r="M165" s="885"/>
      <c r="N165" s="885">
        <f t="shared" si="264"/>
        <v>0</v>
      </c>
      <c r="O165" s="885">
        <f t="shared" si="265"/>
        <v>0</v>
      </c>
      <c r="P165" s="857">
        <f>IF(M165=0,0,M165/M$151)</f>
        <v>0</v>
      </c>
      <c r="Q165" s="875"/>
      <c r="R165" s="885"/>
      <c r="S165" s="885">
        <f t="shared" si="266"/>
        <v>0</v>
      </c>
      <c r="T165" s="885">
        <f t="shared" si="267"/>
        <v>0</v>
      </c>
      <c r="U165" s="857">
        <f>IF(R165=0,0,R165/R$151)</f>
        <v>0</v>
      </c>
      <c r="V165" s="865"/>
      <c r="W165" s="885"/>
      <c r="X165" s="885">
        <f t="shared" si="268"/>
        <v>0</v>
      </c>
      <c r="Y165" s="885">
        <f t="shared" si="269"/>
        <v>0</v>
      </c>
      <c r="Z165" s="857">
        <f>IF(W165=0,0,W165/W$151)</f>
        <v>0</v>
      </c>
      <c r="AA165" s="875"/>
      <c r="AB165" s="885"/>
      <c r="AC165" s="885">
        <f t="shared" si="270"/>
        <v>0</v>
      </c>
      <c r="AD165" s="885">
        <f t="shared" si="271"/>
        <v>0</v>
      </c>
      <c r="AE165" s="857">
        <f>IF(AB165=0,0,AB165/AB$151)</f>
        <v>0</v>
      </c>
      <c r="AF165" s="865"/>
      <c r="AG165" s="885"/>
      <c r="AH165" s="885">
        <f t="shared" si="272"/>
        <v>0</v>
      </c>
      <c r="AI165" s="885">
        <f t="shared" si="273"/>
        <v>0</v>
      </c>
      <c r="AJ165" s="857">
        <f>IF(AG165=0,0,AG165/AG$151)</f>
        <v>0</v>
      </c>
      <c r="AK165" s="875"/>
      <c r="AL165" s="885"/>
      <c r="AM165" s="885">
        <f t="shared" si="274"/>
        <v>0</v>
      </c>
      <c r="AN165" s="885">
        <f t="shared" si="275"/>
        <v>0</v>
      </c>
      <c r="AO165" s="857">
        <f>IF(AL165=0,0,AL165/AL$151)</f>
        <v>0</v>
      </c>
      <c r="AP165" s="865"/>
      <c r="AQ165" s="885"/>
      <c r="AR165" s="885">
        <f t="shared" si="283"/>
        <v>0</v>
      </c>
      <c r="AS165" s="885">
        <f t="shared" si="276"/>
        <v>0</v>
      </c>
      <c r="AT165" s="857">
        <f>IF(AQ165=0,0,AQ165/AQ$151)</f>
        <v>0</v>
      </c>
      <c r="AU165" s="875"/>
      <c r="AV165" s="885"/>
      <c r="AW165" s="885">
        <f t="shared" si="277"/>
        <v>0</v>
      </c>
      <c r="AX165" s="885">
        <f t="shared" si="278"/>
        <v>0</v>
      </c>
      <c r="AY165" s="857">
        <f>IF(AV165=0,0,AV165/AV$151)</f>
        <v>0</v>
      </c>
      <c r="AZ165" s="865"/>
      <c r="BA165" s="885"/>
      <c r="BB165" s="885">
        <f t="shared" si="279"/>
        <v>0</v>
      </c>
      <c r="BC165" s="885">
        <f t="shared" si="280"/>
        <v>0</v>
      </c>
      <c r="BD165" s="857">
        <f>IF(BA165=0,0,BA165/BA$151)</f>
        <v>0</v>
      </c>
      <c r="BE165" s="875"/>
      <c r="BF165" s="885"/>
      <c r="BG165" s="885">
        <f t="shared" si="281"/>
        <v>0</v>
      </c>
      <c r="BH165" s="885">
        <f t="shared" si="282"/>
        <v>0</v>
      </c>
      <c r="BI165" s="857">
        <f>IF(BF165=0,0,BF165/BF$151)</f>
        <v>0</v>
      </c>
      <c r="BJ165" s="866"/>
      <c r="BK165" s="886"/>
      <c r="BL165" s="886"/>
      <c r="BM165" s="886"/>
      <c r="BN165" s="886"/>
      <c r="BO165" s="886"/>
      <c r="BP165" s="886"/>
      <c r="BQ165" s="867"/>
      <c r="BR165" s="886"/>
      <c r="BS165" s="886"/>
      <c r="BT165" s="886"/>
      <c r="BU165" s="886"/>
      <c r="BV165" s="886"/>
      <c r="BW165" s="886"/>
    </row>
    <row r="166" spans="1:75" ht="11.25">
      <c r="A166" s="204"/>
      <c r="B166" s="805"/>
      <c r="C166" s="884"/>
      <c r="D166" s="885">
        <f t="shared" si="260"/>
        <v>0</v>
      </c>
      <c r="E166" s="885">
        <f t="shared" si="261"/>
        <v>0</v>
      </c>
      <c r="F166" s="856">
        <f>IF(C166=0,0,C166/C$151)</f>
        <v>0</v>
      </c>
      <c r="G166" s="875"/>
      <c r="H166" s="884"/>
      <c r="I166" s="885">
        <f t="shared" si="262"/>
        <v>0</v>
      </c>
      <c r="J166" s="885">
        <f t="shared" si="263"/>
        <v>0</v>
      </c>
      <c r="K166" s="857">
        <f>IF(H166=0,0,H166/H$151)</f>
        <v>0</v>
      </c>
      <c r="L166" s="865"/>
      <c r="M166" s="885"/>
      <c r="N166" s="885">
        <f t="shared" si="264"/>
        <v>0</v>
      </c>
      <c r="O166" s="885">
        <f t="shared" si="265"/>
        <v>0</v>
      </c>
      <c r="P166" s="857">
        <f>IF(M166=0,0,M166/M$151)</f>
        <v>0</v>
      </c>
      <c r="Q166" s="875"/>
      <c r="R166" s="885"/>
      <c r="S166" s="885">
        <f t="shared" si="266"/>
        <v>0</v>
      </c>
      <c r="T166" s="885">
        <f t="shared" si="267"/>
        <v>0</v>
      </c>
      <c r="U166" s="857">
        <f>IF(R166=0,0,R166/R$151)</f>
        <v>0</v>
      </c>
      <c r="V166" s="865"/>
      <c r="W166" s="885"/>
      <c r="X166" s="885">
        <f t="shared" si="268"/>
        <v>0</v>
      </c>
      <c r="Y166" s="885">
        <f t="shared" si="269"/>
        <v>0</v>
      </c>
      <c r="Z166" s="857">
        <f>IF(W166=0,0,W166/W$151)</f>
        <v>0</v>
      </c>
      <c r="AA166" s="875"/>
      <c r="AB166" s="885"/>
      <c r="AC166" s="885">
        <f t="shared" si="270"/>
        <v>0</v>
      </c>
      <c r="AD166" s="885">
        <f t="shared" si="271"/>
        <v>0</v>
      </c>
      <c r="AE166" s="857">
        <f>IF(AB166=0,0,AB166/AB$151)</f>
        <v>0</v>
      </c>
      <c r="AF166" s="865"/>
      <c r="AG166" s="885"/>
      <c r="AH166" s="885">
        <f t="shared" si="272"/>
        <v>0</v>
      </c>
      <c r="AI166" s="885">
        <f t="shared" si="273"/>
        <v>0</v>
      </c>
      <c r="AJ166" s="857">
        <f>IF(AG166=0,0,AG166/AG$151)</f>
        <v>0</v>
      </c>
      <c r="AK166" s="875"/>
      <c r="AL166" s="885"/>
      <c r="AM166" s="885">
        <f t="shared" si="274"/>
        <v>0</v>
      </c>
      <c r="AN166" s="885">
        <f t="shared" si="275"/>
        <v>0</v>
      </c>
      <c r="AO166" s="857">
        <f>IF(AL166=0,0,AL166/AL$151)</f>
        <v>0</v>
      </c>
      <c r="AP166" s="865"/>
      <c r="AQ166" s="885"/>
      <c r="AR166" s="885">
        <f t="shared" si="283"/>
        <v>0</v>
      </c>
      <c r="AS166" s="885">
        <f t="shared" si="276"/>
        <v>0</v>
      </c>
      <c r="AT166" s="857">
        <f>IF(AQ166=0,0,AQ166/AQ$151)</f>
        <v>0</v>
      </c>
      <c r="AU166" s="875"/>
      <c r="AV166" s="885"/>
      <c r="AW166" s="885">
        <f t="shared" si="277"/>
        <v>0</v>
      </c>
      <c r="AX166" s="885">
        <f t="shared" si="278"/>
        <v>0</v>
      </c>
      <c r="AY166" s="857">
        <f>IF(AV166=0,0,AV166/AV$151)</f>
        <v>0</v>
      </c>
      <c r="AZ166" s="865"/>
      <c r="BA166" s="885"/>
      <c r="BB166" s="885">
        <f t="shared" si="279"/>
        <v>0</v>
      </c>
      <c r="BC166" s="885">
        <f t="shared" si="280"/>
        <v>0</v>
      </c>
      <c r="BD166" s="857">
        <f>IF(BA166=0,0,BA166/BA$151)</f>
        <v>0</v>
      </c>
      <c r="BE166" s="875"/>
      <c r="BF166" s="885"/>
      <c r="BG166" s="885">
        <f t="shared" si="281"/>
        <v>0</v>
      </c>
      <c r="BH166" s="885">
        <f t="shared" si="282"/>
        <v>0</v>
      </c>
      <c r="BI166" s="857">
        <f>IF(BF166=0,0,BF166/BF$151)</f>
        <v>0</v>
      </c>
      <c r="BJ166" s="866"/>
      <c r="BK166" s="886"/>
      <c r="BL166" s="886"/>
      <c r="BM166" s="886"/>
      <c r="BN166" s="886"/>
      <c r="BO166" s="886"/>
      <c r="BP166" s="886"/>
      <c r="BQ166" s="867"/>
      <c r="BR166" s="886"/>
      <c r="BS166" s="886"/>
      <c r="BT166" s="886"/>
      <c r="BU166" s="886"/>
      <c r="BV166" s="886"/>
      <c r="BW166" s="886"/>
    </row>
  </sheetData>
  <sheetProtection selectLockedCells="1" selectUnlockedCells="1"/>
  <printOptions horizontalCentered="1"/>
  <pageMargins left="0.31527777777777777" right="0.19652777777777777" top="0.17986111111111111" bottom="0.22013888888888888" header="0.51180555555555551" footer="0.51180555555555551"/>
  <pageSetup paperSize="9" firstPageNumber="0"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sheetPr enableFormatConditionsCalculation="0">
    <tabColor indexed="21"/>
    <pageSetUpPr fitToPage="1"/>
  </sheetPr>
  <dimension ref="A1:AB74"/>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RowHeight="12.75" outlineLevelRow="3" outlineLevelCol="2"/>
  <cols>
    <col min="1" max="1" width="36.28515625" style="888" customWidth="1"/>
    <col min="2" max="2" width="13.5703125" style="889" customWidth="1" outlineLevel="1"/>
    <col min="3" max="3" width="6" style="889" customWidth="1"/>
    <col min="4" max="4" width="10" style="889" customWidth="1"/>
    <col min="5" max="5" width="0.85546875" style="889" customWidth="1" outlineLevel="1"/>
    <col min="6" max="6" width="11.5703125" style="889" customWidth="1" outlineLevel="1"/>
    <col min="7" max="7" width="0" style="890" hidden="1" customWidth="1" outlineLevel="2"/>
    <col min="8" max="8" width="11.85546875" style="889" customWidth="1" outlineLevel="1" collapsed="1"/>
    <col min="9" max="9" width="0" style="891" hidden="1" customWidth="1" outlineLevel="2"/>
    <col min="10" max="10" width="12" style="889" customWidth="1" outlineLevel="1" collapsed="1"/>
    <col min="11" max="11" width="0" style="891" hidden="1" customWidth="1" outlineLevel="2"/>
    <col min="12" max="12" width="12.28515625" style="889" customWidth="1" outlineLevel="1" collapsed="1"/>
    <col min="13" max="13" width="0" style="891" hidden="1" customWidth="1" outlineLevel="2"/>
    <col min="14" max="14" width="13.42578125" style="889" customWidth="1" collapsed="1"/>
    <col min="15" max="15" width="0" style="892" hidden="1" customWidth="1" outlineLevel="1"/>
    <col min="16" max="16" width="0.7109375" style="892" customWidth="1"/>
    <col min="17" max="17" width="11.85546875" style="889" customWidth="1" outlineLevel="1"/>
    <col min="18" max="18" width="0" style="889" hidden="1" customWidth="1" outlineLevel="2"/>
    <col min="19" max="19" width="12" style="889" customWidth="1" outlineLevel="1" collapsed="1"/>
    <col min="20" max="20" width="0" style="889" hidden="1" customWidth="1" outlineLevel="2"/>
    <col min="21" max="21" width="11.42578125" style="889" customWidth="1" outlineLevel="1" collapsed="1"/>
    <col min="22" max="22" width="0" style="889" hidden="1" customWidth="1" outlineLevel="2"/>
    <col min="23" max="23" width="12.42578125" style="889" customWidth="1" outlineLevel="1" collapsed="1"/>
    <col min="24" max="24" width="0" style="889" hidden="1" customWidth="1" outlineLevel="2"/>
    <col min="25" max="25" width="12.42578125" style="889" customWidth="1" collapsed="1"/>
    <col min="26" max="26" width="0" style="892" hidden="1" customWidth="1" outlineLevel="1"/>
    <col min="27" max="27" width="12" style="889" customWidth="1"/>
    <col min="28" max="28" width="9.5703125" style="892" customWidth="1"/>
    <col min="29" max="16384" width="9.140625" style="889"/>
  </cols>
  <sheetData>
    <row r="1" spans="1:28" ht="15">
      <c r="A1" s="893" t="s">
        <v>452</v>
      </c>
      <c r="B1" s="894"/>
    </row>
    <row r="2" spans="1:28">
      <c r="A2" s="895"/>
      <c r="B2" s="896" t="s">
        <v>453</v>
      </c>
      <c r="C2" s="897"/>
      <c r="D2" s="898"/>
      <c r="E2" s="899"/>
      <c r="F2" s="900"/>
      <c r="G2" s="901"/>
      <c r="H2" s="902"/>
      <c r="I2" s="903"/>
      <c r="J2" s="902"/>
      <c r="K2" s="903"/>
      <c r="L2" s="902"/>
      <c r="M2" s="903" t="s">
        <v>454</v>
      </c>
      <c r="N2" s="904"/>
      <c r="O2" s="905"/>
      <c r="P2" s="905"/>
      <c r="Q2" s="906"/>
      <c r="R2" s="906"/>
      <c r="S2" s="906"/>
      <c r="T2" s="906"/>
      <c r="U2" s="906"/>
      <c r="V2" s="906"/>
      <c r="W2" s="906"/>
      <c r="X2" s="906"/>
      <c r="Y2" s="907"/>
      <c r="Z2" s="908"/>
      <c r="AA2" s="904"/>
      <c r="AB2" s="909"/>
    </row>
    <row r="3" spans="1:28">
      <c r="A3" s="910"/>
      <c r="B3" s="911" t="s">
        <v>455</v>
      </c>
      <c r="C3" s="912"/>
      <c r="D3" s="913"/>
      <c r="E3" s="914"/>
      <c r="F3" s="915" t="s">
        <v>456</v>
      </c>
      <c r="G3" s="916"/>
      <c r="H3" s="917"/>
      <c r="I3" s="918"/>
      <c r="J3" s="917"/>
      <c r="K3" s="918"/>
      <c r="L3" s="917"/>
      <c r="M3" s="918"/>
      <c r="N3" s="919" t="s">
        <v>457</v>
      </c>
      <c r="O3" s="920" t="s">
        <v>458</v>
      </c>
      <c r="P3" s="921"/>
      <c r="Q3" s="915" t="s">
        <v>459</v>
      </c>
      <c r="R3" s="916"/>
      <c r="S3" s="917"/>
      <c r="T3" s="918"/>
      <c r="U3" s="917"/>
      <c r="V3" s="918"/>
      <c r="W3" s="917"/>
      <c r="X3" s="918"/>
      <c r="Y3" s="919" t="s">
        <v>457</v>
      </c>
      <c r="Z3" s="920" t="s">
        <v>458</v>
      </c>
      <c r="AA3" s="922"/>
      <c r="AB3" s="923" t="s">
        <v>458</v>
      </c>
    </row>
    <row r="4" spans="1:28">
      <c r="A4" s="924" t="s">
        <v>460</v>
      </c>
      <c r="B4" s="911" t="s">
        <v>461</v>
      </c>
      <c r="C4" s="925"/>
      <c r="D4" s="926"/>
      <c r="E4" s="927"/>
      <c r="F4" s="928" t="s">
        <v>517</v>
      </c>
      <c r="G4" s="929"/>
      <c r="H4" s="928" t="s">
        <v>518</v>
      </c>
      <c r="I4" s="931"/>
      <c r="J4" s="928" t="s">
        <v>519</v>
      </c>
      <c r="K4" s="931"/>
      <c r="L4" s="930" t="s">
        <v>517</v>
      </c>
      <c r="M4" s="931"/>
      <c r="N4" s="932" t="s">
        <v>462</v>
      </c>
      <c r="O4" s="933" t="s">
        <v>463</v>
      </c>
      <c r="P4" s="934"/>
      <c r="Q4" s="928" t="s">
        <v>517</v>
      </c>
      <c r="R4" s="931"/>
      <c r="S4" s="928" t="s">
        <v>518</v>
      </c>
      <c r="T4" s="931"/>
      <c r="U4" s="928" t="s">
        <v>519</v>
      </c>
      <c r="V4" s="931"/>
      <c r="W4" s="930" t="s">
        <v>517</v>
      </c>
      <c r="X4" s="931"/>
      <c r="Y4" s="932" t="s">
        <v>464</v>
      </c>
      <c r="Z4" s="933" t="s">
        <v>463</v>
      </c>
      <c r="AA4" s="935" t="s">
        <v>191</v>
      </c>
      <c r="AB4" s="936" t="s">
        <v>463</v>
      </c>
    </row>
    <row r="5" spans="1:28">
      <c r="A5" s="924"/>
      <c r="B5" s="911" t="s">
        <v>465</v>
      </c>
      <c r="C5" s="925"/>
      <c r="D5" s="926"/>
      <c r="E5" s="927"/>
      <c r="F5" s="937" t="s">
        <v>13</v>
      </c>
      <c r="G5" s="938" t="s">
        <v>466</v>
      </c>
      <c r="H5" s="937" t="s">
        <v>13</v>
      </c>
      <c r="I5" s="940" t="s">
        <v>466</v>
      </c>
      <c r="J5" s="937" t="s">
        <v>13</v>
      </c>
      <c r="K5" s="940" t="s">
        <v>466</v>
      </c>
      <c r="L5" s="939" t="s">
        <v>13</v>
      </c>
      <c r="M5" s="940" t="s">
        <v>466</v>
      </c>
      <c r="N5" s="941" t="s">
        <v>13</v>
      </c>
      <c r="O5" s="942" t="s">
        <v>467</v>
      </c>
      <c r="P5" s="943"/>
      <c r="Q5" s="937" t="s">
        <v>13</v>
      </c>
      <c r="R5" s="940" t="s">
        <v>466</v>
      </c>
      <c r="S5" s="937" t="s">
        <v>13</v>
      </c>
      <c r="T5" s="940" t="s">
        <v>466</v>
      </c>
      <c r="U5" s="937" t="s">
        <v>13</v>
      </c>
      <c r="V5" s="940" t="s">
        <v>466</v>
      </c>
      <c r="W5" s="939" t="s">
        <v>13</v>
      </c>
      <c r="X5" s="940" t="s">
        <v>466</v>
      </c>
      <c r="Y5" s="941" t="s">
        <v>13</v>
      </c>
      <c r="Z5" s="942" t="s">
        <v>467</v>
      </c>
      <c r="AA5" s="944" t="s">
        <v>13</v>
      </c>
      <c r="AB5" s="945" t="s">
        <v>468</v>
      </c>
    </row>
    <row r="6" spans="1:28">
      <c r="A6" s="946" t="s">
        <v>469</v>
      </c>
      <c r="B6" s="947"/>
      <c r="C6" s="948"/>
      <c r="D6" s="949"/>
      <c r="E6" s="927"/>
      <c r="F6" s="950">
        <v>400</v>
      </c>
      <c r="G6" s="951"/>
      <c r="H6" s="950">
        <v>0</v>
      </c>
      <c r="I6" s="952"/>
      <c r="J6" s="950">
        <v>0</v>
      </c>
      <c r="K6" s="952"/>
      <c r="L6" s="950">
        <v>400</v>
      </c>
      <c r="M6" s="952"/>
      <c r="N6" s="953">
        <f>SUM(F6:L6)</f>
        <v>800</v>
      </c>
      <c r="O6" s="954"/>
      <c r="P6" s="943"/>
      <c r="Q6" s="950">
        <v>0</v>
      </c>
      <c r="R6" s="952"/>
      <c r="S6" s="950"/>
      <c r="T6" s="952"/>
      <c r="U6" s="950"/>
      <c r="V6" s="952"/>
      <c r="W6" s="950">
        <v>0</v>
      </c>
      <c r="X6" s="952"/>
      <c r="Y6" s="953">
        <f>SUM(Q6:W6)</f>
        <v>0</v>
      </c>
      <c r="Z6" s="954"/>
      <c r="AA6" s="955">
        <f>N6+Y6</f>
        <v>800</v>
      </c>
      <c r="AB6" s="956"/>
    </row>
    <row r="7" spans="1:28" s="970" customFormat="1">
      <c r="A7" s="957" t="s">
        <v>470</v>
      </c>
      <c r="B7" s="958"/>
      <c r="C7" s="959" t="s">
        <v>471</v>
      </c>
      <c r="D7" s="960">
        <v>64</v>
      </c>
      <c r="E7" s="961"/>
      <c r="F7" s="962">
        <v>1500</v>
      </c>
      <c r="G7" s="963"/>
      <c r="H7" s="962"/>
      <c r="I7" s="964"/>
      <c r="J7" s="962"/>
      <c r="K7" s="964"/>
      <c r="L7" s="962">
        <v>1500</v>
      </c>
      <c r="M7" s="964"/>
      <c r="N7" s="965"/>
      <c r="O7" s="966"/>
      <c r="P7" s="967"/>
      <c r="Q7" s="962">
        <v>1505</v>
      </c>
      <c r="R7" s="963"/>
      <c r="S7" s="962"/>
      <c r="T7" s="964"/>
      <c r="U7" s="962"/>
      <c r="V7" s="964"/>
      <c r="W7" s="962">
        <v>1505</v>
      </c>
      <c r="X7" s="964"/>
      <c r="Y7" s="965"/>
      <c r="Z7" s="966"/>
      <c r="AA7" s="968"/>
      <c r="AB7" s="969"/>
    </row>
    <row r="8" spans="1:28" s="970" customFormat="1">
      <c r="A8" s="971" t="s">
        <v>472</v>
      </c>
      <c r="B8" s="972"/>
      <c r="C8" s="973" t="s">
        <v>473</v>
      </c>
      <c r="D8" s="974">
        <v>0</v>
      </c>
      <c r="E8" s="975"/>
      <c r="F8" s="976">
        <f>(F7*$D7)+(F7*$D7*$D$8)</f>
        <v>96000</v>
      </c>
      <c r="G8" s="977"/>
      <c r="H8" s="1323">
        <v>71000</v>
      </c>
      <c r="I8" s="979"/>
      <c r="J8" s="1323">
        <v>57276</v>
      </c>
      <c r="K8" s="979"/>
      <c r="L8" s="978">
        <f>L7*D7</f>
        <v>96000</v>
      </c>
      <c r="M8" s="979"/>
      <c r="N8" s="980"/>
      <c r="O8" s="981"/>
      <c r="P8" s="982"/>
      <c r="Q8" s="976">
        <f>(Q7*$D7)+(Q7*$D7*$D$8)</f>
        <v>96320</v>
      </c>
      <c r="R8" s="979"/>
      <c r="S8" s="1323">
        <v>71000</v>
      </c>
      <c r="T8" s="979"/>
      <c r="U8" s="1323">
        <v>62529</v>
      </c>
      <c r="V8" s="979"/>
      <c r="W8" s="978">
        <f>W7*D7</f>
        <v>96320</v>
      </c>
      <c r="X8" s="979"/>
      <c r="Y8" s="980"/>
      <c r="Z8" s="981"/>
      <c r="AA8" s="983"/>
      <c r="AB8" s="984"/>
    </row>
    <row r="9" spans="1:28" s="970" customFormat="1">
      <c r="A9" s="985" t="s">
        <v>474</v>
      </c>
      <c r="B9" s="986"/>
      <c r="C9" s="987"/>
      <c r="D9" s="988"/>
      <c r="E9" s="989"/>
      <c r="F9" s="990"/>
      <c r="G9" s="991"/>
      <c r="H9" s="990"/>
      <c r="I9" s="993"/>
      <c r="J9" s="990"/>
      <c r="K9" s="993"/>
      <c r="L9" s="992"/>
      <c r="M9" s="993"/>
      <c r="N9" s="994"/>
      <c r="O9" s="966"/>
      <c r="P9" s="995"/>
      <c r="Q9" s="990"/>
      <c r="R9" s="993"/>
      <c r="S9" s="990"/>
      <c r="T9" s="993"/>
      <c r="U9" s="990"/>
      <c r="V9" s="993"/>
      <c r="W9" s="996"/>
      <c r="X9" s="993"/>
      <c r="Y9" s="994"/>
      <c r="Z9" s="966"/>
      <c r="AA9" s="997"/>
      <c r="AB9" s="969"/>
    </row>
    <row r="10" spans="1:28" ht="14.25" outlineLevel="1">
      <c r="A10" s="998" t="s">
        <v>321</v>
      </c>
      <c r="B10" s="999"/>
      <c r="C10" s="1000"/>
      <c r="D10" s="1001">
        <v>1.22</v>
      </c>
      <c r="E10" s="1002"/>
      <c r="F10" s="1003">
        <f>D10*D7*1000</f>
        <v>78080</v>
      </c>
      <c r="G10" s="1004"/>
      <c r="H10" s="1003">
        <f>F10</f>
        <v>78080</v>
      </c>
      <c r="I10" s="1006">
        <v>45500</v>
      </c>
      <c r="J10" s="1003">
        <f>F10</f>
        <v>78080</v>
      </c>
      <c r="K10" s="1006">
        <v>45500</v>
      </c>
      <c r="L10" s="1005">
        <f>F10</f>
        <v>78080</v>
      </c>
      <c r="M10" s="1006"/>
      <c r="N10" s="1007"/>
      <c r="O10" s="1008"/>
      <c r="P10" s="1009"/>
      <c r="Q10" s="1003">
        <f>F10</f>
        <v>78080</v>
      </c>
      <c r="R10" s="1006">
        <v>45500</v>
      </c>
      <c r="S10" s="1003">
        <f>F10</f>
        <v>78080</v>
      </c>
      <c r="T10" s="1006">
        <v>45500</v>
      </c>
      <c r="U10" s="1003">
        <f>F10</f>
        <v>78080</v>
      </c>
      <c r="V10" s="1006">
        <v>45500</v>
      </c>
      <c r="W10" s="1010">
        <f>F10</f>
        <v>78080</v>
      </c>
      <c r="X10" s="1006"/>
      <c r="Y10" s="1007"/>
      <c r="Z10" s="1008"/>
      <c r="AA10" s="1011"/>
      <c r="AB10" s="1012"/>
    </row>
    <row r="11" spans="1:28" ht="14.25" outlineLevel="1">
      <c r="A11" s="998" t="s">
        <v>475</v>
      </c>
      <c r="B11" s="999"/>
      <c r="C11" s="1000"/>
      <c r="D11" s="1013"/>
      <c r="E11" s="1002"/>
      <c r="F11" s="1003">
        <f>$F$10</f>
        <v>78080</v>
      </c>
      <c r="G11" s="1004"/>
      <c r="H11" s="1003">
        <f>$F$10</f>
        <v>78080</v>
      </c>
      <c r="I11" s="1006">
        <v>45500</v>
      </c>
      <c r="J11" s="1003">
        <f>$F$10</f>
        <v>78080</v>
      </c>
      <c r="K11" s="1006">
        <v>45500</v>
      </c>
      <c r="L11" s="1010">
        <f>$F$10</f>
        <v>78080</v>
      </c>
      <c r="M11" s="1006"/>
      <c r="N11" s="1007"/>
      <c r="O11" s="1008"/>
      <c r="P11" s="1009"/>
      <c r="Q11" s="1003">
        <f>$F$10</f>
        <v>78080</v>
      </c>
      <c r="R11" s="1006">
        <v>45500</v>
      </c>
      <c r="S11" s="1003">
        <f>$F$10</f>
        <v>78080</v>
      </c>
      <c r="T11" s="1006">
        <v>45500</v>
      </c>
      <c r="U11" s="1003">
        <f>$F$10</f>
        <v>78080</v>
      </c>
      <c r="V11" s="1006">
        <v>45500</v>
      </c>
      <c r="W11" s="1010">
        <f>$F$10</f>
        <v>78080</v>
      </c>
      <c r="X11" s="1006"/>
      <c r="Y11" s="1007"/>
      <c r="Z11" s="1008"/>
      <c r="AA11" s="1011"/>
      <c r="AB11" s="1012"/>
    </row>
    <row r="12" spans="1:28" ht="14.25" outlineLevel="2">
      <c r="A12" s="998" t="s">
        <v>476</v>
      </c>
      <c r="B12" s="999"/>
      <c r="C12" s="1000"/>
      <c r="D12" s="1013"/>
      <c r="E12" s="1002"/>
      <c r="F12" s="1003"/>
      <c r="G12" s="1004"/>
      <c r="H12" s="1003"/>
      <c r="I12" s="1006"/>
      <c r="J12" s="1003"/>
      <c r="K12" s="1006"/>
      <c r="L12" s="1010"/>
      <c r="M12" s="1006"/>
      <c r="N12" s="1007"/>
      <c r="O12" s="1008"/>
      <c r="P12" s="1009"/>
      <c r="Q12" s="1003"/>
      <c r="R12" s="1006"/>
      <c r="S12" s="1003"/>
      <c r="T12" s="1006"/>
      <c r="U12" s="1003"/>
      <c r="V12" s="1006"/>
      <c r="W12" s="1010"/>
      <c r="X12" s="1006"/>
      <c r="Y12" s="1007"/>
      <c r="Z12" s="1008"/>
      <c r="AA12" s="1011"/>
      <c r="AB12" s="1012"/>
    </row>
    <row r="13" spans="1:28" ht="14.25" outlineLevel="2">
      <c r="A13" s="998" t="s">
        <v>477</v>
      </c>
      <c r="B13" s="999"/>
      <c r="C13" s="1000"/>
      <c r="D13" s="1013"/>
      <c r="E13" s="1002"/>
      <c r="F13" s="1003"/>
      <c r="G13" s="1004"/>
      <c r="H13" s="1003"/>
      <c r="I13" s="1006"/>
      <c r="J13" s="1003"/>
      <c r="K13" s="1006"/>
      <c r="L13" s="1010"/>
      <c r="M13" s="1006"/>
      <c r="N13" s="1007"/>
      <c r="O13" s="1008"/>
      <c r="P13" s="1009"/>
      <c r="Q13" s="1003"/>
      <c r="R13" s="1006"/>
      <c r="S13" s="1003"/>
      <c r="T13" s="1006"/>
      <c r="U13" s="1003"/>
      <c r="V13" s="1006"/>
      <c r="W13" s="1010"/>
      <c r="X13" s="1006"/>
      <c r="Y13" s="1007"/>
      <c r="Z13" s="1008"/>
      <c r="AA13" s="1011"/>
      <c r="AB13" s="1012"/>
    </row>
    <row r="14" spans="1:28" ht="14.25" outlineLevel="2">
      <c r="A14" s="998" t="s">
        <v>478</v>
      </c>
      <c r="B14" s="999"/>
      <c r="C14" s="1000"/>
      <c r="D14" s="1013"/>
      <c r="E14" s="1002"/>
      <c r="F14" s="1003"/>
      <c r="G14" s="1004"/>
      <c r="H14" s="1003"/>
      <c r="I14" s="1006"/>
      <c r="J14" s="1003"/>
      <c r="K14" s="1006"/>
      <c r="L14" s="1010"/>
      <c r="M14" s="1006"/>
      <c r="N14" s="1007"/>
      <c r="O14" s="1008"/>
      <c r="P14" s="1009"/>
      <c r="Q14" s="1003"/>
      <c r="R14" s="1006"/>
      <c r="S14" s="1003"/>
      <c r="T14" s="1006"/>
      <c r="U14" s="1003"/>
      <c r="V14" s="1006"/>
      <c r="W14" s="1010"/>
      <c r="X14" s="1006"/>
      <c r="Y14" s="1007"/>
      <c r="Z14" s="1008"/>
      <c r="AA14" s="1011"/>
      <c r="AB14" s="1012"/>
    </row>
    <row r="15" spans="1:28" ht="14.25" outlineLevel="2">
      <c r="A15" s="998" t="s">
        <v>479</v>
      </c>
      <c r="B15" s="999"/>
      <c r="C15" s="1000"/>
      <c r="D15" s="1013"/>
      <c r="E15" s="1002"/>
      <c r="F15" s="1003"/>
      <c r="G15" s="1004"/>
      <c r="H15" s="1003"/>
      <c r="I15" s="1006"/>
      <c r="J15" s="1003"/>
      <c r="K15" s="1006"/>
      <c r="L15" s="1010"/>
      <c r="M15" s="1006"/>
      <c r="N15" s="1007"/>
      <c r="O15" s="1008"/>
      <c r="P15" s="1009"/>
      <c r="Q15" s="1003"/>
      <c r="R15" s="1006"/>
      <c r="S15" s="1003"/>
      <c r="T15" s="1006"/>
      <c r="U15" s="1003"/>
      <c r="V15" s="1006"/>
      <c r="W15" s="1010"/>
      <c r="X15" s="1006"/>
      <c r="Y15" s="1007"/>
      <c r="Z15" s="1008"/>
      <c r="AA15" s="1011"/>
      <c r="AB15" s="1012"/>
    </row>
    <row r="16" spans="1:28" ht="14.25" outlineLevel="1">
      <c r="A16" s="998" t="s">
        <v>480</v>
      </c>
      <c r="B16" s="999"/>
      <c r="C16" s="1000"/>
      <c r="D16" s="1013"/>
      <c r="E16" s="1002"/>
      <c r="F16" s="1003">
        <v>90000</v>
      </c>
      <c r="G16" s="1004"/>
      <c r="H16" s="1003">
        <v>90000</v>
      </c>
      <c r="I16" s="1006"/>
      <c r="J16" s="1003">
        <v>90000</v>
      </c>
      <c r="K16" s="1006"/>
      <c r="L16" s="1010">
        <v>90000</v>
      </c>
      <c r="M16" s="1006"/>
      <c r="N16" s="1007"/>
      <c r="O16" s="1008"/>
      <c r="P16" s="1009"/>
      <c r="Q16" s="1003">
        <v>90000</v>
      </c>
      <c r="R16" s="1006"/>
      <c r="S16" s="1003">
        <v>90000</v>
      </c>
      <c r="T16" s="1006"/>
      <c r="U16" s="1003">
        <v>90000</v>
      </c>
      <c r="V16" s="1006"/>
      <c r="W16" s="1010">
        <v>90000</v>
      </c>
      <c r="X16" s="1006"/>
      <c r="Y16" s="1007"/>
      <c r="Z16" s="1008"/>
      <c r="AA16" s="1011"/>
      <c r="AB16" s="1012"/>
    </row>
    <row r="17" spans="1:28" ht="14.25" outlineLevel="1">
      <c r="A17" s="1014" t="s">
        <v>481</v>
      </c>
      <c r="B17" s="1015"/>
      <c r="C17" s="1016"/>
      <c r="D17" s="1017"/>
      <c r="E17" s="1018"/>
      <c r="F17" s="1019">
        <v>210000</v>
      </c>
      <c r="G17" s="1020"/>
      <c r="H17" s="1019">
        <v>210000</v>
      </c>
      <c r="I17" s="1022"/>
      <c r="J17" s="1019">
        <v>210000</v>
      </c>
      <c r="K17" s="1022"/>
      <c r="L17" s="1021">
        <v>210000</v>
      </c>
      <c r="M17" s="1022"/>
      <c r="N17" s="1023"/>
      <c r="O17" s="1024"/>
      <c r="P17" s="1025"/>
      <c r="Q17" s="1019">
        <v>210000</v>
      </c>
      <c r="R17" s="1022"/>
      <c r="S17" s="1019">
        <v>210000</v>
      </c>
      <c r="T17" s="1022"/>
      <c r="U17" s="1019">
        <v>210000</v>
      </c>
      <c r="V17" s="1022"/>
      <c r="W17" s="1021">
        <v>210000</v>
      </c>
      <c r="X17" s="1022"/>
      <c r="Y17" s="1023"/>
      <c r="Z17" s="1024"/>
      <c r="AA17" s="1026"/>
      <c r="AB17" s="1027"/>
    </row>
    <row r="18" spans="1:28">
      <c r="A18" s="1028" t="s">
        <v>482</v>
      </c>
      <c r="B18" s="1029"/>
      <c r="C18" s="987"/>
      <c r="D18" s="988"/>
      <c r="E18" s="989"/>
      <c r="F18" s="1030">
        <v>0.89</v>
      </c>
      <c r="G18" s="991"/>
      <c r="H18" s="1030">
        <v>0.87</v>
      </c>
      <c r="I18" s="993"/>
      <c r="J18" s="1030">
        <v>0.86</v>
      </c>
      <c r="K18" s="993"/>
      <c r="L18" s="1031">
        <v>0.89</v>
      </c>
      <c r="M18" s="993"/>
      <c r="N18" s="994"/>
      <c r="O18" s="966"/>
      <c r="P18" s="995"/>
      <c r="Q18" s="1030">
        <v>0.88</v>
      </c>
      <c r="R18" s="993"/>
      <c r="S18" s="1030">
        <v>0.87</v>
      </c>
      <c r="T18" s="993"/>
      <c r="U18" s="1030">
        <v>0.86</v>
      </c>
      <c r="V18" s="993"/>
      <c r="W18" s="1031">
        <v>0.88</v>
      </c>
      <c r="X18" s="993"/>
      <c r="Y18" s="994"/>
      <c r="Z18" s="966"/>
      <c r="AA18" s="997"/>
      <c r="AB18" s="969"/>
    </row>
    <row r="19" spans="1:28">
      <c r="A19" s="1032" t="s">
        <v>483</v>
      </c>
      <c r="B19" s="1033"/>
      <c r="C19" s="1034"/>
      <c r="D19" s="1035"/>
      <c r="E19" s="1036"/>
      <c r="F19" s="1037">
        <f>1/F18</f>
        <v>1.1235955056179776</v>
      </c>
      <c r="G19" s="1038"/>
      <c r="H19" s="1037">
        <f>1/H18</f>
        <v>1.1494252873563218</v>
      </c>
      <c r="I19" s="1040"/>
      <c r="J19" s="1037">
        <f>1/J18</f>
        <v>1.1627906976744187</v>
      </c>
      <c r="K19" s="1040"/>
      <c r="L19" s="1039">
        <f>1/L18</f>
        <v>1.1235955056179776</v>
      </c>
      <c r="M19" s="1040"/>
      <c r="N19" s="1041"/>
      <c r="O19" s="981"/>
      <c r="P19" s="1042"/>
      <c r="Q19" s="1037">
        <f>1/Q18</f>
        <v>1.1363636363636365</v>
      </c>
      <c r="R19" s="1040"/>
      <c r="S19" s="1037">
        <f>1/S18</f>
        <v>1.1494252873563218</v>
      </c>
      <c r="T19" s="1040"/>
      <c r="U19" s="1037">
        <f>1/U18</f>
        <v>1.1627906976744187</v>
      </c>
      <c r="V19" s="1040"/>
      <c r="W19" s="1039">
        <f>1/W18</f>
        <v>1.1363636363636365</v>
      </c>
      <c r="X19" s="1040"/>
      <c r="Y19" s="1041"/>
      <c r="Z19" s="981"/>
      <c r="AA19" s="1043"/>
      <c r="AB19" s="984"/>
    </row>
    <row r="20" spans="1:28" s="1055" customFormat="1">
      <c r="A20" s="1044" t="s">
        <v>484</v>
      </c>
      <c r="B20" s="1045"/>
      <c r="C20" s="1046"/>
      <c r="D20" s="1047"/>
      <c r="E20" s="1048"/>
      <c r="F20" s="1049">
        <f>SUM(F21:F28)</f>
        <v>449.43820224719104</v>
      </c>
      <c r="G20" s="991"/>
      <c r="H20" s="1049">
        <f>SUM(H21:H28)</f>
        <v>0</v>
      </c>
      <c r="I20" s="993"/>
      <c r="J20" s="1049">
        <f>SUM(J21:J28)</f>
        <v>0</v>
      </c>
      <c r="K20" s="993"/>
      <c r="L20" s="1049">
        <f>SUM(L21:L28)</f>
        <v>449.43820224719104</v>
      </c>
      <c r="M20" s="993"/>
      <c r="N20" s="1050">
        <f t="shared" ref="N20:N28" si="0">F20+H20+J20+L20</f>
        <v>898.87640449438209</v>
      </c>
      <c r="O20" s="1051"/>
      <c r="P20" s="1052"/>
      <c r="Q20" s="1049">
        <f>SUM(Q21:Q28)</f>
        <v>0</v>
      </c>
      <c r="R20" s="993"/>
      <c r="S20" s="1049">
        <f>SUM(S21:S28)</f>
        <v>0</v>
      </c>
      <c r="T20" s="993"/>
      <c r="U20" s="1049">
        <f>SUM(U21:U28)</f>
        <v>0</v>
      </c>
      <c r="V20" s="993"/>
      <c r="W20" s="1049">
        <f>SUM(W21:W28)</f>
        <v>0</v>
      </c>
      <c r="X20" s="993"/>
      <c r="Y20" s="1050">
        <f t="shared" ref="Y20:Y28" si="1">Q20+S20+U20+W20</f>
        <v>0</v>
      </c>
      <c r="Z20" s="1051"/>
      <c r="AA20" s="1053">
        <f t="shared" ref="AA20:AA28" si="2">N20+Y20</f>
        <v>898.87640449438209</v>
      </c>
      <c r="AB20" s="1054"/>
    </row>
    <row r="21" spans="1:28" outlineLevel="1">
      <c r="A21" s="1056" t="s">
        <v>321</v>
      </c>
      <c r="B21" s="999"/>
      <c r="C21" s="1057"/>
      <c r="D21" s="1058"/>
      <c r="E21" s="1059"/>
      <c r="F21" s="1060">
        <f>(F19*0.62)*F6</f>
        <v>278.65168539325845</v>
      </c>
      <c r="G21" s="1004"/>
      <c r="H21" s="1060"/>
      <c r="I21" s="1006"/>
      <c r="J21" s="1060">
        <f>(J19*0.7)*J6</f>
        <v>0</v>
      </c>
      <c r="K21" s="1006"/>
      <c r="L21" s="1060">
        <f>(L19*0.62)*L6</f>
        <v>278.65168539325845</v>
      </c>
      <c r="M21" s="1006"/>
      <c r="N21" s="1061">
        <f t="shared" si="0"/>
        <v>557.30337078651689</v>
      </c>
      <c r="O21" s="1062"/>
      <c r="P21" s="1063"/>
      <c r="Q21" s="1060">
        <f>(Q19*0.62)*Q6</f>
        <v>0</v>
      </c>
      <c r="R21" s="1006"/>
      <c r="S21" s="1060"/>
      <c r="T21" s="1006"/>
      <c r="U21" s="1060">
        <f>(U19*0.7)*U6</f>
        <v>0</v>
      </c>
      <c r="V21" s="1006"/>
      <c r="W21" s="1060">
        <f>(W19*0.62)*W6</f>
        <v>0</v>
      </c>
      <c r="X21" s="1006"/>
      <c r="Y21" s="1061">
        <f t="shared" si="1"/>
        <v>0</v>
      </c>
      <c r="Z21" s="1062"/>
      <c r="AA21" s="1064">
        <f t="shared" si="2"/>
        <v>557.30337078651689</v>
      </c>
      <c r="AB21" s="1065"/>
    </row>
    <row r="22" spans="1:28" outlineLevel="1">
      <c r="A22" s="1056" t="s">
        <v>475</v>
      </c>
      <c r="B22" s="999"/>
      <c r="C22" s="1057"/>
      <c r="D22" s="1058"/>
      <c r="E22" s="1059"/>
      <c r="F22" s="1060">
        <f>(F19*0.38)*F6</f>
        <v>170.7865168539326</v>
      </c>
      <c r="G22" s="1004"/>
      <c r="H22" s="1060">
        <f>H19*H6</f>
        <v>0</v>
      </c>
      <c r="I22" s="1006"/>
      <c r="J22" s="1060">
        <f>(J19*0.3)*J6</f>
        <v>0</v>
      </c>
      <c r="K22" s="1006"/>
      <c r="L22" s="1060">
        <f>(L19*0.38)*L6</f>
        <v>170.7865168539326</v>
      </c>
      <c r="M22" s="1006"/>
      <c r="N22" s="1061">
        <f t="shared" si="0"/>
        <v>341.57303370786519</v>
      </c>
      <c r="O22" s="1062"/>
      <c r="P22" s="1063"/>
      <c r="Q22" s="1060">
        <f>(Q19*0.38)*Q6</f>
        <v>0</v>
      </c>
      <c r="R22" s="1006"/>
      <c r="S22" s="1060">
        <f>S19*S6</f>
        <v>0</v>
      </c>
      <c r="T22" s="1006"/>
      <c r="U22" s="1060">
        <f>(U19*0.3)*U6</f>
        <v>0</v>
      </c>
      <c r="V22" s="1006"/>
      <c r="W22" s="1060">
        <f>(W19*0.38)*W6</f>
        <v>0</v>
      </c>
      <c r="X22" s="1006"/>
      <c r="Y22" s="1061">
        <f t="shared" si="1"/>
        <v>0</v>
      </c>
      <c r="Z22" s="1062"/>
      <c r="AA22" s="1064">
        <f t="shared" si="2"/>
        <v>341.57303370786519</v>
      </c>
      <c r="AB22" s="1065"/>
    </row>
    <row r="23" spans="1:28" outlineLevel="2">
      <c r="A23" s="1056" t="s">
        <v>476</v>
      </c>
      <c r="B23" s="999"/>
      <c r="C23" s="1057"/>
      <c r="D23" s="1058"/>
      <c r="E23" s="1059"/>
      <c r="F23" s="1060"/>
      <c r="G23" s="1004"/>
      <c r="H23" s="1060"/>
      <c r="I23" s="1006"/>
      <c r="J23" s="1060"/>
      <c r="K23" s="1006"/>
      <c r="L23" s="1060"/>
      <c r="M23" s="1006"/>
      <c r="N23" s="1061">
        <f t="shared" si="0"/>
        <v>0</v>
      </c>
      <c r="O23" s="1062"/>
      <c r="P23" s="1063"/>
      <c r="Q23" s="1060"/>
      <c r="R23" s="1006"/>
      <c r="S23" s="1060"/>
      <c r="T23" s="1006"/>
      <c r="U23" s="1060"/>
      <c r="V23" s="1006"/>
      <c r="W23" s="1060"/>
      <c r="X23" s="1006"/>
      <c r="Y23" s="1061">
        <f t="shared" si="1"/>
        <v>0</v>
      </c>
      <c r="Z23" s="1062"/>
      <c r="AA23" s="1064">
        <f t="shared" si="2"/>
        <v>0</v>
      </c>
      <c r="AB23" s="1065"/>
    </row>
    <row r="24" spans="1:28" outlineLevel="2">
      <c r="A24" s="1056" t="s">
        <v>477</v>
      </c>
      <c r="B24" s="999"/>
      <c r="C24" s="1057"/>
      <c r="D24" s="1058"/>
      <c r="E24" s="1059"/>
      <c r="F24" s="1060"/>
      <c r="G24" s="1004"/>
      <c r="H24" s="1060"/>
      <c r="I24" s="1006"/>
      <c r="J24" s="1060"/>
      <c r="K24" s="1006"/>
      <c r="L24" s="1060"/>
      <c r="M24" s="1006"/>
      <c r="N24" s="1061">
        <f t="shared" si="0"/>
        <v>0</v>
      </c>
      <c r="O24" s="1062"/>
      <c r="P24" s="1063"/>
      <c r="Q24" s="1060"/>
      <c r="R24" s="1006"/>
      <c r="S24" s="1060"/>
      <c r="T24" s="1006"/>
      <c r="U24" s="1060"/>
      <c r="V24" s="1006"/>
      <c r="W24" s="1060"/>
      <c r="X24" s="1006"/>
      <c r="Y24" s="1061">
        <f t="shared" si="1"/>
        <v>0</v>
      </c>
      <c r="Z24" s="1062"/>
      <c r="AA24" s="1064">
        <f t="shared" si="2"/>
        <v>0</v>
      </c>
      <c r="AB24" s="1065"/>
    </row>
    <row r="25" spans="1:28" outlineLevel="2">
      <c r="A25" s="1056" t="s">
        <v>478</v>
      </c>
      <c r="B25" s="999"/>
      <c r="C25" s="1057"/>
      <c r="D25" s="1058"/>
      <c r="E25" s="1059"/>
      <c r="F25" s="1060"/>
      <c r="G25" s="1004"/>
      <c r="H25" s="1060"/>
      <c r="I25" s="1006"/>
      <c r="J25" s="1060"/>
      <c r="K25" s="1006"/>
      <c r="L25" s="1060"/>
      <c r="M25" s="1006"/>
      <c r="N25" s="1061">
        <f t="shared" si="0"/>
        <v>0</v>
      </c>
      <c r="O25" s="1062"/>
      <c r="P25" s="1063"/>
      <c r="Q25" s="1060"/>
      <c r="R25" s="1006"/>
      <c r="S25" s="1060"/>
      <c r="T25" s="1006"/>
      <c r="U25" s="1060"/>
      <c r="V25" s="1006"/>
      <c r="W25" s="1060"/>
      <c r="X25" s="1006"/>
      <c r="Y25" s="1061">
        <f t="shared" si="1"/>
        <v>0</v>
      </c>
      <c r="Z25" s="1062"/>
      <c r="AA25" s="1064">
        <f t="shared" si="2"/>
        <v>0</v>
      </c>
      <c r="AB25" s="1065"/>
    </row>
    <row r="26" spans="1:28" outlineLevel="2">
      <c r="A26" s="1056" t="s">
        <v>479</v>
      </c>
      <c r="B26" s="999"/>
      <c r="C26" s="1057"/>
      <c r="D26" s="1058"/>
      <c r="E26" s="1059"/>
      <c r="F26" s="1060"/>
      <c r="G26" s="1004"/>
      <c r="H26" s="1060"/>
      <c r="I26" s="1006"/>
      <c r="J26" s="1060"/>
      <c r="K26" s="1006"/>
      <c r="L26" s="1060"/>
      <c r="M26" s="1006"/>
      <c r="N26" s="1061">
        <f t="shared" si="0"/>
        <v>0</v>
      </c>
      <c r="O26" s="1062"/>
      <c r="P26" s="1063"/>
      <c r="Q26" s="1060"/>
      <c r="R26" s="1006"/>
      <c r="S26" s="1060"/>
      <c r="T26" s="1006"/>
      <c r="U26" s="1060"/>
      <c r="V26" s="1006"/>
      <c r="W26" s="1060"/>
      <c r="X26" s="1006"/>
      <c r="Y26" s="1061">
        <f t="shared" si="1"/>
        <v>0</v>
      </c>
      <c r="Z26" s="1062"/>
      <c r="AA26" s="1064">
        <f t="shared" si="2"/>
        <v>0</v>
      </c>
      <c r="AB26" s="1065"/>
    </row>
    <row r="27" spans="1:28" outlineLevel="1">
      <c r="A27" s="1056" t="s">
        <v>480</v>
      </c>
      <c r="B27" s="999"/>
      <c r="C27" s="1066"/>
      <c r="D27" s="1067"/>
      <c r="E27" s="1059"/>
      <c r="F27" s="1060"/>
      <c r="G27" s="1004"/>
      <c r="H27" s="1060">
        <f>0.041*H6</f>
        <v>0</v>
      </c>
      <c r="I27" s="1006"/>
      <c r="J27" s="1060"/>
      <c r="K27" s="1006"/>
      <c r="L27" s="1060"/>
      <c r="M27" s="1006"/>
      <c r="N27" s="1061">
        <f t="shared" si="0"/>
        <v>0</v>
      </c>
      <c r="O27" s="1062"/>
      <c r="P27" s="1063"/>
      <c r="Q27" s="1060"/>
      <c r="R27" s="1006"/>
      <c r="S27" s="1060">
        <f>0.041*S6</f>
        <v>0</v>
      </c>
      <c r="T27" s="1006"/>
      <c r="U27" s="1060"/>
      <c r="V27" s="1006"/>
      <c r="W27" s="1060"/>
      <c r="X27" s="1006"/>
      <c r="Y27" s="1061">
        <f t="shared" si="1"/>
        <v>0</v>
      </c>
      <c r="Z27" s="1062"/>
      <c r="AA27" s="1064">
        <f t="shared" si="2"/>
        <v>0</v>
      </c>
      <c r="AB27" s="1065"/>
    </row>
    <row r="28" spans="1:28" outlineLevel="1">
      <c r="A28" s="1056" t="s">
        <v>481</v>
      </c>
      <c r="B28" s="999"/>
      <c r="C28" s="1066"/>
      <c r="D28" s="1067"/>
      <c r="E28" s="1059"/>
      <c r="F28" s="1060"/>
      <c r="G28" s="1004"/>
      <c r="H28" s="1060">
        <f>0.004*H6</f>
        <v>0</v>
      </c>
      <c r="I28" s="1006"/>
      <c r="J28" s="1060"/>
      <c r="K28" s="1006"/>
      <c r="L28" s="1060"/>
      <c r="M28" s="1006"/>
      <c r="N28" s="1061">
        <f t="shared" si="0"/>
        <v>0</v>
      </c>
      <c r="O28" s="1062"/>
      <c r="P28" s="1063"/>
      <c r="Q28" s="1060"/>
      <c r="R28" s="1006"/>
      <c r="S28" s="1060">
        <f>0.004*S6</f>
        <v>0</v>
      </c>
      <c r="T28" s="1006"/>
      <c r="U28" s="1060"/>
      <c r="V28" s="1006"/>
      <c r="W28" s="1060"/>
      <c r="X28" s="1006"/>
      <c r="Y28" s="1061">
        <f t="shared" si="1"/>
        <v>0</v>
      </c>
      <c r="Z28" s="1062"/>
      <c r="AA28" s="1064">
        <f t="shared" si="2"/>
        <v>0</v>
      </c>
      <c r="AB28" s="1065"/>
    </row>
    <row r="29" spans="1:28" outlineLevel="1">
      <c r="A29" s="1068"/>
      <c r="B29" s="1015"/>
      <c r="C29" s="1069"/>
      <c r="D29" s="1070"/>
      <c r="E29" s="1071"/>
      <c r="F29" s="1072"/>
      <c r="G29" s="1020"/>
      <c r="H29" s="1072"/>
      <c r="I29" s="1022"/>
      <c r="J29" s="1072"/>
      <c r="K29" s="1022"/>
      <c r="L29" s="1072"/>
      <c r="M29" s="1022"/>
      <c r="N29" s="1041"/>
      <c r="O29" s="981"/>
      <c r="P29" s="1042"/>
      <c r="Q29" s="1072"/>
      <c r="R29" s="1022"/>
      <c r="S29" s="1072"/>
      <c r="T29" s="1022"/>
      <c r="U29" s="1072"/>
      <c r="V29" s="1022"/>
      <c r="W29" s="1072"/>
      <c r="X29" s="1022"/>
      <c r="Y29" s="1041"/>
      <c r="Z29" s="981"/>
      <c r="AA29" s="1043"/>
      <c r="AB29" s="984"/>
    </row>
    <row r="30" spans="1:28" s="1087" customFormat="1">
      <c r="A30" s="1073" t="s">
        <v>485</v>
      </c>
      <c r="B30" s="1074"/>
      <c r="C30" s="1075" t="s">
        <v>486</v>
      </c>
      <c r="D30" s="1076" t="s">
        <v>487</v>
      </c>
      <c r="E30" s="1077"/>
      <c r="F30" s="1078">
        <f>SUM(F31:F33)</f>
        <v>39464000</v>
      </c>
      <c r="G30" s="1079">
        <f t="shared" ref="G30:G56" si="3">IF($F$6=0,0,F30/$F$6)</f>
        <v>98660</v>
      </c>
      <c r="H30" s="1078">
        <f>SUM(H31:H33)</f>
        <v>0</v>
      </c>
      <c r="I30" s="1081">
        <f t="shared" ref="I30:I56" si="4">IF($H$6=0,0,H30/$H$6)</f>
        <v>0</v>
      </c>
      <c r="J30" s="1078">
        <f>SUM(J31:J33)</f>
        <v>0</v>
      </c>
      <c r="K30" s="1081">
        <f t="shared" ref="K30:K56" si="5">IF($J$6=0,0,J30/$J$6)</f>
        <v>0</v>
      </c>
      <c r="L30" s="1080">
        <f>SUM(L31:L33)</f>
        <v>39464000</v>
      </c>
      <c r="M30" s="1081">
        <f t="shared" ref="M30:M56" si="6">IF($L$6=0,0,L30/$L$6)</f>
        <v>98660</v>
      </c>
      <c r="N30" s="1082">
        <f t="shared" ref="N30:N48" si="7">F30+H30+J30+L30</f>
        <v>78928000</v>
      </c>
      <c r="O30" s="1083">
        <f t="shared" ref="O30:O49" si="8">IF($N$6=0,0,N30/$N$6)</f>
        <v>98660</v>
      </c>
      <c r="P30" s="1084"/>
      <c r="Q30" s="1078">
        <f>SUM(Q31:Q33)</f>
        <v>0</v>
      </c>
      <c r="R30" s="1081">
        <f t="shared" ref="R30:R56" si="9">IF($Q$6=0,0,Q30/$Q$6)</f>
        <v>0</v>
      </c>
      <c r="S30" s="1078">
        <f>SUM(S31:S33)</f>
        <v>0</v>
      </c>
      <c r="T30" s="1081">
        <f t="shared" ref="T30:T56" si="10">IF($S$6=0,0,S30/$S$6)</f>
        <v>0</v>
      </c>
      <c r="U30" s="1078">
        <f>SUM(U31:U33)</f>
        <v>0</v>
      </c>
      <c r="V30" s="1081">
        <f t="shared" ref="V30:V56" si="11">IF($U$6=0,0,U30/$U$6)</f>
        <v>0</v>
      </c>
      <c r="W30" s="1080">
        <f>SUM(W31:W33)</f>
        <v>0</v>
      </c>
      <c r="X30" s="1081">
        <f t="shared" ref="X30:X56" si="12">IF($W$6=0,0,W30/$W$6)</f>
        <v>0</v>
      </c>
      <c r="Y30" s="1082">
        <f t="shared" ref="Y30:Y48" si="13">Q30+S30+U30+W30</f>
        <v>0</v>
      </c>
      <c r="Z30" s="1083">
        <f t="shared" ref="Z30:Z47" si="14">IF($Y$6=0,0,Y30/$Y$6)</f>
        <v>0</v>
      </c>
      <c r="AA30" s="1085">
        <f t="shared" ref="AA30:AA47" si="15">N30+Y30</f>
        <v>78928000</v>
      </c>
      <c r="AB30" s="1086">
        <f t="shared" ref="AB30:AB49" si="16">IF($AA$6=0,0,AA30/$AA$6)</f>
        <v>98660</v>
      </c>
    </row>
    <row r="31" spans="1:28" outlineLevel="1">
      <c r="A31" s="1088" t="s">
        <v>488</v>
      </c>
      <c r="B31" s="1089"/>
      <c r="C31" s="1090"/>
      <c r="D31" s="1091"/>
      <c r="E31" s="1092"/>
      <c r="F31" s="1093">
        <f>F6*F8</f>
        <v>38400000</v>
      </c>
      <c r="G31" s="1094">
        <f t="shared" si="3"/>
        <v>96000</v>
      </c>
      <c r="H31" s="1093">
        <f>H6*H8</f>
        <v>0</v>
      </c>
      <c r="I31" s="1096">
        <f t="shared" si="4"/>
        <v>0</v>
      </c>
      <c r="J31" s="1093">
        <f>J6*J8</f>
        <v>0</v>
      </c>
      <c r="K31" s="1096">
        <f t="shared" si="5"/>
        <v>0</v>
      </c>
      <c r="L31" s="1095">
        <f>L6*L8</f>
        <v>38400000</v>
      </c>
      <c r="M31" s="1096">
        <f t="shared" si="6"/>
        <v>96000</v>
      </c>
      <c r="N31" s="1097">
        <f t="shared" si="7"/>
        <v>76800000</v>
      </c>
      <c r="O31" s="1098">
        <f t="shared" si="8"/>
        <v>96000</v>
      </c>
      <c r="P31" s="1099"/>
      <c r="Q31" s="1093">
        <f>Q6*Q8</f>
        <v>0</v>
      </c>
      <c r="R31" s="1096">
        <f t="shared" si="9"/>
        <v>0</v>
      </c>
      <c r="S31" s="1093">
        <f>S6*S8</f>
        <v>0</v>
      </c>
      <c r="T31" s="1096">
        <f t="shared" si="10"/>
        <v>0</v>
      </c>
      <c r="U31" s="1093">
        <f>U6*U8</f>
        <v>0</v>
      </c>
      <c r="V31" s="1096">
        <f t="shared" si="11"/>
        <v>0</v>
      </c>
      <c r="W31" s="1095">
        <f>W6*W8</f>
        <v>0</v>
      </c>
      <c r="X31" s="1096">
        <f t="shared" si="12"/>
        <v>0</v>
      </c>
      <c r="Y31" s="1097">
        <f t="shared" si="13"/>
        <v>0</v>
      </c>
      <c r="Z31" s="1098">
        <f t="shared" si="14"/>
        <v>0</v>
      </c>
      <c r="AA31" s="1100">
        <f t="shared" si="15"/>
        <v>76800000</v>
      </c>
      <c r="AB31" s="1101">
        <f t="shared" si="16"/>
        <v>96000</v>
      </c>
    </row>
    <row r="32" spans="1:28" outlineLevel="1">
      <c r="A32" s="1088" t="s">
        <v>489</v>
      </c>
      <c r="B32" s="1089"/>
      <c r="C32" s="1102">
        <v>6.2E-2</v>
      </c>
      <c r="D32" s="1103">
        <v>40000</v>
      </c>
      <c r="E32" s="1092"/>
      <c r="F32" s="1093">
        <f>F6*$C32*$D32</f>
        <v>992000</v>
      </c>
      <c r="G32" s="1094">
        <f t="shared" si="3"/>
        <v>2480</v>
      </c>
      <c r="H32" s="1093">
        <f>H6*$C32*$D32</f>
        <v>0</v>
      </c>
      <c r="I32" s="1096">
        <f t="shared" si="4"/>
        <v>0</v>
      </c>
      <c r="J32" s="1093">
        <f>J6*$C32*$D32</f>
        <v>0</v>
      </c>
      <c r="K32" s="1096">
        <f t="shared" si="5"/>
        <v>0</v>
      </c>
      <c r="L32" s="1095">
        <f>L6*$C32*$D32</f>
        <v>992000</v>
      </c>
      <c r="M32" s="1096">
        <f t="shared" si="6"/>
        <v>2480</v>
      </c>
      <c r="N32" s="1097">
        <f t="shared" si="7"/>
        <v>1984000</v>
      </c>
      <c r="O32" s="1098">
        <f t="shared" si="8"/>
        <v>2480</v>
      </c>
      <c r="P32" s="1099"/>
      <c r="Q32" s="1093">
        <f>Q6*$C32*$D32</f>
        <v>0</v>
      </c>
      <c r="R32" s="1096">
        <f t="shared" si="9"/>
        <v>0</v>
      </c>
      <c r="S32" s="1093">
        <f>S6*$C32*$D32</f>
        <v>0</v>
      </c>
      <c r="T32" s="1096">
        <f t="shared" si="10"/>
        <v>0</v>
      </c>
      <c r="U32" s="1093">
        <f>U6*$C32*$D32</f>
        <v>0</v>
      </c>
      <c r="V32" s="1096">
        <f t="shared" si="11"/>
        <v>0</v>
      </c>
      <c r="W32" s="1095">
        <f>W6*$C32*$D32</f>
        <v>0</v>
      </c>
      <c r="X32" s="1096">
        <f t="shared" si="12"/>
        <v>0</v>
      </c>
      <c r="Y32" s="1097">
        <f t="shared" si="13"/>
        <v>0</v>
      </c>
      <c r="Z32" s="1098">
        <f t="shared" si="14"/>
        <v>0</v>
      </c>
      <c r="AA32" s="1100">
        <f t="shared" si="15"/>
        <v>1984000</v>
      </c>
      <c r="AB32" s="1101">
        <f t="shared" si="16"/>
        <v>2480</v>
      </c>
    </row>
    <row r="33" spans="1:28" outlineLevel="1">
      <c r="A33" s="1104" t="s">
        <v>320</v>
      </c>
      <c r="B33" s="1105"/>
      <c r="C33" s="1106">
        <v>0.03</v>
      </c>
      <c r="D33" s="1107">
        <v>6000</v>
      </c>
      <c r="E33" s="1108"/>
      <c r="F33" s="1109">
        <f>F6*$C33*$D33</f>
        <v>72000</v>
      </c>
      <c r="G33" s="1110">
        <f t="shared" si="3"/>
        <v>180</v>
      </c>
      <c r="H33" s="1109">
        <f>H6*$C33*$D33</f>
        <v>0</v>
      </c>
      <c r="I33" s="1112">
        <f t="shared" si="4"/>
        <v>0</v>
      </c>
      <c r="J33" s="1109">
        <f>J6*$C33*$D33</f>
        <v>0</v>
      </c>
      <c r="K33" s="1112">
        <f t="shared" si="5"/>
        <v>0</v>
      </c>
      <c r="L33" s="1111">
        <f>L6*$C33*$D33</f>
        <v>72000</v>
      </c>
      <c r="M33" s="1112">
        <f t="shared" si="6"/>
        <v>180</v>
      </c>
      <c r="N33" s="1113">
        <f t="shared" si="7"/>
        <v>144000</v>
      </c>
      <c r="O33" s="1114">
        <f t="shared" si="8"/>
        <v>180</v>
      </c>
      <c r="P33" s="1115"/>
      <c r="Q33" s="1109">
        <f>Q6*$C33*$D33</f>
        <v>0</v>
      </c>
      <c r="R33" s="1112">
        <f t="shared" si="9"/>
        <v>0</v>
      </c>
      <c r="S33" s="1109">
        <f>S6*$C33*$D33</f>
        <v>0</v>
      </c>
      <c r="T33" s="1112">
        <f t="shared" si="10"/>
        <v>0</v>
      </c>
      <c r="U33" s="1109">
        <f>U6*$C33*$D33</f>
        <v>0</v>
      </c>
      <c r="V33" s="1112">
        <f t="shared" si="11"/>
        <v>0</v>
      </c>
      <c r="W33" s="1111">
        <f>W6*$C33*$D33</f>
        <v>0</v>
      </c>
      <c r="X33" s="1112">
        <f t="shared" si="12"/>
        <v>0</v>
      </c>
      <c r="Y33" s="1113">
        <f t="shared" si="13"/>
        <v>0</v>
      </c>
      <c r="Z33" s="1114">
        <f t="shared" si="14"/>
        <v>0</v>
      </c>
      <c r="AA33" s="1116">
        <f t="shared" si="15"/>
        <v>144000</v>
      </c>
      <c r="AB33" s="1117">
        <f t="shared" si="16"/>
        <v>180</v>
      </c>
    </row>
    <row r="34" spans="1:28" s="1087" customFormat="1">
      <c r="A34" s="1118" t="s">
        <v>490</v>
      </c>
      <c r="B34" s="1119"/>
      <c r="C34" s="1120"/>
      <c r="D34" s="1121"/>
      <c r="E34" s="1122"/>
      <c r="F34" s="1123">
        <f>F35</f>
        <v>35092134.831460677</v>
      </c>
      <c r="G34" s="1124">
        <f t="shared" si="3"/>
        <v>87730.33707865169</v>
      </c>
      <c r="H34" s="1123">
        <f>H35</f>
        <v>0</v>
      </c>
      <c r="I34" s="1126">
        <f t="shared" si="4"/>
        <v>0</v>
      </c>
      <c r="J34" s="1123">
        <f>J35</f>
        <v>0</v>
      </c>
      <c r="K34" s="1126">
        <f t="shared" si="5"/>
        <v>0</v>
      </c>
      <c r="L34" s="1125">
        <f>L35</f>
        <v>35092134.831460677</v>
      </c>
      <c r="M34" s="1126">
        <f t="shared" si="6"/>
        <v>87730.33707865169</v>
      </c>
      <c r="N34" s="1127">
        <f t="shared" si="7"/>
        <v>70184269.662921354</v>
      </c>
      <c r="O34" s="1128">
        <f t="shared" si="8"/>
        <v>87730.33707865169</v>
      </c>
      <c r="P34" s="1084"/>
      <c r="Q34" s="1123">
        <f>Q35</f>
        <v>0</v>
      </c>
      <c r="R34" s="1126">
        <f t="shared" si="9"/>
        <v>0</v>
      </c>
      <c r="S34" s="1123">
        <f>S35</f>
        <v>0</v>
      </c>
      <c r="T34" s="1126">
        <f t="shared" si="10"/>
        <v>0</v>
      </c>
      <c r="U34" s="1123">
        <f>U35</f>
        <v>0</v>
      </c>
      <c r="V34" s="1126">
        <f t="shared" si="11"/>
        <v>0</v>
      </c>
      <c r="W34" s="1125">
        <f>W35</f>
        <v>0</v>
      </c>
      <c r="X34" s="1126">
        <f t="shared" si="12"/>
        <v>0</v>
      </c>
      <c r="Y34" s="1127">
        <f t="shared" si="13"/>
        <v>0</v>
      </c>
      <c r="Z34" s="1128">
        <f t="shared" si="14"/>
        <v>0</v>
      </c>
      <c r="AA34" s="1129">
        <f t="shared" si="15"/>
        <v>70184269.662921354</v>
      </c>
      <c r="AB34" s="1130">
        <f t="shared" si="16"/>
        <v>87730.33707865169</v>
      </c>
    </row>
    <row r="35" spans="1:28" s="1087" customFormat="1">
      <c r="A35" s="1131" t="s">
        <v>491</v>
      </c>
      <c r="B35" s="1132"/>
      <c r="C35" s="1133"/>
      <c r="D35" s="1134"/>
      <c r="E35" s="1135"/>
      <c r="F35" s="1136">
        <f>SUM(F36:F43)</f>
        <v>35092134.831460677</v>
      </c>
      <c r="G35" s="1137">
        <f t="shared" si="3"/>
        <v>87730.33707865169</v>
      </c>
      <c r="H35" s="1136">
        <f>SUM(H36:H43)</f>
        <v>0</v>
      </c>
      <c r="I35" s="1139">
        <f t="shared" si="4"/>
        <v>0</v>
      </c>
      <c r="J35" s="1136">
        <f>SUM(J36:J43)</f>
        <v>0</v>
      </c>
      <c r="K35" s="1139">
        <f t="shared" si="5"/>
        <v>0</v>
      </c>
      <c r="L35" s="1138">
        <f>SUM(L36:L43)</f>
        <v>35092134.831460677</v>
      </c>
      <c r="M35" s="1139">
        <f t="shared" si="6"/>
        <v>87730.33707865169</v>
      </c>
      <c r="N35" s="1140">
        <f t="shared" si="7"/>
        <v>70184269.662921354</v>
      </c>
      <c r="O35" s="1141">
        <f t="shared" si="8"/>
        <v>87730.33707865169</v>
      </c>
      <c r="P35" s="1142"/>
      <c r="Q35" s="1136">
        <f>SUM(Q36:Q43)</f>
        <v>0</v>
      </c>
      <c r="R35" s="1139">
        <f t="shared" si="9"/>
        <v>0</v>
      </c>
      <c r="S35" s="1136">
        <f>SUM(S36:S43)</f>
        <v>0</v>
      </c>
      <c r="T35" s="1139">
        <f t="shared" si="10"/>
        <v>0</v>
      </c>
      <c r="U35" s="1136">
        <f>SUM(U36:U43)</f>
        <v>0</v>
      </c>
      <c r="V35" s="1139">
        <f t="shared" si="11"/>
        <v>0</v>
      </c>
      <c r="W35" s="1138">
        <f>SUM(W36:W43)</f>
        <v>0</v>
      </c>
      <c r="X35" s="1139">
        <f t="shared" si="12"/>
        <v>0</v>
      </c>
      <c r="Y35" s="1140">
        <f t="shared" si="13"/>
        <v>0</v>
      </c>
      <c r="Z35" s="1141">
        <f t="shared" si="14"/>
        <v>0</v>
      </c>
      <c r="AA35" s="1143">
        <f t="shared" si="15"/>
        <v>70184269.662921354</v>
      </c>
      <c r="AB35" s="1144">
        <f t="shared" si="16"/>
        <v>87730.33707865169</v>
      </c>
    </row>
    <row r="36" spans="1:28" outlineLevel="1">
      <c r="A36" s="1056" t="s">
        <v>321</v>
      </c>
      <c r="B36" s="999"/>
      <c r="C36" s="1057"/>
      <c r="D36" s="1058"/>
      <c r="E36" s="1145"/>
      <c r="F36" s="1093">
        <f t="shared" ref="F36:F43" si="17">F10*F21</f>
        <v>21757123.595505621</v>
      </c>
      <c r="G36" s="1094">
        <f t="shared" si="3"/>
        <v>54392.808988764053</v>
      </c>
      <c r="H36" s="1093">
        <f t="shared" ref="H36:H43" si="18">H10*H21</f>
        <v>0</v>
      </c>
      <c r="I36" s="1096">
        <f t="shared" si="4"/>
        <v>0</v>
      </c>
      <c r="J36" s="1093">
        <f t="shared" ref="J36:J43" si="19">J10*J21</f>
        <v>0</v>
      </c>
      <c r="K36" s="1096">
        <f t="shared" si="5"/>
        <v>0</v>
      </c>
      <c r="L36" s="1095">
        <f t="shared" ref="L36:L43" si="20">L10*L21</f>
        <v>21757123.595505621</v>
      </c>
      <c r="M36" s="1096">
        <f t="shared" si="6"/>
        <v>54392.808988764053</v>
      </c>
      <c r="N36" s="1097">
        <f t="shared" si="7"/>
        <v>43514247.191011243</v>
      </c>
      <c r="O36" s="1098">
        <f t="shared" si="8"/>
        <v>54392.808988764053</v>
      </c>
      <c r="P36" s="1099"/>
      <c r="Q36" s="1093">
        <f t="shared" ref="Q36:Q43" si="21">Q10*Q21</f>
        <v>0</v>
      </c>
      <c r="R36" s="1096">
        <f t="shared" si="9"/>
        <v>0</v>
      </c>
      <c r="S36" s="1093">
        <f t="shared" ref="S36:S43" si="22">S10*S21</f>
        <v>0</v>
      </c>
      <c r="T36" s="1096">
        <f t="shared" si="10"/>
        <v>0</v>
      </c>
      <c r="U36" s="1093">
        <f t="shared" ref="U36:U43" si="23">U10*U21</f>
        <v>0</v>
      </c>
      <c r="V36" s="1096">
        <f t="shared" si="11"/>
        <v>0</v>
      </c>
      <c r="W36" s="1095">
        <f t="shared" ref="W36:W43" si="24">W10*W21</f>
        <v>0</v>
      </c>
      <c r="X36" s="1096">
        <f t="shared" si="12"/>
        <v>0</v>
      </c>
      <c r="Y36" s="1097">
        <f t="shared" si="13"/>
        <v>0</v>
      </c>
      <c r="Z36" s="1098">
        <f t="shared" si="14"/>
        <v>0</v>
      </c>
      <c r="AA36" s="1100">
        <f t="shared" si="15"/>
        <v>43514247.191011243</v>
      </c>
      <c r="AB36" s="1101">
        <f t="shared" si="16"/>
        <v>54392.808988764053</v>
      </c>
    </row>
    <row r="37" spans="1:28" outlineLevel="1">
      <c r="A37" s="1056" t="s">
        <v>475</v>
      </c>
      <c r="B37" s="999"/>
      <c r="C37" s="1057"/>
      <c r="D37" s="1058"/>
      <c r="E37" s="1145"/>
      <c r="F37" s="1093">
        <f t="shared" si="17"/>
        <v>13335011.235955058</v>
      </c>
      <c r="G37" s="1094">
        <f t="shared" si="3"/>
        <v>33337.528089887644</v>
      </c>
      <c r="H37" s="1093">
        <f t="shared" si="18"/>
        <v>0</v>
      </c>
      <c r="I37" s="1096">
        <f t="shared" si="4"/>
        <v>0</v>
      </c>
      <c r="J37" s="1093">
        <f t="shared" si="19"/>
        <v>0</v>
      </c>
      <c r="K37" s="1096">
        <f t="shared" si="5"/>
        <v>0</v>
      </c>
      <c r="L37" s="1095">
        <f t="shared" si="20"/>
        <v>13335011.235955058</v>
      </c>
      <c r="M37" s="1096">
        <f t="shared" si="6"/>
        <v>33337.528089887644</v>
      </c>
      <c r="N37" s="1097">
        <f t="shared" si="7"/>
        <v>26670022.471910115</v>
      </c>
      <c r="O37" s="1098">
        <f t="shared" si="8"/>
        <v>33337.528089887644</v>
      </c>
      <c r="P37" s="1099"/>
      <c r="Q37" s="1093">
        <f t="shared" si="21"/>
        <v>0</v>
      </c>
      <c r="R37" s="1096">
        <f t="shared" si="9"/>
        <v>0</v>
      </c>
      <c r="S37" s="1093">
        <f t="shared" si="22"/>
        <v>0</v>
      </c>
      <c r="T37" s="1096">
        <f t="shared" si="10"/>
        <v>0</v>
      </c>
      <c r="U37" s="1093">
        <f t="shared" si="23"/>
        <v>0</v>
      </c>
      <c r="V37" s="1096">
        <f t="shared" si="11"/>
        <v>0</v>
      </c>
      <c r="W37" s="1095">
        <f t="shared" si="24"/>
        <v>0</v>
      </c>
      <c r="X37" s="1096">
        <f t="shared" si="12"/>
        <v>0</v>
      </c>
      <c r="Y37" s="1097">
        <f t="shared" si="13"/>
        <v>0</v>
      </c>
      <c r="Z37" s="1098">
        <f t="shared" si="14"/>
        <v>0</v>
      </c>
      <c r="AA37" s="1100">
        <f t="shared" si="15"/>
        <v>26670022.471910115</v>
      </c>
      <c r="AB37" s="1101">
        <f t="shared" si="16"/>
        <v>33337.528089887644</v>
      </c>
    </row>
    <row r="38" spans="1:28" outlineLevel="2">
      <c r="A38" s="1056" t="s">
        <v>476</v>
      </c>
      <c r="B38" s="999"/>
      <c r="C38" s="1057"/>
      <c r="D38" s="1058"/>
      <c r="E38" s="1145"/>
      <c r="F38" s="1093">
        <f t="shared" si="17"/>
        <v>0</v>
      </c>
      <c r="G38" s="1094">
        <f t="shared" si="3"/>
        <v>0</v>
      </c>
      <c r="H38" s="1093">
        <f t="shared" si="18"/>
        <v>0</v>
      </c>
      <c r="I38" s="1096">
        <f t="shared" si="4"/>
        <v>0</v>
      </c>
      <c r="J38" s="1093">
        <f t="shared" si="19"/>
        <v>0</v>
      </c>
      <c r="K38" s="1096">
        <f t="shared" si="5"/>
        <v>0</v>
      </c>
      <c r="L38" s="1095">
        <f t="shared" si="20"/>
        <v>0</v>
      </c>
      <c r="M38" s="1096">
        <f t="shared" si="6"/>
        <v>0</v>
      </c>
      <c r="N38" s="1097">
        <f t="shared" si="7"/>
        <v>0</v>
      </c>
      <c r="O38" s="1098">
        <f t="shared" si="8"/>
        <v>0</v>
      </c>
      <c r="P38" s="1099"/>
      <c r="Q38" s="1093">
        <f t="shared" si="21"/>
        <v>0</v>
      </c>
      <c r="R38" s="1096">
        <f t="shared" si="9"/>
        <v>0</v>
      </c>
      <c r="S38" s="1093">
        <f t="shared" si="22"/>
        <v>0</v>
      </c>
      <c r="T38" s="1096">
        <f t="shared" si="10"/>
        <v>0</v>
      </c>
      <c r="U38" s="1093">
        <f t="shared" si="23"/>
        <v>0</v>
      </c>
      <c r="V38" s="1096">
        <f t="shared" si="11"/>
        <v>0</v>
      </c>
      <c r="W38" s="1095">
        <f t="shared" si="24"/>
        <v>0</v>
      </c>
      <c r="X38" s="1096">
        <f t="shared" si="12"/>
        <v>0</v>
      </c>
      <c r="Y38" s="1097">
        <f t="shared" si="13"/>
        <v>0</v>
      </c>
      <c r="Z38" s="1098">
        <f t="shared" si="14"/>
        <v>0</v>
      </c>
      <c r="AA38" s="1100">
        <f t="shared" si="15"/>
        <v>0</v>
      </c>
      <c r="AB38" s="1101">
        <f t="shared" si="16"/>
        <v>0</v>
      </c>
    </row>
    <row r="39" spans="1:28" outlineLevel="2">
      <c r="A39" s="1056" t="s">
        <v>477</v>
      </c>
      <c r="B39" s="999"/>
      <c r="C39" s="1057"/>
      <c r="D39" s="1058"/>
      <c r="E39" s="1145"/>
      <c r="F39" s="1093">
        <f t="shared" si="17"/>
        <v>0</v>
      </c>
      <c r="G39" s="1094">
        <f t="shared" si="3"/>
        <v>0</v>
      </c>
      <c r="H39" s="1093">
        <f t="shared" si="18"/>
        <v>0</v>
      </c>
      <c r="I39" s="1096">
        <f t="shared" si="4"/>
        <v>0</v>
      </c>
      <c r="J39" s="1093">
        <f t="shared" si="19"/>
        <v>0</v>
      </c>
      <c r="K39" s="1096">
        <f t="shared" si="5"/>
        <v>0</v>
      </c>
      <c r="L39" s="1095">
        <f t="shared" si="20"/>
        <v>0</v>
      </c>
      <c r="M39" s="1096">
        <f t="shared" si="6"/>
        <v>0</v>
      </c>
      <c r="N39" s="1097">
        <f t="shared" si="7"/>
        <v>0</v>
      </c>
      <c r="O39" s="1098">
        <f t="shared" si="8"/>
        <v>0</v>
      </c>
      <c r="P39" s="1099"/>
      <c r="Q39" s="1093">
        <f t="shared" si="21"/>
        <v>0</v>
      </c>
      <c r="R39" s="1096">
        <f t="shared" si="9"/>
        <v>0</v>
      </c>
      <c r="S39" s="1093">
        <f t="shared" si="22"/>
        <v>0</v>
      </c>
      <c r="T39" s="1096">
        <f t="shared" si="10"/>
        <v>0</v>
      </c>
      <c r="U39" s="1093">
        <f t="shared" si="23"/>
        <v>0</v>
      </c>
      <c r="V39" s="1096">
        <f t="shared" si="11"/>
        <v>0</v>
      </c>
      <c r="W39" s="1095">
        <f t="shared" si="24"/>
        <v>0</v>
      </c>
      <c r="X39" s="1096">
        <f t="shared" si="12"/>
        <v>0</v>
      </c>
      <c r="Y39" s="1097">
        <f t="shared" si="13"/>
        <v>0</v>
      </c>
      <c r="Z39" s="1098">
        <f t="shared" si="14"/>
        <v>0</v>
      </c>
      <c r="AA39" s="1100">
        <f t="shared" si="15"/>
        <v>0</v>
      </c>
      <c r="AB39" s="1101">
        <f t="shared" si="16"/>
        <v>0</v>
      </c>
    </row>
    <row r="40" spans="1:28" outlineLevel="2">
      <c r="A40" s="1056" t="s">
        <v>478</v>
      </c>
      <c r="B40" s="999"/>
      <c r="C40" s="1057"/>
      <c r="D40" s="1058"/>
      <c r="E40" s="1145"/>
      <c r="F40" s="1093">
        <f t="shared" si="17"/>
        <v>0</v>
      </c>
      <c r="G40" s="1094">
        <f t="shared" si="3"/>
        <v>0</v>
      </c>
      <c r="H40" s="1093">
        <f t="shared" si="18"/>
        <v>0</v>
      </c>
      <c r="I40" s="1096">
        <f t="shared" si="4"/>
        <v>0</v>
      </c>
      <c r="J40" s="1093">
        <f t="shared" si="19"/>
        <v>0</v>
      </c>
      <c r="K40" s="1096">
        <f t="shared" si="5"/>
        <v>0</v>
      </c>
      <c r="L40" s="1095">
        <f t="shared" si="20"/>
        <v>0</v>
      </c>
      <c r="M40" s="1096">
        <f t="shared" si="6"/>
        <v>0</v>
      </c>
      <c r="N40" s="1097">
        <f t="shared" si="7"/>
        <v>0</v>
      </c>
      <c r="O40" s="1098">
        <f t="shared" si="8"/>
        <v>0</v>
      </c>
      <c r="P40" s="1099"/>
      <c r="Q40" s="1093">
        <f t="shared" si="21"/>
        <v>0</v>
      </c>
      <c r="R40" s="1096">
        <f t="shared" si="9"/>
        <v>0</v>
      </c>
      <c r="S40" s="1093">
        <f t="shared" si="22"/>
        <v>0</v>
      </c>
      <c r="T40" s="1096">
        <f t="shared" si="10"/>
        <v>0</v>
      </c>
      <c r="U40" s="1093">
        <f t="shared" si="23"/>
        <v>0</v>
      </c>
      <c r="V40" s="1096">
        <f t="shared" si="11"/>
        <v>0</v>
      </c>
      <c r="W40" s="1095">
        <f t="shared" si="24"/>
        <v>0</v>
      </c>
      <c r="X40" s="1096">
        <f t="shared" si="12"/>
        <v>0</v>
      </c>
      <c r="Y40" s="1097">
        <f t="shared" si="13"/>
        <v>0</v>
      </c>
      <c r="Z40" s="1098">
        <f t="shared" si="14"/>
        <v>0</v>
      </c>
      <c r="AA40" s="1100">
        <f t="shared" si="15"/>
        <v>0</v>
      </c>
      <c r="AB40" s="1101">
        <f t="shared" si="16"/>
        <v>0</v>
      </c>
    </row>
    <row r="41" spans="1:28" outlineLevel="2">
      <c r="A41" s="1056" t="s">
        <v>479</v>
      </c>
      <c r="B41" s="999"/>
      <c r="C41" s="1057"/>
      <c r="D41" s="1058"/>
      <c r="E41" s="1145"/>
      <c r="F41" s="1093">
        <f t="shared" si="17"/>
        <v>0</v>
      </c>
      <c r="G41" s="1094">
        <f t="shared" si="3"/>
        <v>0</v>
      </c>
      <c r="H41" s="1093">
        <f t="shared" si="18"/>
        <v>0</v>
      </c>
      <c r="I41" s="1096">
        <f t="shared" si="4"/>
        <v>0</v>
      </c>
      <c r="J41" s="1093">
        <f t="shared" si="19"/>
        <v>0</v>
      </c>
      <c r="K41" s="1096">
        <f t="shared" si="5"/>
        <v>0</v>
      </c>
      <c r="L41" s="1095">
        <f t="shared" si="20"/>
        <v>0</v>
      </c>
      <c r="M41" s="1096">
        <f t="shared" si="6"/>
        <v>0</v>
      </c>
      <c r="N41" s="1097">
        <f t="shared" si="7"/>
        <v>0</v>
      </c>
      <c r="O41" s="1098">
        <f t="shared" si="8"/>
        <v>0</v>
      </c>
      <c r="P41" s="1099"/>
      <c r="Q41" s="1093">
        <f t="shared" si="21"/>
        <v>0</v>
      </c>
      <c r="R41" s="1096">
        <f t="shared" si="9"/>
        <v>0</v>
      </c>
      <c r="S41" s="1093">
        <f t="shared" si="22"/>
        <v>0</v>
      </c>
      <c r="T41" s="1096">
        <f t="shared" si="10"/>
        <v>0</v>
      </c>
      <c r="U41" s="1093">
        <f t="shared" si="23"/>
        <v>0</v>
      </c>
      <c r="V41" s="1096">
        <f t="shared" si="11"/>
        <v>0</v>
      </c>
      <c r="W41" s="1095">
        <f t="shared" si="24"/>
        <v>0</v>
      </c>
      <c r="X41" s="1096">
        <f t="shared" si="12"/>
        <v>0</v>
      </c>
      <c r="Y41" s="1097">
        <f t="shared" si="13"/>
        <v>0</v>
      </c>
      <c r="Z41" s="1098">
        <f t="shared" si="14"/>
        <v>0</v>
      </c>
      <c r="AA41" s="1100">
        <f t="shared" si="15"/>
        <v>0</v>
      </c>
      <c r="AB41" s="1101">
        <f t="shared" si="16"/>
        <v>0</v>
      </c>
    </row>
    <row r="42" spans="1:28" outlineLevel="1">
      <c r="A42" s="1056" t="s">
        <v>480</v>
      </c>
      <c r="B42" s="999"/>
      <c r="C42" s="1057"/>
      <c r="D42" s="1058"/>
      <c r="E42" s="1145"/>
      <c r="F42" s="1093">
        <f t="shared" si="17"/>
        <v>0</v>
      </c>
      <c r="G42" s="1094">
        <f t="shared" si="3"/>
        <v>0</v>
      </c>
      <c r="H42" s="1093">
        <f t="shared" si="18"/>
        <v>0</v>
      </c>
      <c r="I42" s="1096">
        <f t="shared" si="4"/>
        <v>0</v>
      </c>
      <c r="J42" s="1093">
        <f t="shared" si="19"/>
        <v>0</v>
      </c>
      <c r="K42" s="1096">
        <f t="shared" si="5"/>
        <v>0</v>
      </c>
      <c r="L42" s="1095">
        <f t="shared" si="20"/>
        <v>0</v>
      </c>
      <c r="M42" s="1096">
        <f t="shared" si="6"/>
        <v>0</v>
      </c>
      <c r="N42" s="1097">
        <f t="shared" si="7"/>
        <v>0</v>
      </c>
      <c r="O42" s="1098">
        <f t="shared" si="8"/>
        <v>0</v>
      </c>
      <c r="P42" s="1099"/>
      <c r="Q42" s="1093">
        <f t="shared" si="21"/>
        <v>0</v>
      </c>
      <c r="R42" s="1096">
        <f t="shared" si="9"/>
        <v>0</v>
      </c>
      <c r="S42" s="1093">
        <f t="shared" si="22"/>
        <v>0</v>
      </c>
      <c r="T42" s="1096">
        <f t="shared" si="10"/>
        <v>0</v>
      </c>
      <c r="U42" s="1093">
        <f t="shared" si="23"/>
        <v>0</v>
      </c>
      <c r="V42" s="1096">
        <f t="shared" si="11"/>
        <v>0</v>
      </c>
      <c r="W42" s="1095">
        <f t="shared" si="24"/>
        <v>0</v>
      </c>
      <c r="X42" s="1096">
        <f t="shared" si="12"/>
        <v>0</v>
      </c>
      <c r="Y42" s="1097">
        <f t="shared" si="13"/>
        <v>0</v>
      </c>
      <c r="Z42" s="1098">
        <f t="shared" si="14"/>
        <v>0</v>
      </c>
      <c r="AA42" s="1100">
        <f t="shared" si="15"/>
        <v>0</v>
      </c>
      <c r="AB42" s="1101">
        <f t="shared" si="16"/>
        <v>0</v>
      </c>
    </row>
    <row r="43" spans="1:28" outlineLevel="1">
      <c r="A43" s="1056" t="s">
        <v>481</v>
      </c>
      <c r="B43" s="999"/>
      <c r="C43" s="1057"/>
      <c r="D43" s="1058"/>
      <c r="E43" s="1145"/>
      <c r="F43" s="1093">
        <f t="shared" si="17"/>
        <v>0</v>
      </c>
      <c r="G43" s="1094">
        <f t="shared" si="3"/>
        <v>0</v>
      </c>
      <c r="H43" s="1093">
        <f t="shared" si="18"/>
        <v>0</v>
      </c>
      <c r="I43" s="1096">
        <f t="shared" si="4"/>
        <v>0</v>
      </c>
      <c r="J43" s="1093">
        <f t="shared" si="19"/>
        <v>0</v>
      </c>
      <c r="K43" s="1096">
        <f t="shared" si="5"/>
        <v>0</v>
      </c>
      <c r="L43" s="1095">
        <f t="shared" si="20"/>
        <v>0</v>
      </c>
      <c r="M43" s="1096">
        <f t="shared" si="6"/>
        <v>0</v>
      </c>
      <c r="N43" s="1097">
        <f t="shared" si="7"/>
        <v>0</v>
      </c>
      <c r="O43" s="1098">
        <f t="shared" si="8"/>
        <v>0</v>
      </c>
      <c r="P43" s="1099"/>
      <c r="Q43" s="1093">
        <f t="shared" si="21"/>
        <v>0</v>
      </c>
      <c r="R43" s="1096">
        <f t="shared" si="9"/>
        <v>0</v>
      </c>
      <c r="S43" s="1093">
        <f t="shared" si="22"/>
        <v>0</v>
      </c>
      <c r="T43" s="1096">
        <f t="shared" si="10"/>
        <v>0</v>
      </c>
      <c r="U43" s="1093">
        <f t="shared" si="23"/>
        <v>0</v>
      </c>
      <c r="V43" s="1096">
        <f t="shared" si="11"/>
        <v>0</v>
      </c>
      <c r="W43" s="1095">
        <f t="shared" si="24"/>
        <v>0</v>
      </c>
      <c r="X43" s="1096">
        <f t="shared" si="12"/>
        <v>0</v>
      </c>
      <c r="Y43" s="1097">
        <f t="shared" si="13"/>
        <v>0</v>
      </c>
      <c r="Z43" s="1098">
        <f t="shared" si="14"/>
        <v>0</v>
      </c>
      <c r="AA43" s="1100">
        <f t="shared" si="15"/>
        <v>0</v>
      </c>
      <c r="AB43" s="1101">
        <f t="shared" si="16"/>
        <v>0</v>
      </c>
    </row>
    <row r="44" spans="1:28" s="1087" customFormat="1">
      <c r="A44" s="1146" t="s">
        <v>492</v>
      </c>
      <c r="B44" s="1147"/>
      <c r="C44" s="1148"/>
      <c r="D44" s="1149"/>
      <c r="E44" s="1150"/>
      <c r="F44" s="1151">
        <f>F30-F34</f>
        <v>4371865.1685393229</v>
      </c>
      <c r="G44" s="1152">
        <f t="shared" si="3"/>
        <v>10929.662921348307</v>
      </c>
      <c r="H44" s="1158">
        <f>H30-H34</f>
        <v>0</v>
      </c>
      <c r="I44" s="1154">
        <f t="shared" si="4"/>
        <v>0</v>
      </c>
      <c r="J44" s="1158">
        <f>J30-J34</f>
        <v>0</v>
      </c>
      <c r="K44" s="1154">
        <f t="shared" si="5"/>
        <v>0</v>
      </c>
      <c r="L44" s="1153">
        <f>L30-L34</f>
        <v>4371865.1685393229</v>
      </c>
      <c r="M44" s="1154">
        <f t="shared" si="6"/>
        <v>10929.662921348307</v>
      </c>
      <c r="N44" s="1155">
        <f t="shared" si="7"/>
        <v>8743730.3370786458</v>
      </c>
      <c r="O44" s="1156">
        <f t="shared" si="8"/>
        <v>10929.662921348307</v>
      </c>
      <c r="P44" s="1157"/>
      <c r="Q44" s="1158">
        <f>Q30-Q34</f>
        <v>0</v>
      </c>
      <c r="R44" s="1154">
        <f t="shared" si="9"/>
        <v>0</v>
      </c>
      <c r="S44" s="1158">
        <f>S30-S34</f>
        <v>0</v>
      </c>
      <c r="T44" s="1154">
        <f t="shared" si="10"/>
        <v>0</v>
      </c>
      <c r="U44" s="1158">
        <f>U30-U34</f>
        <v>0</v>
      </c>
      <c r="V44" s="1154">
        <f t="shared" si="11"/>
        <v>0</v>
      </c>
      <c r="W44" s="1153">
        <f>W30-W34</f>
        <v>0</v>
      </c>
      <c r="X44" s="1154">
        <f t="shared" si="12"/>
        <v>0</v>
      </c>
      <c r="Y44" s="1155">
        <f t="shared" si="13"/>
        <v>0</v>
      </c>
      <c r="Z44" s="1156">
        <f t="shared" si="14"/>
        <v>0</v>
      </c>
      <c r="AA44" s="1159">
        <f t="shared" si="15"/>
        <v>8743730.3370786458</v>
      </c>
      <c r="AB44" s="1160">
        <f t="shared" si="16"/>
        <v>10929.662921348307</v>
      </c>
    </row>
    <row r="45" spans="1:28" s="1087" customFormat="1">
      <c r="A45" s="1118" t="s">
        <v>493</v>
      </c>
      <c r="B45" s="1119"/>
      <c r="C45" s="1120"/>
      <c r="D45" s="1121"/>
      <c r="E45" s="1122"/>
      <c r="F45" s="1123">
        <f>F46+F54</f>
        <v>1081503.7037037038</v>
      </c>
      <c r="G45" s="1161">
        <f t="shared" si="3"/>
        <v>2703.7592592592596</v>
      </c>
      <c r="H45" s="1123">
        <f>H46+H54</f>
        <v>0</v>
      </c>
      <c r="I45" s="1126">
        <f t="shared" si="4"/>
        <v>0</v>
      </c>
      <c r="J45" s="1123">
        <f>J46+J54</f>
        <v>0</v>
      </c>
      <c r="K45" s="1126">
        <f t="shared" si="5"/>
        <v>0</v>
      </c>
      <c r="L45" s="1125">
        <f>L46+L54</f>
        <v>1800303.7037037038</v>
      </c>
      <c r="M45" s="1126">
        <f t="shared" si="6"/>
        <v>4500.7592592592591</v>
      </c>
      <c r="N45" s="1127">
        <f t="shared" si="7"/>
        <v>2881807.4074074076</v>
      </c>
      <c r="O45" s="1128">
        <f t="shared" si="8"/>
        <v>3602.2592592592596</v>
      </c>
      <c r="P45" s="1084"/>
      <c r="Q45" s="1123">
        <f>Q46+Q54</f>
        <v>0</v>
      </c>
      <c r="R45" s="1126">
        <f t="shared" si="9"/>
        <v>0</v>
      </c>
      <c r="S45" s="1123">
        <f>S46+S54</f>
        <v>0</v>
      </c>
      <c r="T45" s="1126">
        <f t="shared" si="10"/>
        <v>0</v>
      </c>
      <c r="U45" s="1123">
        <f>U46+U54</f>
        <v>0</v>
      </c>
      <c r="V45" s="1126">
        <f t="shared" si="11"/>
        <v>0</v>
      </c>
      <c r="W45" s="1125">
        <f>W46+W54</f>
        <v>0</v>
      </c>
      <c r="X45" s="1126">
        <f t="shared" si="12"/>
        <v>0</v>
      </c>
      <c r="Y45" s="1127">
        <f t="shared" si="13"/>
        <v>0</v>
      </c>
      <c r="Z45" s="1128">
        <f t="shared" si="14"/>
        <v>0</v>
      </c>
      <c r="AA45" s="1129">
        <f t="shared" si="15"/>
        <v>2881807.4074074076</v>
      </c>
      <c r="AB45" s="1130">
        <f t="shared" si="16"/>
        <v>3602.2592592592596</v>
      </c>
    </row>
    <row r="46" spans="1:28" s="1087" customFormat="1" outlineLevel="1">
      <c r="A46" s="1162" t="s">
        <v>494</v>
      </c>
      <c r="B46" s="1163"/>
      <c r="C46" s="1164" t="s">
        <v>495</v>
      </c>
      <c r="D46" s="1165" t="s">
        <v>496</v>
      </c>
      <c r="E46" s="1135"/>
      <c r="F46" s="1136">
        <f>F47+F51</f>
        <v>497800</v>
      </c>
      <c r="G46" s="1166">
        <f t="shared" si="3"/>
        <v>1244.5</v>
      </c>
      <c r="H46" s="1136">
        <f>H47+H51</f>
        <v>0</v>
      </c>
      <c r="I46" s="1139">
        <f t="shared" si="4"/>
        <v>0</v>
      </c>
      <c r="J46" s="1136">
        <f>J47+J51</f>
        <v>0</v>
      </c>
      <c r="K46" s="1139">
        <f t="shared" si="5"/>
        <v>0</v>
      </c>
      <c r="L46" s="1138">
        <f>L47+L51</f>
        <v>563800</v>
      </c>
      <c r="M46" s="1139">
        <f t="shared" si="6"/>
        <v>1409.5</v>
      </c>
      <c r="N46" s="1167">
        <f t="shared" si="7"/>
        <v>1061600</v>
      </c>
      <c r="O46" s="1168">
        <f t="shared" si="8"/>
        <v>1327</v>
      </c>
      <c r="P46" s="1169"/>
      <c r="Q46" s="1136">
        <f>Q47+Q51</f>
        <v>0</v>
      </c>
      <c r="R46" s="1139">
        <f t="shared" si="9"/>
        <v>0</v>
      </c>
      <c r="S46" s="1136">
        <f>S47+S51</f>
        <v>0</v>
      </c>
      <c r="T46" s="1139">
        <f t="shared" si="10"/>
        <v>0</v>
      </c>
      <c r="U46" s="1136">
        <f>U47+U51</f>
        <v>0</v>
      </c>
      <c r="V46" s="1139">
        <f t="shared" si="11"/>
        <v>0</v>
      </c>
      <c r="W46" s="1138">
        <f>W47+W51</f>
        <v>0</v>
      </c>
      <c r="X46" s="1139">
        <f t="shared" si="12"/>
        <v>0</v>
      </c>
      <c r="Y46" s="1167">
        <f t="shared" si="13"/>
        <v>0</v>
      </c>
      <c r="Z46" s="1168">
        <f t="shared" si="14"/>
        <v>0</v>
      </c>
      <c r="AA46" s="1170">
        <f t="shared" si="15"/>
        <v>1061600</v>
      </c>
      <c r="AB46" s="1171">
        <f t="shared" si="16"/>
        <v>1327</v>
      </c>
    </row>
    <row r="47" spans="1:28" outlineLevel="1">
      <c r="A47" s="1172" t="s">
        <v>497</v>
      </c>
      <c r="B47" s="1173"/>
      <c r="C47" s="1174"/>
      <c r="D47" s="1175"/>
      <c r="E47" s="1176"/>
      <c r="F47" s="1177">
        <f>SUM(F48:F50)</f>
        <v>352000</v>
      </c>
      <c r="G47" s="1178">
        <f t="shared" si="3"/>
        <v>880</v>
      </c>
      <c r="H47" s="1177">
        <f>SUM(H48:H50)</f>
        <v>0</v>
      </c>
      <c r="I47" s="1180">
        <f t="shared" si="4"/>
        <v>0</v>
      </c>
      <c r="J47" s="1177">
        <f>SUM(J48:J50)</f>
        <v>0</v>
      </c>
      <c r="K47" s="1180">
        <f t="shared" si="5"/>
        <v>0</v>
      </c>
      <c r="L47" s="1179">
        <f>SUM(L48:L50)</f>
        <v>418000</v>
      </c>
      <c r="M47" s="1180">
        <f t="shared" si="6"/>
        <v>1045</v>
      </c>
      <c r="N47" s="1181">
        <f t="shared" si="7"/>
        <v>770000</v>
      </c>
      <c r="O47" s="1098">
        <f t="shared" si="8"/>
        <v>962.5</v>
      </c>
      <c r="P47" s="1099"/>
      <c r="Q47" s="1177">
        <f>SUM(Q48:Q50)</f>
        <v>0</v>
      </c>
      <c r="R47" s="1180">
        <f t="shared" si="9"/>
        <v>0</v>
      </c>
      <c r="S47" s="1177">
        <f>SUM(S48:S50)</f>
        <v>0</v>
      </c>
      <c r="T47" s="1180">
        <f t="shared" si="10"/>
        <v>0</v>
      </c>
      <c r="U47" s="1177">
        <f>SUM(U48:U50)</f>
        <v>0</v>
      </c>
      <c r="V47" s="1180">
        <f t="shared" si="11"/>
        <v>0</v>
      </c>
      <c r="W47" s="1179">
        <f>SUM(W48:W50)</f>
        <v>0</v>
      </c>
      <c r="X47" s="1180">
        <f t="shared" si="12"/>
        <v>0</v>
      </c>
      <c r="Y47" s="1181">
        <f t="shared" si="13"/>
        <v>0</v>
      </c>
      <c r="Z47" s="1098">
        <f t="shared" si="14"/>
        <v>0</v>
      </c>
      <c r="AA47" s="1182">
        <f t="shared" si="15"/>
        <v>770000</v>
      </c>
      <c r="AB47" s="1101">
        <f t="shared" si="16"/>
        <v>962.5</v>
      </c>
    </row>
    <row r="48" spans="1:28" outlineLevel="2">
      <c r="A48" s="1183" t="s">
        <v>498</v>
      </c>
      <c r="B48" s="1184"/>
      <c r="C48" s="1057">
        <v>950</v>
      </c>
      <c r="D48" s="1058">
        <v>800</v>
      </c>
      <c r="E48" s="1185"/>
      <c r="F48" s="1186">
        <f>IF(F$6=0,0,F6*$D$48)</f>
        <v>320000</v>
      </c>
      <c r="G48" s="1187">
        <f t="shared" si="3"/>
        <v>800</v>
      </c>
      <c r="H48" s="1186">
        <f>IF(H$6=0,0,H6*$C$48)</f>
        <v>0</v>
      </c>
      <c r="I48" s="1096">
        <f t="shared" si="4"/>
        <v>0</v>
      </c>
      <c r="J48" s="1186">
        <f>IF(J$6=0,0,J6*$C$48)</f>
        <v>0</v>
      </c>
      <c r="K48" s="1096">
        <f t="shared" si="5"/>
        <v>0</v>
      </c>
      <c r="L48" s="1188">
        <f>IF(L$6=0,0,L6*$C$48)</f>
        <v>380000</v>
      </c>
      <c r="M48" s="1096">
        <f t="shared" si="6"/>
        <v>950</v>
      </c>
      <c r="N48" s="1189">
        <f t="shared" si="7"/>
        <v>700000</v>
      </c>
      <c r="O48" s="1098">
        <f t="shared" si="8"/>
        <v>875</v>
      </c>
      <c r="P48" s="1099"/>
      <c r="Q48" s="1186"/>
      <c r="R48" s="1096">
        <f t="shared" si="9"/>
        <v>0</v>
      </c>
      <c r="S48" s="1186"/>
      <c r="T48" s="1096">
        <f t="shared" si="10"/>
        <v>0</v>
      </c>
      <c r="U48" s="1186"/>
      <c r="V48" s="1096">
        <f t="shared" si="11"/>
        <v>0</v>
      </c>
      <c r="W48" s="1188"/>
      <c r="X48" s="1096">
        <f t="shared" si="12"/>
        <v>0</v>
      </c>
      <c r="Y48" s="1189">
        <f t="shared" si="13"/>
        <v>0</v>
      </c>
      <c r="Z48" s="1098"/>
      <c r="AA48" s="1182"/>
      <c r="AB48" s="1101">
        <f t="shared" si="16"/>
        <v>0</v>
      </c>
    </row>
    <row r="49" spans="1:28" outlineLevel="2">
      <c r="A49" s="1183" t="s">
        <v>499</v>
      </c>
      <c r="B49" s="1184"/>
      <c r="C49" s="1057">
        <v>950</v>
      </c>
      <c r="D49" s="1058">
        <v>800</v>
      </c>
      <c r="E49" s="1185"/>
      <c r="F49" s="1186"/>
      <c r="G49" s="1187">
        <f t="shared" si="3"/>
        <v>0</v>
      </c>
      <c r="H49" s="1186"/>
      <c r="I49" s="1096">
        <f t="shared" si="4"/>
        <v>0</v>
      </c>
      <c r="J49" s="1186"/>
      <c r="K49" s="1096">
        <f t="shared" si="5"/>
        <v>0</v>
      </c>
      <c r="L49" s="1188"/>
      <c r="M49" s="1096">
        <f t="shared" si="6"/>
        <v>0</v>
      </c>
      <c r="N49" s="1189"/>
      <c r="O49" s="1098">
        <f t="shared" si="8"/>
        <v>0</v>
      </c>
      <c r="P49" s="1099"/>
      <c r="Q49" s="1186">
        <f>IF(Q$6=0,0,Q6*$D$49)</f>
        <v>0</v>
      </c>
      <c r="R49" s="1096">
        <f t="shared" si="9"/>
        <v>0</v>
      </c>
      <c r="S49" s="1186">
        <f>IF(S$6=0,0,S6*$C$49)</f>
        <v>0</v>
      </c>
      <c r="T49" s="1096">
        <f t="shared" si="10"/>
        <v>0</v>
      </c>
      <c r="U49" s="1186">
        <f>IF(U$6=0,0,U6*$C$49)</f>
        <v>0</v>
      </c>
      <c r="V49" s="1096">
        <f t="shared" si="11"/>
        <v>0</v>
      </c>
      <c r="W49" s="1188">
        <f>IF(W$6=0,0,W6*$C$49)</f>
        <v>0</v>
      </c>
      <c r="X49" s="1096">
        <f t="shared" si="12"/>
        <v>0</v>
      </c>
      <c r="Y49" s="1189"/>
      <c r="Z49" s="1098"/>
      <c r="AA49" s="1182"/>
      <c r="AB49" s="1101">
        <f t="shared" si="16"/>
        <v>0</v>
      </c>
    </row>
    <row r="50" spans="1:28" outlineLevel="2">
      <c r="A50" s="1183" t="s">
        <v>500</v>
      </c>
      <c r="B50" s="1184"/>
      <c r="C50" s="1190">
        <v>0.1</v>
      </c>
      <c r="D50" s="1058"/>
      <c r="E50" s="1185"/>
      <c r="F50" s="1186">
        <f>(F48+F49)*$C$50</f>
        <v>32000</v>
      </c>
      <c r="G50" s="1187">
        <f t="shared" si="3"/>
        <v>80</v>
      </c>
      <c r="H50" s="1186">
        <f>(H48+H49)*$C$50</f>
        <v>0</v>
      </c>
      <c r="I50" s="1096">
        <f t="shared" si="4"/>
        <v>0</v>
      </c>
      <c r="J50" s="1186">
        <f>(J48+J49)*$C$50</f>
        <v>0</v>
      </c>
      <c r="K50" s="1096">
        <f t="shared" si="5"/>
        <v>0</v>
      </c>
      <c r="L50" s="1188">
        <f>(L48+L49)*$C$50</f>
        <v>38000</v>
      </c>
      <c r="M50" s="1096">
        <f t="shared" si="6"/>
        <v>95</v>
      </c>
      <c r="N50" s="1189">
        <f>F50+H50+J50+L50</f>
        <v>70000</v>
      </c>
      <c r="O50" s="1098"/>
      <c r="P50" s="1099"/>
      <c r="Q50" s="1186">
        <f>(Q48+Q49)*$C$50</f>
        <v>0</v>
      </c>
      <c r="R50" s="1096">
        <f t="shared" si="9"/>
        <v>0</v>
      </c>
      <c r="S50" s="1186">
        <f>(S48+S49)*$C$50</f>
        <v>0</v>
      </c>
      <c r="T50" s="1096">
        <f t="shared" si="10"/>
        <v>0</v>
      </c>
      <c r="U50" s="1186">
        <f>(U48+U49)*$C$50</f>
        <v>0</v>
      </c>
      <c r="V50" s="1096">
        <f t="shared" si="11"/>
        <v>0</v>
      </c>
      <c r="W50" s="1188">
        <f>(W48+W49)*$C$50</f>
        <v>0</v>
      </c>
      <c r="X50" s="1096">
        <f t="shared" si="12"/>
        <v>0</v>
      </c>
      <c r="Y50" s="1189">
        <f>Q50+S50+U50+W50</f>
        <v>0</v>
      </c>
      <c r="Z50" s="1098"/>
      <c r="AA50" s="1182"/>
      <c r="AB50" s="1101"/>
    </row>
    <row r="51" spans="1:28" outlineLevel="1">
      <c r="A51" s="1172" t="s">
        <v>26</v>
      </c>
      <c r="B51" s="1191"/>
      <c r="C51" s="1174"/>
      <c r="D51" s="1175"/>
      <c r="E51" s="1176"/>
      <c r="F51" s="1177">
        <f>F6*$D$52*$C$52</f>
        <v>145800</v>
      </c>
      <c r="G51" s="1178">
        <f t="shared" si="3"/>
        <v>364.5</v>
      </c>
      <c r="H51" s="1177">
        <f>H6*$D$52*$C$52</f>
        <v>0</v>
      </c>
      <c r="I51" s="1180">
        <f t="shared" si="4"/>
        <v>0</v>
      </c>
      <c r="J51" s="1177">
        <f>J6*$D$52*$C$52</f>
        <v>0</v>
      </c>
      <c r="K51" s="1180">
        <f t="shared" si="5"/>
        <v>0</v>
      </c>
      <c r="L51" s="1179">
        <f>L6*$D$52*$C$52</f>
        <v>145800</v>
      </c>
      <c r="M51" s="1180">
        <f t="shared" si="6"/>
        <v>364.5</v>
      </c>
      <c r="N51" s="1181">
        <f>F51+H51+J51+L51</f>
        <v>291600</v>
      </c>
      <c r="O51" s="1098">
        <f t="shared" ref="O51:O56" si="25">IF($N$6=0,0,N51/$N$6)</f>
        <v>364.5</v>
      </c>
      <c r="P51" s="1099"/>
      <c r="Q51" s="1177">
        <f>Q6*$D$53*$C$53</f>
        <v>0</v>
      </c>
      <c r="R51" s="1180">
        <f t="shared" si="9"/>
        <v>0</v>
      </c>
      <c r="S51" s="1177">
        <f>S6*$D$53*$C$53</f>
        <v>0</v>
      </c>
      <c r="T51" s="1180">
        <f t="shared" si="10"/>
        <v>0</v>
      </c>
      <c r="U51" s="1177">
        <f>U6*$D$53*$C$53</f>
        <v>0</v>
      </c>
      <c r="V51" s="1180">
        <f t="shared" si="11"/>
        <v>0</v>
      </c>
      <c r="W51" s="1179">
        <f>W6*$D$53*$C$53</f>
        <v>0</v>
      </c>
      <c r="X51" s="1180">
        <f t="shared" si="12"/>
        <v>0</v>
      </c>
      <c r="Y51" s="1181">
        <f>Q51+S51+U51+W51</f>
        <v>0</v>
      </c>
      <c r="Z51" s="1098">
        <f>IF($Y$6=0,0,Y51/$Y$6)</f>
        <v>0</v>
      </c>
      <c r="AA51" s="1182">
        <f>N51+Y51</f>
        <v>291600</v>
      </c>
      <c r="AB51" s="1101">
        <f t="shared" ref="AB51:AB56" si="26">IF($AA$6=0,0,AA51/$AA$6)</f>
        <v>364.5</v>
      </c>
    </row>
    <row r="52" spans="1:28" outlineLevel="2">
      <c r="A52" s="1183" t="s">
        <v>501</v>
      </c>
      <c r="B52" s="1192"/>
      <c r="C52" s="1057">
        <v>90</v>
      </c>
      <c r="D52" s="1058">
        <v>4.05</v>
      </c>
      <c r="E52" s="1193"/>
      <c r="F52" s="1186"/>
      <c r="G52" s="1187">
        <f t="shared" si="3"/>
        <v>0</v>
      </c>
      <c r="H52" s="1186"/>
      <c r="I52" s="1194">
        <f t="shared" si="4"/>
        <v>0</v>
      </c>
      <c r="J52" s="1186"/>
      <c r="K52" s="1194">
        <f t="shared" si="5"/>
        <v>0</v>
      </c>
      <c r="L52" s="1188"/>
      <c r="M52" s="1194">
        <f t="shared" si="6"/>
        <v>0</v>
      </c>
      <c r="N52" s="1189"/>
      <c r="O52" s="1098">
        <f t="shared" si="25"/>
        <v>0</v>
      </c>
      <c r="P52" s="1195"/>
      <c r="Q52" s="1196"/>
      <c r="R52" s="1194">
        <f t="shared" si="9"/>
        <v>0</v>
      </c>
      <c r="S52" s="1196"/>
      <c r="T52" s="1194">
        <f t="shared" si="10"/>
        <v>0</v>
      </c>
      <c r="U52" s="1196"/>
      <c r="V52" s="1194">
        <f t="shared" si="11"/>
        <v>0</v>
      </c>
      <c r="W52" s="1197"/>
      <c r="X52" s="1194">
        <f t="shared" si="12"/>
        <v>0</v>
      </c>
      <c r="Y52" s="1189"/>
      <c r="Z52" s="1098"/>
      <c r="AA52" s="1182"/>
      <c r="AB52" s="1101">
        <f t="shared" si="26"/>
        <v>0</v>
      </c>
    </row>
    <row r="53" spans="1:28" outlineLevel="2">
      <c r="A53" s="1183" t="s">
        <v>502</v>
      </c>
      <c r="B53" s="1192"/>
      <c r="C53" s="1057">
        <v>180</v>
      </c>
      <c r="D53" s="1058">
        <v>4.05</v>
      </c>
      <c r="E53" s="1193"/>
      <c r="F53" s="1186"/>
      <c r="G53" s="1187">
        <f t="shared" si="3"/>
        <v>0</v>
      </c>
      <c r="H53" s="1196"/>
      <c r="I53" s="1194">
        <f t="shared" si="4"/>
        <v>0</v>
      </c>
      <c r="J53" s="1196"/>
      <c r="K53" s="1194">
        <f t="shared" si="5"/>
        <v>0</v>
      </c>
      <c r="L53" s="1197"/>
      <c r="M53" s="1194">
        <f t="shared" si="6"/>
        <v>0</v>
      </c>
      <c r="N53" s="1189"/>
      <c r="O53" s="1098">
        <f t="shared" si="25"/>
        <v>0</v>
      </c>
      <c r="P53" s="1195"/>
      <c r="Q53" s="1196"/>
      <c r="R53" s="1194">
        <f t="shared" si="9"/>
        <v>0</v>
      </c>
      <c r="S53" s="1196"/>
      <c r="T53" s="1194">
        <f t="shared" si="10"/>
        <v>0</v>
      </c>
      <c r="U53" s="1196"/>
      <c r="V53" s="1194">
        <f t="shared" si="11"/>
        <v>0</v>
      </c>
      <c r="W53" s="1197"/>
      <c r="X53" s="1194">
        <f t="shared" si="12"/>
        <v>0</v>
      </c>
      <c r="Y53" s="1189"/>
      <c r="Z53" s="1098"/>
      <c r="AA53" s="1182"/>
      <c r="AB53" s="1101">
        <f t="shared" si="26"/>
        <v>0</v>
      </c>
    </row>
    <row r="54" spans="1:28" outlineLevel="1">
      <c r="A54" s="1198" t="s">
        <v>28</v>
      </c>
      <c r="B54" s="1199">
        <f>SUM(B55:B56)</f>
        <v>0</v>
      </c>
      <c r="C54" s="1200"/>
      <c r="D54" s="1201"/>
      <c r="E54" s="1145"/>
      <c r="F54" s="1136">
        <f>SUM(F55:F56)</f>
        <v>583703.70370370371</v>
      </c>
      <c r="G54" s="1166">
        <f t="shared" si="3"/>
        <v>1459.2592592592594</v>
      </c>
      <c r="H54" s="1136">
        <f>SUM(H55:H56)</f>
        <v>0</v>
      </c>
      <c r="I54" s="1139">
        <f t="shared" si="4"/>
        <v>0</v>
      </c>
      <c r="J54" s="1136">
        <f>SUM(J55:J56)</f>
        <v>0</v>
      </c>
      <c r="K54" s="1139">
        <f t="shared" si="5"/>
        <v>0</v>
      </c>
      <c r="L54" s="1138">
        <f>SUM(L55:L56)</f>
        <v>1236503.7037037038</v>
      </c>
      <c r="M54" s="1139">
        <f t="shared" si="6"/>
        <v>3091.2592592592596</v>
      </c>
      <c r="N54" s="1140">
        <f>F54+H54+J54+L54</f>
        <v>1820207.4074074076</v>
      </c>
      <c r="O54" s="1141">
        <f t="shared" si="25"/>
        <v>2275.2592592592596</v>
      </c>
      <c r="P54" s="1099"/>
      <c r="Q54" s="1136">
        <f>SUM(Q55:Q56)</f>
        <v>0</v>
      </c>
      <c r="R54" s="1139">
        <f t="shared" si="9"/>
        <v>0</v>
      </c>
      <c r="S54" s="1136">
        <f>SUM(S55:S56)</f>
        <v>0</v>
      </c>
      <c r="T54" s="1139">
        <f t="shared" si="10"/>
        <v>0</v>
      </c>
      <c r="U54" s="1136">
        <f>SUM(U55:U56)</f>
        <v>0</v>
      </c>
      <c r="V54" s="1139">
        <f t="shared" si="11"/>
        <v>0</v>
      </c>
      <c r="W54" s="1138">
        <f>SUM(W55:W56)</f>
        <v>0</v>
      </c>
      <c r="X54" s="1139">
        <f t="shared" si="12"/>
        <v>0</v>
      </c>
      <c r="Y54" s="1140">
        <f>Q54+S54+U54+W54</f>
        <v>0</v>
      </c>
      <c r="Z54" s="1141">
        <f>IF($Y$6=0,0,Y54/$Y$6)</f>
        <v>0</v>
      </c>
      <c r="AA54" s="1143">
        <f>N54+Y54</f>
        <v>1820207.4074074076</v>
      </c>
      <c r="AB54" s="1202">
        <f t="shared" si="26"/>
        <v>2275.2592592592596</v>
      </c>
    </row>
    <row r="55" spans="1:28" outlineLevel="2">
      <c r="A55" s="1203" t="s">
        <v>29</v>
      </c>
      <c r="B55" s="1204"/>
      <c r="C55" s="1205"/>
      <c r="D55" s="1206">
        <v>1.7000000000000001E-2</v>
      </c>
      <c r="E55" s="1207"/>
      <c r="F55" s="1208"/>
      <c r="G55" s="1209">
        <f t="shared" si="3"/>
        <v>0</v>
      </c>
      <c r="H55" s="1208"/>
      <c r="I55" s="1006">
        <f t="shared" si="4"/>
        <v>0</v>
      </c>
      <c r="J55" s="1208"/>
      <c r="K55" s="1006">
        <f t="shared" si="5"/>
        <v>0</v>
      </c>
      <c r="L55" s="1208">
        <f>IF(L8="",0,L8*$D55*L6)</f>
        <v>652800.00000000012</v>
      </c>
      <c r="M55" s="1006">
        <f t="shared" si="6"/>
        <v>1632.0000000000002</v>
      </c>
      <c r="N55" s="1097">
        <f>F55+H55+J55+L55</f>
        <v>652800.00000000012</v>
      </c>
      <c r="O55" s="1098">
        <f t="shared" si="25"/>
        <v>816.00000000000011</v>
      </c>
      <c r="P55" s="1099"/>
      <c r="Q55" s="1208"/>
      <c r="R55" s="1006">
        <f t="shared" si="9"/>
        <v>0</v>
      </c>
      <c r="S55" s="1208"/>
      <c r="T55" s="1006">
        <f t="shared" si="10"/>
        <v>0</v>
      </c>
      <c r="U55" s="1208"/>
      <c r="V55" s="1006">
        <f t="shared" si="11"/>
        <v>0</v>
      </c>
      <c r="W55" s="1208">
        <f>IF(W8="",0,W8*$D55*W6)</f>
        <v>0</v>
      </c>
      <c r="X55" s="1006">
        <f t="shared" si="12"/>
        <v>0</v>
      </c>
      <c r="Y55" s="1097">
        <f>Q55+S55+U55+W55</f>
        <v>0</v>
      </c>
      <c r="Z55" s="1098">
        <f>IF($Y$6=0,0,Y55/$Y$6)</f>
        <v>0</v>
      </c>
      <c r="AA55" s="1100">
        <f>N55+Y55</f>
        <v>652800.00000000012</v>
      </c>
      <c r="AB55" s="1101">
        <f t="shared" si="26"/>
        <v>816.00000000000011</v>
      </c>
    </row>
    <row r="56" spans="1:28" outlineLevel="2">
      <c r="A56" s="1210" t="s">
        <v>30</v>
      </c>
      <c r="B56" s="1211"/>
      <c r="C56" s="973"/>
      <c r="D56" s="1212">
        <v>1519</v>
      </c>
      <c r="E56" s="1145"/>
      <c r="F56" s="1324">
        <f>(F6/27)*F62</f>
        <v>583703.70370370371</v>
      </c>
      <c r="G56" s="1325">
        <f t="shared" si="3"/>
        <v>1459.2592592592594</v>
      </c>
      <c r="H56" s="1213">
        <f>(H57*H58-H60)*(H6/H59)</f>
        <v>0</v>
      </c>
      <c r="I56" s="1006">
        <f t="shared" si="4"/>
        <v>0</v>
      </c>
      <c r="J56" s="1213">
        <f>(J57*J58-J60)*(J6/J59)</f>
        <v>0</v>
      </c>
      <c r="K56" s="1006">
        <f t="shared" si="5"/>
        <v>0</v>
      </c>
      <c r="L56" s="1326">
        <f>(L6/27)*L62</f>
        <v>583703.70370370371</v>
      </c>
      <c r="M56" s="1214">
        <f t="shared" si="6"/>
        <v>1459.2592592592594</v>
      </c>
      <c r="N56" s="1215">
        <f>F56+H56+J56+L56</f>
        <v>1167407.4074074074</v>
      </c>
      <c r="O56" s="1216">
        <f t="shared" si="25"/>
        <v>1459.2592592592594</v>
      </c>
      <c r="P56" s="1195"/>
      <c r="Q56" s="1213">
        <f>(Q6/27)*Q62</f>
        <v>0</v>
      </c>
      <c r="R56" s="1006">
        <f t="shared" si="9"/>
        <v>0</v>
      </c>
      <c r="S56" s="1213">
        <f>(S57*S58-S60)*(S6/S59)</f>
        <v>0</v>
      </c>
      <c r="T56" s="1006">
        <f t="shared" si="10"/>
        <v>0</v>
      </c>
      <c r="U56" s="1213">
        <f>(U57*U58-U60)*(U6/U59)</f>
        <v>0</v>
      </c>
      <c r="V56" s="1006">
        <f t="shared" si="11"/>
        <v>0</v>
      </c>
      <c r="W56" s="1326">
        <f>(W6/27)*W62</f>
        <v>0</v>
      </c>
      <c r="X56" s="1214">
        <f t="shared" si="12"/>
        <v>0</v>
      </c>
      <c r="Y56" s="1215">
        <f>Q56+S56+U56+W56</f>
        <v>0</v>
      </c>
      <c r="Z56" s="1216">
        <f>IF($Y$6=0,0,Y56/$Y$6)</f>
        <v>0</v>
      </c>
      <c r="AA56" s="1217">
        <f>N56+Y56</f>
        <v>1167407.4074074074</v>
      </c>
      <c r="AB56" s="1218">
        <f t="shared" si="26"/>
        <v>1459.2592592592594</v>
      </c>
    </row>
    <row r="57" spans="1:28" s="1232" customFormat="1" outlineLevel="3">
      <c r="A57" s="1219" t="s">
        <v>503</v>
      </c>
      <c r="B57" s="1219"/>
      <c r="C57" s="1220"/>
      <c r="D57" s="1221"/>
      <c r="E57" s="1327"/>
      <c r="F57" s="1328">
        <v>1000</v>
      </c>
      <c r="G57" s="1329"/>
      <c r="H57" s="1222">
        <v>1370</v>
      </c>
      <c r="I57" s="1228"/>
      <c r="J57" s="1222">
        <v>750</v>
      </c>
      <c r="K57" s="1228"/>
      <c r="L57" s="1223"/>
      <c r="M57" s="1224"/>
      <c r="N57" s="1225"/>
      <c r="O57" s="1226"/>
      <c r="P57" s="1227"/>
      <c r="Q57" s="1222">
        <v>1000</v>
      </c>
      <c r="R57" s="1228"/>
      <c r="S57" s="1222">
        <v>1370</v>
      </c>
      <c r="T57" s="1228"/>
      <c r="U57" s="1222">
        <v>750</v>
      </c>
      <c r="V57" s="1228"/>
      <c r="W57" s="1223"/>
      <c r="X57" s="1224"/>
      <c r="Y57" s="1225"/>
      <c r="Z57" s="1229"/>
      <c r="AA57" s="1230"/>
      <c r="AB57" s="1231"/>
    </row>
    <row r="58" spans="1:28" s="1248" customFormat="1" outlineLevel="3">
      <c r="A58" s="1233" t="s">
        <v>504</v>
      </c>
      <c r="B58" s="1233"/>
      <c r="C58" s="1234"/>
      <c r="D58" s="1235"/>
      <c r="E58" s="1236"/>
      <c r="F58" s="1237">
        <v>25</v>
      </c>
      <c r="G58" s="1238"/>
      <c r="H58" s="1237">
        <v>25</v>
      </c>
      <c r="I58" s="1244"/>
      <c r="J58" s="1237">
        <v>25</v>
      </c>
      <c r="K58" s="1244"/>
      <c r="L58" s="1239"/>
      <c r="M58" s="1240"/>
      <c r="N58" s="1241"/>
      <c r="O58" s="1242"/>
      <c r="P58" s="1243"/>
      <c r="Q58" s="1237">
        <v>25</v>
      </c>
      <c r="R58" s="1244"/>
      <c r="S58" s="1237">
        <v>25</v>
      </c>
      <c r="T58" s="1244"/>
      <c r="U58" s="1237">
        <v>25</v>
      </c>
      <c r="V58" s="1244"/>
      <c r="W58" s="1239"/>
      <c r="X58" s="1240"/>
      <c r="Y58" s="1241"/>
      <c r="Z58" s="1245"/>
      <c r="AA58" s="1246"/>
      <c r="AB58" s="1247"/>
    </row>
    <row r="59" spans="1:28" s="1248" customFormat="1" ht="33.75" outlineLevel="3">
      <c r="A59" s="1249" t="s">
        <v>505</v>
      </c>
      <c r="B59" s="1249"/>
      <c r="C59" s="1250"/>
      <c r="D59" s="1251"/>
      <c r="E59" s="1236"/>
      <c r="F59" s="1252">
        <v>21</v>
      </c>
      <c r="G59" s="1253"/>
      <c r="H59" s="1252">
        <v>25</v>
      </c>
      <c r="I59" s="1259"/>
      <c r="J59" s="1252">
        <v>25</v>
      </c>
      <c r="K59" s="1259"/>
      <c r="L59" s="1254">
        <v>27</v>
      </c>
      <c r="M59" s="1255"/>
      <c r="N59" s="1256"/>
      <c r="O59" s="1257"/>
      <c r="P59" s="1258"/>
      <c r="Q59" s="1252">
        <v>21</v>
      </c>
      <c r="R59" s="1259"/>
      <c r="S59" s="1252">
        <v>25</v>
      </c>
      <c r="T59" s="1259"/>
      <c r="U59" s="1252">
        <v>25</v>
      </c>
      <c r="V59" s="1259"/>
      <c r="W59" s="1254">
        <v>27</v>
      </c>
      <c r="X59" s="1255"/>
      <c r="Y59" s="1256"/>
      <c r="Z59" s="1260"/>
      <c r="AA59" s="1261"/>
      <c r="AB59" s="1262"/>
    </row>
    <row r="60" spans="1:28" s="1277" customFormat="1" outlineLevel="3">
      <c r="A60" s="1263" t="s">
        <v>506</v>
      </c>
      <c r="B60" s="1263"/>
      <c r="C60" s="1264"/>
      <c r="D60" s="1265"/>
      <c r="E60" s="1278"/>
      <c r="F60" s="1266">
        <v>15000</v>
      </c>
      <c r="G60" s="1267"/>
      <c r="H60" s="1266">
        <v>10500</v>
      </c>
      <c r="I60" s="1273"/>
      <c r="J60" s="1266">
        <v>10500</v>
      </c>
      <c r="K60" s="1273"/>
      <c r="L60" s="1268"/>
      <c r="M60" s="1269"/>
      <c r="N60" s="1270"/>
      <c r="O60" s="1271"/>
      <c r="P60" s="1272"/>
      <c r="Q60" s="1266">
        <v>15000</v>
      </c>
      <c r="R60" s="1273"/>
      <c r="S60" s="1266">
        <v>10500</v>
      </c>
      <c r="T60" s="1273"/>
      <c r="U60" s="1266">
        <v>10500</v>
      </c>
      <c r="V60" s="1273"/>
      <c r="W60" s="1268"/>
      <c r="X60" s="1269"/>
      <c r="Y60" s="1270"/>
      <c r="Z60" s="1274"/>
      <c r="AA60" s="1275"/>
      <c r="AB60" s="1276"/>
    </row>
    <row r="61" spans="1:28" s="1277" customFormat="1" outlineLevel="3">
      <c r="A61" s="1249" t="s">
        <v>507</v>
      </c>
      <c r="B61" s="1249"/>
      <c r="C61" s="1250"/>
      <c r="D61" s="1251"/>
      <c r="E61" s="1236"/>
      <c r="F61" s="1252"/>
      <c r="G61" s="1253"/>
      <c r="H61" s="1252"/>
      <c r="I61" s="1259"/>
      <c r="J61" s="1252"/>
      <c r="K61" s="1259"/>
      <c r="L61" s="1254">
        <f>ROUND(L6/L59,0)</f>
        <v>15</v>
      </c>
      <c r="M61" s="1255"/>
      <c r="N61" s="1256"/>
      <c r="O61" s="1257"/>
      <c r="P61" s="1258"/>
      <c r="Q61" s="1252"/>
      <c r="R61" s="1259"/>
      <c r="S61" s="1252"/>
      <c r="T61" s="1259"/>
      <c r="U61" s="1252"/>
      <c r="V61" s="1259"/>
      <c r="W61" s="1254">
        <f>ROUND(W6/W59,0)</f>
        <v>0</v>
      </c>
      <c r="X61" s="1255"/>
      <c r="Y61" s="1256"/>
      <c r="Z61" s="1260"/>
      <c r="AA61" s="1261"/>
      <c r="AB61" s="1262"/>
    </row>
    <row r="62" spans="1:28" s="1277" customFormat="1" outlineLevel="3">
      <c r="A62" s="1263" t="s">
        <v>508</v>
      </c>
      <c r="B62" s="1263"/>
      <c r="C62" s="1264"/>
      <c r="D62" s="1265">
        <v>39400</v>
      </c>
      <c r="E62" s="1278"/>
      <c r="F62" s="1266">
        <f>D62</f>
        <v>39400</v>
      </c>
      <c r="G62" s="1267"/>
      <c r="H62" s="1266"/>
      <c r="I62" s="1273"/>
      <c r="J62" s="1266"/>
      <c r="K62" s="1273"/>
      <c r="L62" s="1268">
        <f>D62</f>
        <v>39400</v>
      </c>
      <c r="M62" s="1269"/>
      <c r="N62" s="1270"/>
      <c r="O62" s="1271"/>
      <c r="P62" s="1272"/>
      <c r="Q62" s="1266">
        <f>D62</f>
        <v>39400</v>
      </c>
      <c r="R62" s="1273"/>
      <c r="S62" s="1266"/>
      <c r="T62" s="1273"/>
      <c r="U62" s="1266"/>
      <c r="V62" s="1273"/>
      <c r="W62" s="1268">
        <f>D62</f>
        <v>39400</v>
      </c>
      <c r="X62" s="1269"/>
      <c r="Y62" s="1270"/>
      <c r="Z62" s="1274"/>
      <c r="AA62" s="1275"/>
      <c r="AB62" s="1276"/>
    </row>
    <row r="63" spans="1:28" s="1087" customFormat="1">
      <c r="A63" s="1146" t="s">
        <v>509</v>
      </c>
      <c r="B63" s="1147"/>
      <c r="C63" s="1279"/>
      <c r="D63" s="1280"/>
      <c r="E63" s="1150"/>
      <c r="F63" s="1158">
        <f>F44-F45</f>
        <v>3290361.4648356191</v>
      </c>
      <c r="G63" s="1281">
        <f>IF($F$6=0,0,F63/$F$6)</f>
        <v>8225.9036620890474</v>
      </c>
      <c r="H63" s="1158">
        <f>H44-H45</f>
        <v>0</v>
      </c>
      <c r="I63" s="1154">
        <f>IF($H$6=0,0,H63/$H$6)</f>
        <v>0</v>
      </c>
      <c r="J63" s="1158">
        <f>J44-J45</f>
        <v>0</v>
      </c>
      <c r="K63" s="1154">
        <f>IF($J$6=0,0,J63/$J$6)</f>
        <v>0</v>
      </c>
      <c r="L63" s="1153">
        <f>L44-L45</f>
        <v>2571561.4648356191</v>
      </c>
      <c r="M63" s="1154">
        <f>IF($L$6=0,0,L63/$L$6)</f>
        <v>6428.9036620890474</v>
      </c>
      <c r="N63" s="1155">
        <f>F63+H63+J63+L63</f>
        <v>5861922.9296712382</v>
      </c>
      <c r="O63" s="1156">
        <f>IF($N$6=0,0,N63/$N$6)</f>
        <v>7327.4036620890474</v>
      </c>
      <c r="P63" s="1157"/>
      <c r="Q63" s="1158">
        <f>Q44-Q45</f>
        <v>0</v>
      </c>
      <c r="R63" s="1154">
        <f>IF($Q$6=0,0,Q63/$Q$6)</f>
        <v>0</v>
      </c>
      <c r="S63" s="1158">
        <f>S44-S45</f>
        <v>0</v>
      </c>
      <c r="T63" s="1154">
        <f>IF($S$6=0,0,S63/$S$6)</f>
        <v>0</v>
      </c>
      <c r="U63" s="1158">
        <f>U44-U45</f>
        <v>0</v>
      </c>
      <c r="V63" s="1154">
        <f>IF($U$6=0,0,U63/$U$6)</f>
        <v>0</v>
      </c>
      <c r="W63" s="1153">
        <f>W44-W45</f>
        <v>0</v>
      </c>
      <c r="X63" s="1154">
        <f>IF($W$6=0,0,W63/$W$6)</f>
        <v>0</v>
      </c>
      <c r="Y63" s="1155">
        <f>Q63+S63+U63+W63</f>
        <v>0</v>
      </c>
      <c r="Z63" s="1156">
        <f>IF($Y$6=0,0,Y63/$Y$6)</f>
        <v>0</v>
      </c>
      <c r="AA63" s="1159">
        <f>N63+Y63</f>
        <v>5861922.9296712382</v>
      </c>
      <c r="AB63" s="1160">
        <f>IF($AA$6=0,0,AA63/$AA$6)</f>
        <v>7327.4036620890474</v>
      </c>
    </row>
    <row r="64" spans="1:28" s="1087" customFormat="1">
      <c r="A64" s="1282" t="s">
        <v>510</v>
      </c>
      <c r="B64" s="1283"/>
      <c r="C64" s="1284"/>
      <c r="D64" s="1285"/>
      <c r="E64" s="1150"/>
      <c r="F64" s="1286"/>
      <c r="G64" s="1287"/>
      <c r="H64" s="1286"/>
      <c r="I64" s="1289"/>
      <c r="J64" s="1286"/>
      <c r="K64" s="1289"/>
      <c r="L64" s="1288"/>
      <c r="M64" s="1289"/>
      <c r="N64" s="1290"/>
      <c r="O64" s="1291"/>
      <c r="P64" s="1292"/>
      <c r="Q64" s="1286"/>
      <c r="R64" s="1289"/>
      <c r="S64" s="1286"/>
      <c r="T64" s="1289"/>
      <c r="U64" s="1286"/>
      <c r="V64" s="1289"/>
      <c r="W64" s="1288"/>
      <c r="X64" s="1289"/>
      <c r="Y64" s="1290"/>
      <c r="Z64" s="1293"/>
      <c r="AA64" s="1294"/>
      <c r="AB64" s="1295"/>
    </row>
    <row r="65" spans="1:28" s="1310" customFormat="1">
      <c r="A65" s="1296" t="s">
        <v>511</v>
      </c>
      <c r="B65" s="1297"/>
      <c r="C65" s="1298"/>
      <c r="D65" s="1299"/>
      <c r="E65" s="1300"/>
      <c r="F65" s="1301">
        <f>IF($Y$6=0,F6/$N$6,F6/$AA$6)</f>
        <v>0.5</v>
      </c>
      <c r="G65" s="1302"/>
      <c r="H65" s="1301">
        <f>IF($Y$6=0,H6/$N$6,H6/$AA$6)</f>
        <v>0</v>
      </c>
      <c r="I65" s="1304"/>
      <c r="J65" s="1301">
        <f>IF($Y$6=0,J6/$N$6,J6/$AA$6)</f>
        <v>0</v>
      </c>
      <c r="K65" s="1304"/>
      <c r="L65" s="1303">
        <f>IF($Y$6=0,L6/$N$6,L6/$AA$6)</f>
        <v>0.5</v>
      </c>
      <c r="M65" s="1304"/>
      <c r="N65" s="1305">
        <f>F65+H65+J65+L65</f>
        <v>1</v>
      </c>
      <c r="O65" s="1306"/>
      <c r="P65" s="1307"/>
      <c r="Q65" s="1301">
        <f>IF($Y$6=0,0,Q6/$AA$6)</f>
        <v>0</v>
      </c>
      <c r="R65" s="1304"/>
      <c r="S65" s="1301">
        <f>IF($Y$6=0,0,S6/$AA$6)</f>
        <v>0</v>
      </c>
      <c r="T65" s="1304"/>
      <c r="U65" s="1301">
        <f>IF($Y$6=0,0,U6/$AA$6)</f>
        <v>0</v>
      </c>
      <c r="V65" s="1304"/>
      <c r="W65" s="1303">
        <f>IF($Y$6=0,0,W6/$AA$6)</f>
        <v>0</v>
      </c>
      <c r="X65" s="1304"/>
      <c r="Y65" s="1305">
        <f>Q65+S65+U65+W65</f>
        <v>0</v>
      </c>
      <c r="Z65" s="1306"/>
      <c r="AA65" s="1308">
        <f>N65+Y65</f>
        <v>1</v>
      </c>
      <c r="AB65" s="1309"/>
    </row>
    <row r="66" spans="1:28" s="1087" customFormat="1">
      <c r="A66" s="1118" t="s">
        <v>512</v>
      </c>
      <c r="B66" s="1311">
        <f>'Расходы помесячно (План-Факт)'!BL85</f>
        <v>2106854.7966666664</v>
      </c>
      <c r="C66" s="1120"/>
      <c r="D66" s="1121"/>
      <c r="E66" s="1122"/>
      <c r="F66" s="1123">
        <f>IF(AA6=0,B66,ROUND($B66*F$65,0))</f>
        <v>1053427</v>
      </c>
      <c r="G66" s="1124">
        <f>IF($F$6=0,0,F66/$F$6)</f>
        <v>2633.5675000000001</v>
      </c>
      <c r="H66" s="1123">
        <f>ROUND($B66*H$65,0)</f>
        <v>0</v>
      </c>
      <c r="I66" s="1126">
        <f>IF($H$6=0,0,H66/$H$6)</f>
        <v>0</v>
      </c>
      <c r="J66" s="1123">
        <f>ROUND($B66*J$65,0)</f>
        <v>0</v>
      </c>
      <c r="K66" s="1126">
        <f>IF($J$6=0,0,J66/$J$6)</f>
        <v>0</v>
      </c>
      <c r="L66" s="1125">
        <f>ROUND($B66*L$65,0)</f>
        <v>1053427</v>
      </c>
      <c r="M66" s="1126">
        <f>IF($L$6=0,0,L66/$L$6)</f>
        <v>2633.5675000000001</v>
      </c>
      <c r="N66" s="1127">
        <f>IF(AA6=0,F66,F66+H66+J66+L66)</f>
        <v>2106854</v>
      </c>
      <c r="O66" s="1128">
        <f>IF($N$6=0,0,N66/$N$6)</f>
        <v>2633.5675000000001</v>
      </c>
      <c r="P66" s="1084"/>
      <c r="Q66" s="1123">
        <f>ROUND($B66*Q$65,0)</f>
        <v>0</v>
      </c>
      <c r="R66" s="1126">
        <f>IF($Q$6=0,0,Q66/$Q$6)</f>
        <v>0</v>
      </c>
      <c r="S66" s="1123">
        <f>ROUND($B66*S$65,0)</f>
        <v>0</v>
      </c>
      <c r="T66" s="1126">
        <f>IF($S$6=0,0,S66/$S$6)</f>
        <v>0</v>
      </c>
      <c r="U66" s="1123">
        <f>ROUND($B66*U$65,0)</f>
        <v>0</v>
      </c>
      <c r="V66" s="1126">
        <f>IF($U$6=0,0,U66/$U$6)</f>
        <v>0</v>
      </c>
      <c r="W66" s="1125">
        <f>ROUND($B66*W$65,0)</f>
        <v>0</v>
      </c>
      <c r="X66" s="1126">
        <f>IF($W$6=0,0,W66/$W$6)</f>
        <v>0</v>
      </c>
      <c r="Y66" s="1127">
        <f>Q66+S66+U66+W66</f>
        <v>0</v>
      </c>
      <c r="Z66" s="1128">
        <f>IF($Y$6=0,0,Y66/$Y$6)</f>
        <v>0</v>
      </c>
      <c r="AA66" s="1129">
        <f>N66+Y66</f>
        <v>2106854</v>
      </c>
      <c r="AB66" s="1130">
        <f>IF($AA$6=0,0,AA66/$AA$6)</f>
        <v>2633.5675000000001</v>
      </c>
    </row>
    <row r="67" spans="1:28" s="1087" customFormat="1">
      <c r="A67" s="1146" t="s">
        <v>513</v>
      </c>
      <c r="B67" s="1147"/>
      <c r="C67" s="1312"/>
      <c r="D67" s="1313"/>
      <c r="E67" s="1314"/>
      <c r="F67" s="1158">
        <f>F63-F66</f>
        <v>2236934.4648356191</v>
      </c>
      <c r="G67" s="1281">
        <f>IF($F$6=0,0,F67/$F$6)</f>
        <v>5592.3361620890473</v>
      </c>
      <c r="H67" s="1158">
        <f>H63-H66</f>
        <v>0</v>
      </c>
      <c r="I67" s="1154">
        <f>IF($H$6=0,0,H67/$H$6)</f>
        <v>0</v>
      </c>
      <c r="J67" s="1158">
        <f>J63-J66</f>
        <v>0</v>
      </c>
      <c r="K67" s="1154">
        <f>IF($J$6=0,0,J67/$J$6)</f>
        <v>0</v>
      </c>
      <c r="L67" s="1153">
        <f>L63-L66</f>
        <v>1518134.4648356191</v>
      </c>
      <c r="M67" s="1154">
        <f>IF($L$6=0,0,L67/$L$6)</f>
        <v>3795.3361620890478</v>
      </c>
      <c r="N67" s="1155">
        <f>IF(AA6=0,N63-N66,F67+H67+J67+L67)</f>
        <v>3755068.9296712382</v>
      </c>
      <c r="O67" s="1315">
        <f>IF($N$6=0,0,N67/$N$6)</f>
        <v>4693.8361620890473</v>
      </c>
      <c r="P67" s="1316"/>
      <c r="Q67" s="1158">
        <f>Q63-Q66</f>
        <v>0</v>
      </c>
      <c r="R67" s="1154">
        <f>IF($Q$6=0,0,Q67/$Q$6)</f>
        <v>0</v>
      </c>
      <c r="S67" s="1158">
        <f>S63-S66</f>
        <v>0</v>
      </c>
      <c r="T67" s="1154">
        <f>IF($S$6=0,0,S67/$S$6)</f>
        <v>0</v>
      </c>
      <c r="U67" s="1158">
        <f>U63-U66</f>
        <v>0</v>
      </c>
      <c r="V67" s="1154">
        <f>IF($U$6=0,0,U67/$U$6)</f>
        <v>0</v>
      </c>
      <c r="W67" s="1153">
        <f>W63-W66</f>
        <v>0</v>
      </c>
      <c r="X67" s="1154">
        <f>IF($W$6=0,0,W67/$W$6)</f>
        <v>0</v>
      </c>
      <c r="Y67" s="1155">
        <f>Q67+S67+U67+W67</f>
        <v>0</v>
      </c>
      <c r="Z67" s="1315">
        <f>IF($Y$6=0,0,Y67/$Y$6)</f>
        <v>0</v>
      </c>
      <c r="AA67" s="1317">
        <f>N67+Y67</f>
        <v>3755068.9296712382</v>
      </c>
      <c r="AB67" s="1318">
        <f>IF($AA$6=0,0,AA67/$AA$6)</f>
        <v>4693.8361620890473</v>
      </c>
    </row>
    <row r="68" spans="1:28">
      <c r="A68" s="1118" t="s">
        <v>514</v>
      </c>
      <c r="B68" s="1311">
        <f>'Расходы помесячно (План-Факт)'!BL132</f>
        <v>1138425.2488888889</v>
      </c>
      <c r="C68" s="1120"/>
      <c r="D68" s="1121"/>
      <c r="E68" s="1122"/>
      <c r="F68" s="1123">
        <f>IF(AA6=0,B68,ROUND($B68*F$65,0))</f>
        <v>569213</v>
      </c>
      <c r="G68" s="1124">
        <f>IF($F$6=0,0,F68/$F$6)</f>
        <v>1423.0325</v>
      </c>
      <c r="H68" s="1123">
        <f>ROUND($B68*H$65,0)</f>
        <v>0</v>
      </c>
      <c r="I68" s="1126">
        <f>IF($H$6=0,0,H68/$H$6)</f>
        <v>0</v>
      </c>
      <c r="J68" s="1123">
        <f>ROUND($B68*J$65,0)</f>
        <v>0</v>
      </c>
      <c r="K68" s="1126">
        <f>IF($J$6=0,0,J68/$J$6)</f>
        <v>0</v>
      </c>
      <c r="L68" s="1125">
        <f>ROUND($B68*L$65,0)</f>
        <v>569213</v>
      </c>
      <c r="M68" s="1126">
        <f>IF($L$6=0,0,L68/$L$6)</f>
        <v>1423.0325</v>
      </c>
      <c r="N68" s="1127">
        <f>IF(AA6=0,F68,F68+H68+J68+L68)</f>
        <v>1138426</v>
      </c>
      <c r="O68" s="1128">
        <f>IF($N$6=0,0,N68/$N$6)</f>
        <v>1423.0325</v>
      </c>
      <c r="P68" s="1084"/>
      <c r="Q68" s="1123">
        <f>ROUND($B68*Q$65,0)</f>
        <v>0</v>
      </c>
      <c r="R68" s="1126">
        <f>IF($Q$6=0,0,Q68/$Q$6)</f>
        <v>0</v>
      </c>
      <c r="S68" s="1123">
        <f>ROUND($B68*S$65,0)</f>
        <v>0</v>
      </c>
      <c r="T68" s="1126">
        <f>IF($S$6=0,0,S68/$S$6)</f>
        <v>0</v>
      </c>
      <c r="U68" s="1123">
        <f>ROUND($B68*U$65,0)</f>
        <v>0</v>
      </c>
      <c r="V68" s="1126">
        <f>IF($U$6=0,0,U68/$U$6)</f>
        <v>0</v>
      </c>
      <c r="W68" s="1125">
        <f>ROUND($B68*W$65,0)</f>
        <v>0</v>
      </c>
      <c r="X68" s="1126">
        <f>IF($W$6=0,0,W68/$W$6)</f>
        <v>0</v>
      </c>
      <c r="Y68" s="1127">
        <f>Q68+S68+U68+W68</f>
        <v>0</v>
      </c>
      <c r="Z68" s="1128">
        <f>IF($Y$6=0,0,Y68/$Y$6)</f>
        <v>0</v>
      </c>
      <c r="AA68" s="1129">
        <f>N68+Y68</f>
        <v>1138426</v>
      </c>
      <c r="AB68" s="1130">
        <f>IF($AA$6=0,0,AA68/$AA$6)</f>
        <v>1423.0325</v>
      </c>
    </row>
    <row r="69" spans="1:28">
      <c r="A69" s="1146" t="s">
        <v>515</v>
      </c>
      <c r="B69" s="1147"/>
      <c r="C69" s="1312"/>
      <c r="D69" s="1313"/>
      <c r="E69" s="1314"/>
      <c r="F69" s="1158">
        <f>F67-F68</f>
        <v>1667721.4648356191</v>
      </c>
      <c r="G69" s="1281">
        <f>IF($F$6=0,0,F69/$F$6)</f>
        <v>4169.303662089048</v>
      </c>
      <c r="H69" s="1158">
        <f>H67-H68</f>
        <v>0</v>
      </c>
      <c r="I69" s="1154">
        <f>IF($H$6=0,0,H69/$H$6)</f>
        <v>0</v>
      </c>
      <c r="J69" s="1158">
        <f>J67-J68</f>
        <v>0</v>
      </c>
      <c r="K69" s="1154">
        <f>IF($J$6=0,0,J69/$J$6)</f>
        <v>0</v>
      </c>
      <c r="L69" s="1158">
        <f>L67-L68</f>
        <v>948921.46483561909</v>
      </c>
      <c r="M69" s="1154">
        <f>IF($L$6=0,0,L69/$L$6)</f>
        <v>2372.3036620890475</v>
      </c>
      <c r="N69" s="1158">
        <f>N67-N68</f>
        <v>2616642.9296712382</v>
      </c>
      <c r="O69" s="1315">
        <f>IF($N$6=0,0,N69/$N$6)</f>
        <v>3270.8036620890475</v>
      </c>
      <c r="P69" s="1316"/>
      <c r="Q69" s="1158">
        <f>Q67-Q68</f>
        <v>0</v>
      </c>
      <c r="R69" s="1154">
        <f>IF($Q$6=0,0,Q69/$Q$6)</f>
        <v>0</v>
      </c>
      <c r="S69" s="1158">
        <f>S67-S68</f>
        <v>0</v>
      </c>
      <c r="T69" s="1154">
        <f>IF($S$6=0,0,S69/$S$6)</f>
        <v>0</v>
      </c>
      <c r="U69" s="1158">
        <f>U67-U68</f>
        <v>0</v>
      </c>
      <c r="V69" s="1154">
        <f>IF($U$6=0,0,U69/$U$6)</f>
        <v>0</v>
      </c>
      <c r="W69" s="1158">
        <f>W67-W68</f>
        <v>0</v>
      </c>
      <c r="X69" s="1154">
        <f>IF($W$6=0,0,W69/$W$6)</f>
        <v>0</v>
      </c>
      <c r="Y69" s="1158">
        <f>Y67-Y68</f>
        <v>0</v>
      </c>
      <c r="Z69" s="1315">
        <f>IF($Y$6=0,0,Y69/$Y$6)</f>
        <v>0</v>
      </c>
      <c r="AA69" s="1317">
        <f>N69+Y69</f>
        <v>2616642.9296712382</v>
      </c>
      <c r="AB69" s="1318">
        <f>IF($AA$6=0,0,AA69/$AA$6)</f>
        <v>3270.8036620890475</v>
      </c>
    </row>
    <row r="73" spans="1:28">
      <c r="F73" s="1330"/>
      <c r="G73" s="1331"/>
      <c r="H73" s="1330"/>
      <c r="I73" s="1331"/>
      <c r="J73" s="1330"/>
      <c r="K73" s="1331"/>
      <c r="L73" s="1330"/>
      <c r="M73" s="1331"/>
      <c r="N73" s="1330"/>
    </row>
    <row r="74" spans="1:28">
      <c r="F74" s="1319"/>
      <c r="G74" s="1320"/>
      <c r="H74" s="1321"/>
      <c r="I74" s="1321"/>
      <c r="J74" s="1321"/>
      <c r="K74" s="1321"/>
      <c r="L74" s="1321"/>
      <c r="M74" s="1321"/>
      <c r="N74" s="1321"/>
    </row>
  </sheetData>
  <sheetProtection selectLockedCells="1" selectUnlockedCells="1"/>
  <pageMargins left="0.55000000000000004" right="0.15763888888888888" top="0.1701388888888889" bottom="0.15763888888888888" header="0.51180555555555551" footer="0.51180555555555551"/>
  <pageSetup paperSize="9" firstPageNumber="0"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sheetPr enableFormatConditionsCalculation="0">
    <tabColor indexed="19"/>
  </sheetPr>
  <dimension ref="A1:AB69"/>
  <sheetViews>
    <sheetView zoomScale="90" zoomScaleNormal="90" workbookViewId="0">
      <pane xSplit="5" ySplit="8" topLeftCell="F9" activePane="bottomRight" state="frozen"/>
      <selection pane="topRight" activeCell="F1" sqref="F1"/>
      <selection pane="bottomLeft" activeCell="A9" sqref="A9"/>
      <selection pane="bottomRight" activeCell="D9" sqref="D9"/>
    </sheetView>
  </sheetViews>
  <sheetFormatPr defaultRowHeight="12.75" outlineLevelRow="2" outlineLevelCol="2"/>
  <cols>
    <col min="1" max="1" width="36.28515625" style="888" customWidth="1"/>
    <col min="2" max="2" width="13.5703125" style="889" customWidth="1" outlineLevel="1"/>
    <col min="3" max="3" width="6" style="889" customWidth="1"/>
    <col min="4" max="4" width="10" style="889" customWidth="1"/>
    <col min="5" max="5" width="0.85546875" style="889" customWidth="1" outlineLevel="1"/>
    <col min="6" max="6" width="11.5703125" style="889" customWidth="1" outlineLevel="1"/>
    <col min="7" max="7" width="0" style="890" hidden="1" customWidth="1" outlineLevel="2"/>
    <col min="8" max="8" width="11.85546875" style="889" customWidth="1" outlineLevel="1" collapsed="1"/>
    <col min="9" max="9" width="0" style="891" hidden="1" customWidth="1" outlineLevel="2"/>
    <col min="10" max="10" width="12" style="889" customWidth="1" outlineLevel="1" collapsed="1"/>
    <col min="11" max="11" width="0" style="891" hidden="1" customWidth="1" outlineLevel="2"/>
    <col min="12" max="12" width="12.28515625" style="889" customWidth="1" outlineLevel="1" collapsed="1"/>
    <col min="13" max="13" width="0" style="891" hidden="1" customWidth="1" outlineLevel="2"/>
    <col min="14" max="14" width="13.42578125" style="889" customWidth="1" collapsed="1"/>
    <col min="15" max="15" width="0" style="892" hidden="1" customWidth="1" outlineLevel="1"/>
    <col min="16" max="16" width="0.7109375" style="892" customWidth="1"/>
    <col min="17" max="17" width="11.85546875" style="889" customWidth="1" outlineLevel="1"/>
    <col min="18" max="18" width="0" style="889" hidden="1" customWidth="1" outlineLevel="2"/>
    <col min="19" max="19" width="12" style="889" customWidth="1" outlineLevel="1" collapsed="1"/>
    <col min="20" max="20" width="0" style="889" hidden="1" customWidth="1" outlineLevel="2"/>
    <col min="21" max="21" width="11.42578125" style="889" customWidth="1" outlineLevel="1" collapsed="1"/>
    <col min="22" max="22" width="0" style="889" hidden="1" customWidth="1" outlineLevel="2"/>
    <col min="23" max="23" width="12.42578125" style="889" customWidth="1" outlineLevel="1" collapsed="1"/>
    <col min="24" max="24" width="0" style="889" hidden="1" customWidth="1" outlineLevel="2"/>
    <col min="25" max="25" width="12.42578125" style="889" customWidth="1" collapsed="1"/>
    <col min="26" max="26" width="0" style="892" hidden="1" customWidth="1" outlineLevel="1"/>
    <col min="27" max="27" width="12" style="889" customWidth="1"/>
    <col min="28" max="28" width="9.5703125" style="892" customWidth="1"/>
    <col min="29" max="16384" width="9.140625" style="889"/>
  </cols>
  <sheetData>
    <row r="1" spans="1:28" ht="15">
      <c r="A1" s="893" t="s">
        <v>452</v>
      </c>
      <c r="B1" s="894"/>
    </row>
    <row r="2" spans="1:28">
      <c r="A2" s="895"/>
      <c r="B2" s="896" t="s">
        <v>453</v>
      </c>
      <c r="C2" s="897"/>
      <c r="D2" s="898"/>
      <c r="E2" s="899"/>
      <c r="F2" s="900"/>
      <c r="G2" s="901"/>
      <c r="H2" s="902"/>
      <c r="I2" s="903"/>
      <c r="J2" s="902"/>
      <c r="K2" s="903"/>
      <c r="L2" s="902"/>
      <c r="M2" s="903" t="s">
        <v>454</v>
      </c>
      <c r="N2" s="904"/>
      <c r="O2" s="905"/>
      <c r="P2" s="905"/>
      <c r="Q2" s="906"/>
      <c r="R2" s="906"/>
      <c r="S2" s="906"/>
      <c r="T2" s="906"/>
      <c r="U2" s="906"/>
      <c r="V2" s="906"/>
      <c r="W2" s="906"/>
      <c r="X2" s="906"/>
      <c r="Y2" s="907"/>
      <c r="Z2" s="908"/>
      <c r="AA2" s="904"/>
      <c r="AB2" s="909"/>
    </row>
    <row r="3" spans="1:28">
      <c r="A3" s="910"/>
      <c r="B3" s="911" t="s">
        <v>455</v>
      </c>
      <c r="C3" s="912"/>
      <c r="D3" s="913"/>
      <c r="E3" s="914"/>
      <c r="F3" s="915" t="s">
        <v>456</v>
      </c>
      <c r="G3" s="916"/>
      <c r="H3" s="917"/>
      <c r="I3" s="918"/>
      <c r="J3" s="917"/>
      <c r="K3" s="918"/>
      <c r="L3" s="917"/>
      <c r="M3" s="918"/>
      <c r="N3" s="919" t="s">
        <v>457</v>
      </c>
      <c r="O3" s="920" t="s">
        <v>458</v>
      </c>
      <c r="P3" s="921"/>
      <c r="Q3" s="915" t="s">
        <v>459</v>
      </c>
      <c r="R3" s="916"/>
      <c r="S3" s="917"/>
      <c r="T3" s="918"/>
      <c r="U3" s="917"/>
      <c r="V3" s="918"/>
      <c r="W3" s="917"/>
      <c r="X3" s="918"/>
      <c r="Y3" s="919" t="s">
        <v>457</v>
      </c>
      <c r="Z3" s="920" t="s">
        <v>458</v>
      </c>
      <c r="AA3" s="922"/>
      <c r="AB3" s="923" t="s">
        <v>458</v>
      </c>
    </row>
    <row r="4" spans="1:28">
      <c r="A4" s="924" t="s">
        <v>460</v>
      </c>
      <c r="B4" s="911" t="s">
        <v>461</v>
      </c>
      <c r="C4" s="925"/>
      <c r="D4" s="926"/>
      <c r="E4" s="927"/>
      <c r="F4" s="928" t="s">
        <v>517</v>
      </c>
      <c r="G4" s="929"/>
      <c r="H4" s="928" t="s">
        <v>518</v>
      </c>
      <c r="I4" s="931"/>
      <c r="J4" s="928" t="s">
        <v>519</v>
      </c>
      <c r="K4" s="931"/>
      <c r="L4" s="930" t="s">
        <v>517</v>
      </c>
      <c r="M4" s="931"/>
      <c r="N4" s="932" t="s">
        <v>462</v>
      </c>
      <c r="O4" s="933" t="s">
        <v>463</v>
      </c>
      <c r="P4" s="934"/>
      <c r="Q4" s="928" t="s">
        <v>517</v>
      </c>
      <c r="R4" s="931"/>
      <c r="S4" s="928" t="s">
        <v>518</v>
      </c>
      <c r="T4" s="931"/>
      <c r="U4" s="928" t="s">
        <v>519</v>
      </c>
      <c r="V4" s="931"/>
      <c r="W4" s="930" t="s">
        <v>517</v>
      </c>
      <c r="X4" s="931"/>
      <c r="Y4" s="932" t="s">
        <v>464</v>
      </c>
      <c r="Z4" s="933" t="s">
        <v>463</v>
      </c>
      <c r="AA4" s="935" t="s">
        <v>191</v>
      </c>
      <c r="AB4" s="936" t="s">
        <v>463</v>
      </c>
    </row>
    <row r="5" spans="1:28">
      <c r="A5" s="924"/>
      <c r="B5" s="911" t="s">
        <v>465</v>
      </c>
      <c r="C5" s="925"/>
      <c r="D5" s="926"/>
      <c r="E5" s="927"/>
      <c r="F5" s="937" t="s">
        <v>13</v>
      </c>
      <c r="G5" s="938" t="s">
        <v>466</v>
      </c>
      <c r="H5" s="937" t="s">
        <v>13</v>
      </c>
      <c r="I5" s="940" t="s">
        <v>466</v>
      </c>
      <c r="J5" s="937" t="s">
        <v>13</v>
      </c>
      <c r="K5" s="940" t="s">
        <v>466</v>
      </c>
      <c r="L5" s="939" t="s">
        <v>13</v>
      </c>
      <c r="M5" s="940" t="s">
        <v>466</v>
      </c>
      <c r="N5" s="941" t="s">
        <v>13</v>
      </c>
      <c r="O5" s="942" t="s">
        <v>467</v>
      </c>
      <c r="P5" s="943"/>
      <c r="Q5" s="937" t="s">
        <v>13</v>
      </c>
      <c r="R5" s="940" t="s">
        <v>466</v>
      </c>
      <c r="S5" s="937" t="s">
        <v>13</v>
      </c>
      <c r="T5" s="940" t="s">
        <v>466</v>
      </c>
      <c r="U5" s="937" t="s">
        <v>13</v>
      </c>
      <c r="V5" s="940" t="s">
        <v>466</v>
      </c>
      <c r="W5" s="939" t="s">
        <v>13</v>
      </c>
      <c r="X5" s="940" t="s">
        <v>466</v>
      </c>
      <c r="Y5" s="941" t="s">
        <v>13</v>
      </c>
      <c r="Z5" s="942" t="s">
        <v>467</v>
      </c>
      <c r="AA5" s="944" t="s">
        <v>13</v>
      </c>
      <c r="AB5" s="945" t="s">
        <v>468</v>
      </c>
    </row>
    <row r="6" spans="1:28">
      <c r="A6" s="946" t="s">
        <v>469</v>
      </c>
      <c r="B6" s="947"/>
      <c r="C6" s="948"/>
      <c r="D6" s="949"/>
      <c r="E6" s="927"/>
      <c r="F6" s="950">
        <v>400</v>
      </c>
      <c r="G6" s="951"/>
      <c r="H6" s="950"/>
      <c r="I6" s="952"/>
      <c r="J6" s="950">
        <v>0</v>
      </c>
      <c r="K6" s="952"/>
      <c r="L6" s="950">
        <v>0</v>
      </c>
      <c r="M6" s="952"/>
      <c r="N6" s="953">
        <f>SUM(F6:L6)</f>
        <v>400</v>
      </c>
      <c r="O6" s="954"/>
      <c r="P6" s="943"/>
      <c r="Q6" s="950"/>
      <c r="R6" s="952"/>
      <c r="S6" s="950"/>
      <c r="T6" s="952"/>
      <c r="U6" s="950"/>
      <c r="V6" s="952"/>
      <c r="W6" s="950">
        <v>0</v>
      </c>
      <c r="X6" s="952"/>
      <c r="Y6" s="953">
        <f>SUM(Q6:W6)</f>
        <v>0</v>
      </c>
      <c r="Z6" s="954"/>
      <c r="AA6" s="955">
        <f>N6+Y6</f>
        <v>400</v>
      </c>
      <c r="AB6" s="956"/>
    </row>
    <row r="7" spans="1:28" s="970" customFormat="1">
      <c r="A7" s="957" t="s">
        <v>470</v>
      </c>
      <c r="B7" s="958"/>
      <c r="C7" s="959" t="s">
        <v>471</v>
      </c>
      <c r="D7" s="960">
        <v>63</v>
      </c>
      <c r="E7" s="961"/>
      <c r="F7" s="962">
        <v>1505</v>
      </c>
      <c r="G7" s="963"/>
      <c r="H7" s="962"/>
      <c r="I7" s="964"/>
      <c r="J7" s="962"/>
      <c r="K7" s="964"/>
      <c r="L7" s="962">
        <v>1505</v>
      </c>
      <c r="M7" s="964"/>
      <c r="N7" s="965"/>
      <c r="O7" s="966"/>
      <c r="P7" s="967"/>
      <c r="Q7" s="962">
        <v>1505</v>
      </c>
      <c r="R7" s="963"/>
      <c r="S7" s="962"/>
      <c r="T7" s="964"/>
      <c r="U7" s="962"/>
      <c r="V7" s="964"/>
      <c r="W7" s="962">
        <v>1505</v>
      </c>
      <c r="X7" s="964"/>
      <c r="Y7" s="965"/>
      <c r="Z7" s="966"/>
      <c r="AA7" s="968"/>
      <c r="AB7" s="969"/>
    </row>
    <row r="8" spans="1:28" s="970" customFormat="1">
      <c r="A8" s="971" t="s">
        <v>472</v>
      </c>
      <c r="B8" s="972"/>
      <c r="C8" s="973" t="s">
        <v>473</v>
      </c>
      <c r="D8" s="974">
        <v>5.2499999999999998E-2</v>
      </c>
      <c r="E8" s="975"/>
      <c r="F8" s="976">
        <f>(F7*$D7)+(F7*$D7*D8)</f>
        <v>99792.787500000006</v>
      </c>
      <c r="G8" s="977"/>
      <c r="H8" s="1323">
        <v>71000</v>
      </c>
      <c r="I8" s="979"/>
      <c r="J8" s="1323">
        <v>57276</v>
      </c>
      <c r="K8" s="979"/>
      <c r="L8" s="978">
        <f>L7*D7</f>
        <v>94815</v>
      </c>
      <c r="M8" s="979"/>
      <c r="N8" s="980"/>
      <c r="O8" s="981"/>
      <c r="P8" s="982"/>
      <c r="Q8" s="976">
        <f>(Q7*$D7)+(Q7*$D7*$D$8)</f>
        <v>99792.787500000006</v>
      </c>
      <c r="R8" s="979"/>
      <c r="S8" s="1323">
        <v>71500</v>
      </c>
      <c r="T8" s="979"/>
      <c r="U8" s="1323">
        <v>62529</v>
      </c>
      <c r="V8" s="979"/>
      <c r="W8" s="978">
        <f>W7*D7</f>
        <v>94815</v>
      </c>
      <c r="X8" s="979"/>
      <c r="Y8" s="980"/>
      <c r="Z8" s="981"/>
      <c r="AA8" s="983"/>
      <c r="AB8" s="984"/>
    </row>
    <row r="9" spans="1:28" s="970" customFormat="1">
      <c r="A9" s="985" t="s">
        <v>474</v>
      </c>
      <c r="B9" s="986"/>
      <c r="C9" s="987"/>
      <c r="D9" s="988"/>
      <c r="E9" s="989"/>
      <c r="F9" s="990"/>
      <c r="G9" s="991"/>
      <c r="H9" s="990"/>
      <c r="I9" s="993"/>
      <c r="J9" s="990"/>
      <c r="K9" s="993"/>
      <c r="L9" s="992"/>
      <c r="M9" s="993"/>
      <c r="N9" s="994"/>
      <c r="O9" s="966"/>
      <c r="P9" s="995"/>
      <c r="Q9" s="990"/>
      <c r="R9" s="993"/>
      <c r="S9" s="990"/>
      <c r="T9" s="993"/>
      <c r="U9" s="990"/>
      <c r="V9" s="993"/>
      <c r="W9" s="996"/>
      <c r="X9" s="993"/>
      <c r="Y9" s="994"/>
      <c r="Z9" s="966"/>
      <c r="AA9" s="997"/>
      <c r="AB9" s="969"/>
    </row>
    <row r="10" spans="1:28" ht="14.25" outlineLevel="1">
      <c r="A10" s="998" t="s">
        <v>321</v>
      </c>
      <c r="B10" s="999"/>
      <c r="C10" s="1000"/>
      <c r="D10" s="1001">
        <v>1.22</v>
      </c>
      <c r="E10" s="1002"/>
      <c r="F10" s="1003">
        <f>D10*D7*1000</f>
        <v>76860</v>
      </c>
      <c r="G10" s="1004"/>
      <c r="H10" s="1003">
        <f>F10</f>
        <v>76860</v>
      </c>
      <c r="I10" s="1006">
        <v>45500</v>
      </c>
      <c r="J10" s="1003">
        <f>F10</f>
        <v>76860</v>
      </c>
      <c r="K10" s="1006">
        <v>45500</v>
      </c>
      <c r="L10" s="1005">
        <f>F10</f>
        <v>76860</v>
      </c>
      <c r="M10" s="1006"/>
      <c r="N10" s="1007"/>
      <c r="O10" s="1008"/>
      <c r="P10" s="1009"/>
      <c r="Q10" s="1003">
        <f>F10</f>
        <v>76860</v>
      </c>
      <c r="R10" s="1006">
        <v>45500</v>
      </c>
      <c r="S10" s="1003">
        <f>F10</f>
        <v>76860</v>
      </c>
      <c r="T10" s="1006">
        <v>45500</v>
      </c>
      <c r="U10" s="1003">
        <f>F10</f>
        <v>76860</v>
      </c>
      <c r="V10" s="1006">
        <v>45500</v>
      </c>
      <c r="W10" s="1010">
        <f>F10</f>
        <v>76860</v>
      </c>
      <c r="X10" s="1006"/>
      <c r="Y10" s="1007"/>
      <c r="Z10" s="1008"/>
      <c r="AA10" s="1011"/>
      <c r="AB10" s="1012"/>
    </row>
    <row r="11" spans="1:28" ht="14.25" outlineLevel="1">
      <c r="A11" s="998" t="s">
        <v>475</v>
      </c>
      <c r="B11" s="999"/>
      <c r="C11" s="1000"/>
      <c r="D11" s="1013"/>
      <c r="E11" s="1002"/>
      <c r="F11" s="1003">
        <f>$F$10</f>
        <v>76860</v>
      </c>
      <c r="G11" s="1004"/>
      <c r="H11" s="1003">
        <f>$F$10</f>
        <v>76860</v>
      </c>
      <c r="I11" s="1006">
        <v>45500</v>
      </c>
      <c r="J11" s="1003">
        <f>$F$10</f>
        <v>76860</v>
      </c>
      <c r="K11" s="1006">
        <v>45500</v>
      </c>
      <c r="L11" s="1010">
        <f>$F$10</f>
        <v>76860</v>
      </c>
      <c r="M11" s="1006"/>
      <c r="N11" s="1007"/>
      <c r="O11" s="1008"/>
      <c r="P11" s="1009"/>
      <c r="Q11" s="1003">
        <f>$F$10</f>
        <v>76860</v>
      </c>
      <c r="R11" s="1006">
        <v>45500</v>
      </c>
      <c r="S11" s="1003">
        <f>$F$10</f>
        <v>76860</v>
      </c>
      <c r="T11" s="1006">
        <v>45500</v>
      </c>
      <c r="U11" s="1003">
        <f>$F$10</f>
        <v>76860</v>
      </c>
      <c r="V11" s="1006">
        <v>45500</v>
      </c>
      <c r="W11" s="1010">
        <f>$F$10</f>
        <v>76860</v>
      </c>
      <c r="X11" s="1006"/>
      <c r="Y11" s="1007"/>
      <c r="Z11" s="1008"/>
      <c r="AA11" s="1011"/>
      <c r="AB11" s="1012"/>
    </row>
    <row r="12" spans="1:28" ht="14.25" hidden="1" outlineLevel="2">
      <c r="A12" s="998" t="s">
        <v>476</v>
      </c>
      <c r="B12" s="999"/>
      <c r="C12" s="1000"/>
      <c r="D12" s="1013"/>
      <c r="E12" s="1002"/>
      <c r="F12" s="1003"/>
      <c r="G12" s="1004"/>
      <c r="H12" s="1003"/>
      <c r="I12" s="1006"/>
      <c r="J12" s="1003"/>
      <c r="K12" s="1006"/>
      <c r="L12" s="1010"/>
      <c r="M12" s="1006"/>
      <c r="N12" s="1007"/>
      <c r="O12" s="1008"/>
      <c r="P12" s="1009"/>
      <c r="Q12" s="1003"/>
      <c r="R12" s="1006"/>
      <c r="S12" s="1003"/>
      <c r="T12" s="1006"/>
      <c r="U12" s="1003"/>
      <c r="V12" s="1006"/>
      <c r="W12" s="1010"/>
      <c r="X12" s="1006"/>
      <c r="Y12" s="1007"/>
      <c r="Z12" s="1008"/>
      <c r="AA12" s="1011"/>
      <c r="AB12" s="1012"/>
    </row>
    <row r="13" spans="1:28" ht="14.25" hidden="1" outlineLevel="2">
      <c r="A13" s="998" t="s">
        <v>477</v>
      </c>
      <c r="B13" s="999"/>
      <c r="C13" s="1000"/>
      <c r="D13" s="1013"/>
      <c r="E13" s="1002"/>
      <c r="F13" s="1003"/>
      <c r="G13" s="1004"/>
      <c r="H13" s="1003"/>
      <c r="I13" s="1006"/>
      <c r="J13" s="1003"/>
      <c r="K13" s="1006"/>
      <c r="L13" s="1010"/>
      <c r="M13" s="1006"/>
      <c r="N13" s="1007"/>
      <c r="O13" s="1008"/>
      <c r="P13" s="1009"/>
      <c r="Q13" s="1003"/>
      <c r="R13" s="1006"/>
      <c r="S13" s="1003"/>
      <c r="T13" s="1006"/>
      <c r="U13" s="1003"/>
      <c r="V13" s="1006"/>
      <c r="W13" s="1010"/>
      <c r="X13" s="1006"/>
      <c r="Y13" s="1007"/>
      <c r="Z13" s="1008"/>
      <c r="AA13" s="1011"/>
      <c r="AB13" s="1012"/>
    </row>
    <row r="14" spans="1:28" ht="14.25" hidden="1" outlineLevel="2">
      <c r="A14" s="998" t="s">
        <v>478</v>
      </c>
      <c r="B14" s="999"/>
      <c r="C14" s="1000"/>
      <c r="D14" s="1013"/>
      <c r="E14" s="1002"/>
      <c r="F14" s="1003"/>
      <c r="G14" s="1004"/>
      <c r="H14" s="1003"/>
      <c r="I14" s="1006"/>
      <c r="J14" s="1003"/>
      <c r="K14" s="1006"/>
      <c r="L14" s="1010"/>
      <c r="M14" s="1006"/>
      <c r="N14" s="1007"/>
      <c r="O14" s="1008"/>
      <c r="P14" s="1009"/>
      <c r="Q14" s="1003"/>
      <c r="R14" s="1006"/>
      <c r="S14" s="1003"/>
      <c r="T14" s="1006"/>
      <c r="U14" s="1003"/>
      <c r="V14" s="1006"/>
      <c r="W14" s="1010"/>
      <c r="X14" s="1006"/>
      <c r="Y14" s="1007"/>
      <c r="Z14" s="1008"/>
      <c r="AA14" s="1011"/>
      <c r="AB14" s="1012"/>
    </row>
    <row r="15" spans="1:28" ht="14.25" hidden="1" outlineLevel="2">
      <c r="A15" s="998" t="s">
        <v>479</v>
      </c>
      <c r="B15" s="999"/>
      <c r="C15" s="1000"/>
      <c r="D15" s="1013"/>
      <c r="E15" s="1002"/>
      <c r="F15" s="1003"/>
      <c r="G15" s="1004"/>
      <c r="H15" s="1003"/>
      <c r="I15" s="1006"/>
      <c r="J15" s="1003"/>
      <c r="K15" s="1006"/>
      <c r="L15" s="1010"/>
      <c r="M15" s="1006"/>
      <c r="N15" s="1007"/>
      <c r="O15" s="1008"/>
      <c r="P15" s="1009"/>
      <c r="Q15" s="1003"/>
      <c r="R15" s="1006"/>
      <c r="S15" s="1003"/>
      <c r="T15" s="1006"/>
      <c r="U15" s="1003"/>
      <c r="V15" s="1006"/>
      <c r="W15" s="1010"/>
      <c r="X15" s="1006"/>
      <c r="Y15" s="1007"/>
      <c r="Z15" s="1008"/>
      <c r="AA15" s="1011"/>
      <c r="AB15" s="1012"/>
    </row>
    <row r="16" spans="1:28" ht="14.25" outlineLevel="1" collapsed="1">
      <c r="A16" s="998" t="s">
        <v>480</v>
      </c>
      <c r="B16" s="999"/>
      <c r="C16" s="1000"/>
      <c r="D16" s="1013"/>
      <c r="E16" s="1002"/>
      <c r="F16" s="1003">
        <v>90000</v>
      </c>
      <c r="G16" s="1004"/>
      <c r="H16" s="1003">
        <v>90000</v>
      </c>
      <c r="I16" s="1006"/>
      <c r="J16" s="1003">
        <v>90000</v>
      </c>
      <c r="K16" s="1006"/>
      <c r="L16" s="1010">
        <v>90000</v>
      </c>
      <c r="M16" s="1006"/>
      <c r="N16" s="1007"/>
      <c r="O16" s="1008"/>
      <c r="P16" s="1009"/>
      <c r="Q16" s="1003">
        <v>90000</v>
      </c>
      <c r="R16" s="1006"/>
      <c r="S16" s="1003">
        <v>90000</v>
      </c>
      <c r="T16" s="1006"/>
      <c r="U16" s="1003">
        <v>90000</v>
      </c>
      <c r="V16" s="1006"/>
      <c r="W16" s="1010">
        <v>90000</v>
      </c>
      <c r="X16" s="1006"/>
      <c r="Y16" s="1007"/>
      <c r="Z16" s="1008"/>
      <c r="AA16" s="1011"/>
      <c r="AB16" s="1012"/>
    </row>
    <row r="17" spans="1:28" ht="14.25" outlineLevel="1">
      <c r="A17" s="1014" t="s">
        <v>481</v>
      </c>
      <c r="B17" s="1015"/>
      <c r="C17" s="1016"/>
      <c r="D17" s="1017"/>
      <c r="E17" s="1018"/>
      <c r="F17" s="1019">
        <v>210000</v>
      </c>
      <c r="G17" s="1020"/>
      <c r="H17" s="1019">
        <v>210000</v>
      </c>
      <c r="I17" s="1022"/>
      <c r="J17" s="1019">
        <v>210000</v>
      </c>
      <c r="K17" s="1022"/>
      <c r="L17" s="1021">
        <v>210000</v>
      </c>
      <c r="M17" s="1022"/>
      <c r="N17" s="1023"/>
      <c r="O17" s="1024"/>
      <c r="P17" s="1025"/>
      <c r="Q17" s="1019">
        <v>210000</v>
      </c>
      <c r="R17" s="1022"/>
      <c r="S17" s="1019">
        <v>210000</v>
      </c>
      <c r="T17" s="1022"/>
      <c r="U17" s="1019">
        <v>210000</v>
      </c>
      <c r="V17" s="1022"/>
      <c r="W17" s="1021">
        <v>210000</v>
      </c>
      <c r="X17" s="1022"/>
      <c r="Y17" s="1023"/>
      <c r="Z17" s="1024"/>
      <c r="AA17" s="1026"/>
      <c r="AB17" s="1027"/>
    </row>
    <row r="18" spans="1:28">
      <c r="A18" s="1028" t="s">
        <v>482</v>
      </c>
      <c r="B18" s="1029"/>
      <c r="C18" s="987"/>
      <c r="D18" s="988"/>
      <c r="E18" s="989"/>
      <c r="F18" s="1030">
        <v>0.88</v>
      </c>
      <c r="G18" s="991"/>
      <c r="H18" s="1030">
        <v>0.87</v>
      </c>
      <c r="I18" s="993"/>
      <c r="J18" s="1030">
        <v>0.86</v>
      </c>
      <c r="K18" s="993"/>
      <c r="L18" s="1031">
        <v>0.88</v>
      </c>
      <c r="M18" s="993"/>
      <c r="N18" s="994"/>
      <c r="O18" s="966"/>
      <c r="P18" s="995"/>
      <c r="Q18" s="1030">
        <v>0.88</v>
      </c>
      <c r="R18" s="993"/>
      <c r="S18" s="1030">
        <v>0.87</v>
      </c>
      <c r="T18" s="993"/>
      <c r="U18" s="1030">
        <v>0.86</v>
      </c>
      <c r="V18" s="993"/>
      <c r="W18" s="1031">
        <v>0.88</v>
      </c>
      <c r="X18" s="993"/>
      <c r="Y18" s="994"/>
      <c r="Z18" s="966"/>
      <c r="AA18" s="997"/>
      <c r="AB18" s="969"/>
    </row>
    <row r="19" spans="1:28">
      <c r="A19" s="1032" t="s">
        <v>483</v>
      </c>
      <c r="B19" s="1033"/>
      <c r="C19" s="1034"/>
      <c r="D19" s="1035"/>
      <c r="E19" s="1036"/>
      <c r="F19" s="1037">
        <f>1/F18</f>
        <v>1.1363636363636365</v>
      </c>
      <c r="G19" s="1038"/>
      <c r="H19" s="1037">
        <f>1/H18</f>
        <v>1.1494252873563218</v>
      </c>
      <c r="I19" s="1040"/>
      <c r="J19" s="1037">
        <f>1/J18</f>
        <v>1.1627906976744187</v>
      </c>
      <c r="K19" s="1040"/>
      <c r="L19" s="1039">
        <f>1/L18</f>
        <v>1.1363636363636365</v>
      </c>
      <c r="M19" s="1040"/>
      <c r="N19" s="1041"/>
      <c r="O19" s="981"/>
      <c r="P19" s="1042"/>
      <c r="Q19" s="1037">
        <f>1/Q18</f>
        <v>1.1363636363636365</v>
      </c>
      <c r="R19" s="1040"/>
      <c r="S19" s="1037">
        <f>1/S18</f>
        <v>1.1494252873563218</v>
      </c>
      <c r="T19" s="1040"/>
      <c r="U19" s="1037">
        <f>1/U18</f>
        <v>1.1627906976744187</v>
      </c>
      <c r="V19" s="1040"/>
      <c r="W19" s="1039">
        <f>1/W18</f>
        <v>1.1363636363636365</v>
      </c>
      <c r="X19" s="1040"/>
      <c r="Y19" s="1041"/>
      <c r="Z19" s="981"/>
      <c r="AA19" s="1043"/>
      <c r="AB19" s="984"/>
    </row>
    <row r="20" spans="1:28" s="1055" customFormat="1">
      <c r="A20" s="1044" t="s">
        <v>484</v>
      </c>
      <c r="B20" s="1045"/>
      <c r="C20" s="1046"/>
      <c r="D20" s="1047"/>
      <c r="E20" s="1048"/>
      <c r="F20" s="1049">
        <f>SUM(F21:F28)</f>
        <v>454.54545454545456</v>
      </c>
      <c r="G20" s="991"/>
      <c r="H20" s="1049">
        <f>SUM(H21:H28)</f>
        <v>0</v>
      </c>
      <c r="I20" s="993"/>
      <c r="J20" s="1049">
        <f>SUM(J21:J28)</f>
        <v>0</v>
      </c>
      <c r="K20" s="993"/>
      <c r="L20" s="1049">
        <f>SUM(L21:L28)</f>
        <v>0</v>
      </c>
      <c r="M20" s="993"/>
      <c r="N20" s="1050">
        <f t="shared" ref="N20:N28" si="0">F20+H20+J20+L20</f>
        <v>454.54545454545456</v>
      </c>
      <c r="O20" s="1051"/>
      <c r="P20" s="1052"/>
      <c r="Q20" s="1049">
        <f>SUM(Q21:Q28)</f>
        <v>0</v>
      </c>
      <c r="R20" s="993"/>
      <c r="S20" s="1049">
        <f>SUM(S21:S28)</f>
        <v>0</v>
      </c>
      <c r="T20" s="993"/>
      <c r="U20" s="1049">
        <f>SUM(U21:U28)</f>
        <v>0</v>
      </c>
      <c r="V20" s="993"/>
      <c r="W20" s="1049">
        <f>SUM(W21:W28)</f>
        <v>0</v>
      </c>
      <c r="X20" s="993"/>
      <c r="Y20" s="1050">
        <f t="shared" ref="Y20:Y28" si="1">Q20+S20+U20+W20</f>
        <v>0</v>
      </c>
      <c r="Z20" s="1051"/>
      <c r="AA20" s="1053">
        <f t="shared" ref="AA20:AA28" si="2">N20+Y20</f>
        <v>454.54545454545456</v>
      </c>
      <c r="AB20" s="1054"/>
    </row>
    <row r="21" spans="1:28" outlineLevel="1">
      <c r="A21" s="1056" t="s">
        <v>321</v>
      </c>
      <c r="B21" s="999"/>
      <c r="C21" s="1057"/>
      <c r="D21" s="1058"/>
      <c r="E21" s="1059"/>
      <c r="F21" s="1060">
        <f>(F19*0.62)*F6</f>
        <v>281.81818181818181</v>
      </c>
      <c r="G21" s="1004"/>
      <c r="H21" s="1060"/>
      <c r="I21" s="1006"/>
      <c r="J21" s="1060">
        <f>(J19*0.7)*J6</f>
        <v>0</v>
      </c>
      <c r="K21" s="1006"/>
      <c r="L21" s="1060">
        <f>(L19*0.62)*L6</f>
        <v>0</v>
      </c>
      <c r="M21" s="1006"/>
      <c r="N21" s="1061">
        <f t="shared" si="0"/>
        <v>281.81818181818181</v>
      </c>
      <c r="O21" s="1062"/>
      <c r="P21" s="1063"/>
      <c r="Q21" s="1060">
        <f>(Q19*0.62)*Q6</f>
        <v>0</v>
      </c>
      <c r="R21" s="1006"/>
      <c r="S21" s="1060"/>
      <c r="T21" s="1006"/>
      <c r="U21" s="1060">
        <f>(U19*0.7)*U6</f>
        <v>0</v>
      </c>
      <c r="V21" s="1006"/>
      <c r="W21" s="1060">
        <f>(W19*0.62)*W6</f>
        <v>0</v>
      </c>
      <c r="X21" s="1006"/>
      <c r="Y21" s="1061">
        <f t="shared" si="1"/>
        <v>0</v>
      </c>
      <c r="Z21" s="1062"/>
      <c r="AA21" s="1064">
        <f t="shared" si="2"/>
        <v>281.81818181818181</v>
      </c>
      <c r="AB21" s="1065"/>
    </row>
    <row r="22" spans="1:28" outlineLevel="1">
      <c r="A22" s="1056" t="s">
        <v>475</v>
      </c>
      <c r="B22" s="999"/>
      <c r="C22" s="1057"/>
      <c r="D22" s="1058"/>
      <c r="E22" s="1059"/>
      <c r="F22" s="1060">
        <f>(F19*0.38)*F6</f>
        <v>172.72727272727275</v>
      </c>
      <c r="G22" s="1004"/>
      <c r="H22" s="1060">
        <f>H19*H6</f>
        <v>0</v>
      </c>
      <c r="I22" s="1006"/>
      <c r="J22" s="1060">
        <f>(J19*0.3)*J6</f>
        <v>0</v>
      </c>
      <c r="K22" s="1006"/>
      <c r="L22" s="1060">
        <f>(L19*0.38)*L6</f>
        <v>0</v>
      </c>
      <c r="M22" s="1006"/>
      <c r="N22" s="1061">
        <f t="shared" si="0"/>
        <v>172.72727272727275</v>
      </c>
      <c r="O22" s="1062"/>
      <c r="P22" s="1063"/>
      <c r="Q22" s="1060">
        <f>(Q19*0.38)*Q6</f>
        <v>0</v>
      </c>
      <c r="R22" s="1006"/>
      <c r="S22" s="1060">
        <f>S19*S6</f>
        <v>0</v>
      </c>
      <c r="T22" s="1006"/>
      <c r="U22" s="1060">
        <f>(U19*0.3)*U6</f>
        <v>0</v>
      </c>
      <c r="V22" s="1006"/>
      <c r="W22" s="1060">
        <f>(W19*0.38)*W6</f>
        <v>0</v>
      </c>
      <c r="X22" s="1006"/>
      <c r="Y22" s="1061">
        <f t="shared" si="1"/>
        <v>0</v>
      </c>
      <c r="Z22" s="1062"/>
      <c r="AA22" s="1064">
        <f t="shared" si="2"/>
        <v>172.72727272727275</v>
      </c>
      <c r="AB22" s="1065"/>
    </row>
    <row r="23" spans="1:28" hidden="1" outlineLevel="2">
      <c r="A23" s="1056" t="s">
        <v>476</v>
      </c>
      <c r="B23" s="999"/>
      <c r="C23" s="1057"/>
      <c r="D23" s="1058"/>
      <c r="E23" s="1059"/>
      <c r="F23" s="1060"/>
      <c r="G23" s="1004"/>
      <c r="H23" s="1060"/>
      <c r="I23" s="1006"/>
      <c r="J23" s="1060"/>
      <c r="K23" s="1006"/>
      <c r="L23" s="1060"/>
      <c r="M23" s="1006"/>
      <c r="N23" s="1061">
        <f t="shared" si="0"/>
        <v>0</v>
      </c>
      <c r="O23" s="1062"/>
      <c r="P23" s="1063"/>
      <c r="Q23" s="1060"/>
      <c r="R23" s="1006"/>
      <c r="S23" s="1060"/>
      <c r="T23" s="1006"/>
      <c r="U23" s="1060"/>
      <c r="V23" s="1006"/>
      <c r="W23" s="1060"/>
      <c r="X23" s="1006"/>
      <c r="Y23" s="1061">
        <f t="shared" si="1"/>
        <v>0</v>
      </c>
      <c r="Z23" s="1062"/>
      <c r="AA23" s="1064">
        <f t="shared" si="2"/>
        <v>0</v>
      </c>
      <c r="AB23" s="1065"/>
    </row>
    <row r="24" spans="1:28" hidden="1" outlineLevel="2">
      <c r="A24" s="1056" t="s">
        <v>477</v>
      </c>
      <c r="B24" s="999"/>
      <c r="C24" s="1057"/>
      <c r="D24" s="1058"/>
      <c r="E24" s="1059"/>
      <c r="F24" s="1060"/>
      <c r="G24" s="1004"/>
      <c r="H24" s="1060"/>
      <c r="I24" s="1006"/>
      <c r="J24" s="1060"/>
      <c r="K24" s="1006"/>
      <c r="L24" s="1060"/>
      <c r="M24" s="1006"/>
      <c r="N24" s="1061">
        <f t="shared" si="0"/>
        <v>0</v>
      </c>
      <c r="O24" s="1062"/>
      <c r="P24" s="1063"/>
      <c r="Q24" s="1060"/>
      <c r="R24" s="1006"/>
      <c r="S24" s="1060"/>
      <c r="T24" s="1006"/>
      <c r="U24" s="1060"/>
      <c r="V24" s="1006"/>
      <c r="W24" s="1060"/>
      <c r="X24" s="1006"/>
      <c r="Y24" s="1061">
        <f t="shared" si="1"/>
        <v>0</v>
      </c>
      <c r="Z24" s="1062"/>
      <c r="AA24" s="1064">
        <f t="shared" si="2"/>
        <v>0</v>
      </c>
      <c r="AB24" s="1065"/>
    </row>
    <row r="25" spans="1:28" hidden="1" outlineLevel="2">
      <c r="A25" s="1056" t="s">
        <v>478</v>
      </c>
      <c r="B25" s="999"/>
      <c r="C25" s="1057"/>
      <c r="D25" s="1058"/>
      <c r="E25" s="1059"/>
      <c r="F25" s="1060"/>
      <c r="G25" s="1004"/>
      <c r="H25" s="1060"/>
      <c r="I25" s="1006"/>
      <c r="J25" s="1060"/>
      <c r="K25" s="1006"/>
      <c r="L25" s="1060"/>
      <c r="M25" s="1006"/>
      <c r="N25" s="1061">
        <f t="shared" si="0"/>
        <v>0</v>
      </c>
      <c r="O25" s="1062"/>
      <c r="P25" s="1063"/>
      <c r="Q25" s="1060"/>
      <c r="R25" s="1006"/>
      <c r="S25" s="1060"/>
      <c r="T25" s="1006"/>
      <c r="U25" s="1060"/>
      <c r="V25" s="1006"/>
      <c r="W25" s="1060"/>
      <c r="X25" s="1006"/>
      <c r="Y25" s="1061">
        <f t="shared" si="1"/>
        <v>0</v>
      </c>
      <c r="Z25" s="1062"/>
      <c r="AA25" s="1064">
        <f t="shared" si="2"/>
        <v>0</v>
      </c>
      <c r="AB25" s="1065"/>
    </row>
    <row r="26" spans="1:28" hidden="1" outlineLevel="2">
      <c r="A26" s="1056" t="s">
        <v>479</v>
      </c>
      <c r="B26" s="999"/>
      <c r="C26" s="1057"/>
      <c r="D26" s="1058"/>
      <c r="E26" s="1059"/>
      <c r="F26" s="1060"/>
      <c r="G26" s="1004"/>
      <c r="H26" s="1060"/>
      <c r="I26" s="1006"/>
      <c r="J26" s="1060"/>
      <c r="K26" s="1006"/>
      <c r="L26" s="1060"/>
      <c r="M26" s="1006"/>
      <c r="N26" s="1061">
        <f t="shared" si="0"/>
        <v>0</v>
      </c>
      <c r="O26" s="1062"/>
      <c r="P26" s="1063"/>
      <c r="Q26" s="1060"/>
      <c r="R26" s="1006"/>
      <c r="S26" s="1060"/>
      <c r="T26" s="1006"/>
      <c r="U26" s="1060"/>
      <c r="V26" s="1006"/>
      <c r="W26" s="1060"/>
      <c r="X26" s="1006"/>
      <c r="Y26" s="1061">
        <f t="shared" si="1"/>
        <v>0</v>
      </c>
      <c r="Z26" s="1062"/>
      <c r="AA26" s="1064">
        <f t="shared" si="2"/>
        <v>0</v>
      </c>
      <c r="AB26" s="1065"/>
    </row>
    <row r="27" spans="1:28" outlineLevel="1" collapsed="1">
      <c r="A27" s="1056" t="s">
        <v>480</v>
      </c>
      <c r="B27" s="999"/>
      <c r="C27" s="1066"/>
      <c r="D27" s="1067"/>
      <c r="E27" s="1059"/>
      <c r="F27" s="1060"/>
      <c r="G27" s="1004"/>
      <c r="H27" s="1060">
        <f>0.041*H6</f>
        <v>0</v>
      </c>
      <c r="I27" s="1006"/>
      <c r="J27" s="1060"/>
      <c r="K27" s="1006"/>
      <c r="L27" s="1060"/>
      <c r="M27" s="1006"/>
      <c r="N27" s="1061">
        <f t="shared" si="0"/>
        <v>0</v>
      </c>
      <c r="O27" s="1062"/>
      <c r="P27" s="1063"/>
      <c r="Q27" s="1060"/>
      <c r="R27" s="1006"/>
      <c r="S27" s="1060">
        <f>0.041*S6</f>
        <v>0</v>
      </c>
      <c r="T27" s="1006"/>
      <c r="U27" s="1060"/>
      <c r="V27" s="1006"/>
      <c r="W27" s="1060"/>
      <c r="X27" s="1006"/>
      <c r="Y27" s="1061">
        <f t="shared" si="1"/>
        <v>0</v>
      </c>
      <c r="Z27" s="1062"/>
      <c r="AA27" s="1064">
        <f t="shared" si="2"/>
        <v>0</v>
      </c>
      <c r="AB27" s="1065"/>
    </row>
    <row r="28" spans="1:28" outlineLevel="1">
      <c r="A28" s="1056" t="s">
        <v>481</v>
      </c>
      <c r="B28" s="999"/>
      <c r="C28" s="1066"/>
      <c r="D28" s="1067"/>
      <c r="E28" s="1059"/>
      <c r="F28" s="1060"/>
      <c r="G28" s="1004"/>
      <c r="H28" s="1060">
        <f>0.004*H6</f>
        <v>0</v>
      </c>
      <c r="I28" s="1006"/>
      <c r="J28" s="1060"/>
      <c r="K28" s="1006"/>
      <c r="L28" s="1060"/>
      <c r="M28" s="1006"/>
      <c r="N28" s="1061">
        <f t="shared" si="0"/>
        <v>0</v>
      </c>
      <c r="O28" s="1062"/>
      <c r="P28" s="1063"/>
      <c r="Q28" s="1060"/>
      <c r="R28" s="1006"/>
      <c r="S28" s="1060">
        <f>0.004*S6</f>
        <v>0</v>
      </c>
      <c r="T28" s="1006"/>
      <c r="U28" s="1060"/>
      <c r="V28" s="1006"/>
      <c r="W28" s="1060"/>
      <c r="X28" s="1006"/>
      <c r="Y28" s="1061">
        <f t="shared" si="1"/>
        <v>0</v>
      </c>
      <c r="Z28" s="1062"/>
      <c r="AA28" s="1064">
        <f t="shared" si="2"/>
        <v>0</v>
      </c>
      <c r="AB28" s="1065"/>
    </row>
    <row r="29" spans="1:28" outlineLevel="1">
      <c r="A29" s="1068"/>
      <c r="B29" s="1015"/>
      <c r="C29" s="1069"/>
      <c r="D29" s="1070"/>
      <c r="E29" s="1071"/>
      <c r="F29" s="1072"/>
      <c r="G29" s="1020"/>
      <c r="H29" s="1072"/>
      <c r="I29" s="1022"/>
      <c r="J29" s="1072"/>
      <c r="K29" s="1022"/>
      <c r="L29" s="1072"/>
      <c r="M29" s="1022"/>
      <c r="N29" s="1041"/>
      <c r="O29" s="981"/>
      <c r="P29" s="1042"/>
      <c r="Q29" s="1072"/>
      <c r="R29" s="1022"/>
      <c r="S29" s="1072"/>
      <c r="T29" s="1022"/>
      <c r="U29" s="1072"/>
      <c r="V29" s="1022"/>
      <c r="W29" s="1072"/>
      <c r="X29" s="1022"/>
      <c r="Y29" s="1041"/>
      <c r="Z29" s="981"/>
      <c r="AA29" s="1043"/>
      <c r="AB29" s="984"/>
    </row>
    <row r="30" spans="1:28" s="1087" customFormat="1">
      <c r="A30" s="1073" t="s">
        <v>485</v>
      </c>
      <c r="B30" s="1074"/>
      <c r="C30" s="1075" t="s">
        <v>486</v>
      </c>
      <c r="D30" s="1076" t="s">
        <v>487</v>
      </c>
      <c r="E30" s="1077"/>
      <c r="F30" s="1078">
        <f>SUM(F31:F33)</f>
        <v>40927715</v>
      </c>
      <c r="G30" s="1079">
        <f t="shared" ref="G30:G56" si="3">IF($F$6=0,0,F30/$F$6)</f>
        <v>102319.28750000001</v>
      </c>
      <c r="H30" s="1078">
        <f>SUM(H31:H33)</f>
        <v>0</v>
      </c>
      <c r="I30" s="1081">
        <f t="shared" ref="I30:I56" si="4">IF($H$6=0,0,H30/$H$6)</f>
        <v>0</v>
      </c>
      <c r="J30" s="1078">
        <f>SUM(J31:J33)</f>
        <v>0</v>
      </c>
      <c r="K30" s="1081">
        <f t="shared" ref="K30:K56" si="5">IF($J$6=0,0,J30/$J$6)</f>
        <v>0</v>
      </c>
      <c r="L30" s="1080">
        <f>SUM(L31:L33)</f>
        <v>0</v>
      </c>
      <c r="M30" s="1081">
        <f t="shared" ref="M30:M56" si="6">IF($L$6=0,0,L30/$L$6)</f>
        <v>0</v>
      </c>
      <c r="N30" s="1082">
        <f t="shared" ref="N30:N48" si="7">F30+H30+J30+L30</f>
        <v>40927715</v>
      </c>
      <c r="O30" s="1083">
        <f t="shared" ref="O30:O49" si="8">IF($N$6=0,0,N30/$N$6)</f>
        <v>102319.28750000001</v>
      </c>
      <c r="P30" s="1084"/>
      <c r="Q30" s="1078">
        <f>SUM(Q31:Q33)</f>
        <v>0</v>
      </c>
      <c r="R30" s="1081">
        <f t="shared" ref="R30:R56" si="9">IF($Q$6=0,0,Q30/$Q$6)</f>
        <v>0</v>
      </c>
      <c r="S30" s="1078">
        <f>SUM(S31:S33)</f>
        <v>0</v>
      </c>
      <c r="T30" s="1081">
        <f t="shared" ref="T30:T56" si="10">IF($S$6=0,0,S30/$S$6)</f>
        <v>0</v>
      </c>
      <c r="U30" s="1078">
        <f>SUM(U31:U33)</f>
        <v>0</v>
      </c>
      <c r="V30" s="1081">
        <f t="shared" ref="V30:V56" si="11">IF($U$6=0,0,U30/$U$6)</f>
        <v>0</v>
      </c>
      <c r="W30" s="1080">
        <f>SUM(W31:W33)</f>
        <v>0</v>
      </c>
      <c r="X30" s="1081">
        <f t="shared" ref="X30:X56" si="12">IF($W$6=0,0,W30/$W$6)</f>
        <v>0</v>
      </c>
      <c r="Y30" s="1082">
        <f t="shared" ref="Y30:Y48" si="13">Q30+S30+U30+W30</f>
        <v>0</v>
      </c>
      <c r="Z30" s="1083">
        <f t="shared" ref="Z30:Z47" si="14">IF($Y$6=0,0,Y30/$Y$6)</f>
        <v>0</v>
      </c>
      <c r="AA30" s="1085">
        <f t="shared" ref="AA30:AA47" si="15">N30+Y30</f>
        <v>40927715</v>
      </c>
      <c r="AB30" s="1086">
        <f t="shared" ref="AB30:AB49" si="16">IF($AA$6=0,0,AA30/$AA$6)</f>
        <v>102319.28750000001</v>
      </c>
    </row>
    <row r="31" spans="1:28" outlineLevel="1">
      <c r="A31" s="1088" t="s">
        <v>488</v>
      </c>
      <c r="B31" s="1089"/>
      <c r="C31" s="1090"/>
      <c r="D31" s="1091"/>
      <c r="E31" s="1092"/>
      <c r="F31" s="1093">
        <f>F6*F8</f>
        <v>39917115</v>
      </c>
      <c r="G31" s="1094">
        <f t="shared" si="3"/>
        <v>99792.787500000006</v>
      </c>
      <c r="H31" s="1093">
        <f>H6*H8</f>
        <v>0</v>
      </c>
      <c r="I31" s="1096">
        <f t="shared" si="4"/>
        <v>0</v>
      </c>
      <c r="J31" s="1093">
        <f>J6*J8</f>
        <v>0</v>
      </c>
      <c r="K31" s="1096">
        <f t="shared" si="5"/>
        <v>0</v>
      </c>
      <c r="L31" s="1095">
        <f>L6*L8</f>
        <v>0</v>
      </c>
      <c r="M31" s="1096">
        <f t="shared" si="6"/>
        <v>0</v>
      </c>
      <c r="N31" s="1097">
        <f t="shared" si="7"/>
        <v>39917115</v>
      </c>
      <c r="O31" s="1098">
        <f t="shared" si="8"/>
        <v>99792.787500000006</v>
      </c>
      <c r="P31" s="1099"/>
      <c r="Q31" s="1093">
        <f>Q6*Q8</f>
        <v>0</v>
      </c>
      <c r="R31" s="1096">
        <f t="shared" si="9"/>
        <v>0</v>
      </c>
      <c r="S31" s="1093">
        <f>S6*S8</f>
        <v>0</v>
      </c>
      <c r="T31" s="1096">
        <f t="shared" si="10"/>
        <v>0</v>
      </c>
      <c r="U31" s="1093">
        <f>U6*U8</f>
        <v>0</v>
      </c>
      <c r="V31" s="1096">
        <f t="shared" si="11"/>
        <v>0</v>
      </c>
      <c r="W31" s="1095">
        <f>W6*W8</f>
        <v>0</v>
      </c>
      <c r="X31" s="1096">
        <f t="shared" si="12"/>
        <v>0</v>
      </c>
      <c r="Y31" s="1097">
        <f t="shared" si="13"/>
        <v>0</v>
      </c>
      <c r="Z31" s="1098">
        <f t="shared" si="14"/>
        <v>0</v>
      </c>
      <c r="AA31" s="1100">
        <f t="shared" si="15"/>
        <v>39917115</v>
      </c>
      <c r="AB31" s="1101">
        <f t="shared" si="16"/>
        <v>99792.787500000006</v>
      </c>
    </row>
    <row r="32" spans="1:28" outlineLevel="1">
      <c r="A32" s="1088" t="s">
        <v>489</v>
      </c>
      <c r="B32" s="1089"/>
      <c r="C32" s="1102">
        <v>6.7000000000000004E-2</v>
      </c>
      <c r="D32" s="1103">
        <v>33500</v>
      </c>
      <c r="E32" s="1092"/>
      <c r="F32" s="1093">
        <f>F6*$C32*$D32</f>
        <v>897800</v>
      </c>
      <c r="G32" s="1094">
        <f t="shared" si="3"/>
        <v>2244.5</v>
      </c>
      <c r="H32" s="1093">
        <f>H6*$C32*$D32</f>
        <v>0</v>
      </c>
      <c r="I32" s="1096">
        <f t="shared" si="4"/>
        <v>0</v>
      </c>
      <c r="J32" s="1093">
        <f>J6*$C32*$D32</f>
        <v>0</v>
      </c>
      <c r="K32" s="1096">
        <f t="shared" si="5"/>
        <v>0</v>
      </c>
      <c r="L32" s="1095">
        <f>L6*$C32*$D32</f>
        <v>0</v>
      </c>
      <c r="M32" s="1096">
        <f t="shared" si="6"/>
        <v>0</v>
      </c>
      <c r="N32" s="1097">
        <f t="shared" si="7"/>
        <v>897800</v>
      </c>
      <c r="O32" s="1098">
        <f t="shared" si="8"/>
        <v>2244.5</v>
      </c>
      <c r="P32" s="1099"/>
      <c r="Q32" s="1093">
        <f>Q6*$C32*$D32</f>
        <v>0</v>
      </c>
      <c r="R32" s="1096">
        <f t="shared" si="9"/>
        <v>0</v>
      </c>
      <c r="S32" s="1093">
        <f>S6*$C32*$D32</f>
        <v>0</v>
      </c>
      <c r="T32" s="1096">
        <f t="shared" si="10"/>
        <v>0</v>
      </c>
      <c r="U32" s="1093">
        <f>U6*$C32*$D32</f>
        <v>0</v>
      </c>
      <c r="V32" s="1096">
        <f t="shared" si="11"/>
        <v>0</v>
      </c>
      <c r="W32" s="1095">
        <f>W6*$C32*$D32</f>
        <v>0</v>
      </c>
      <c r="X32" s="1096">
        <f t="shared" si="12"/>
        <v>0</v>
      </c>
      <c r="Y32" s="1097">
        <f t="shared" si="13"/>
        <v>0</v>
      </c>
      <c r="Z32" s="1098">
        <f t="shared" si="14"/>
        <v>0</v>
      </c>
      <c r="AA32" s="1100">
        <f t="shared" si="15"/>
        <v>897800</v>
      </c>
      <c r="AB32" s="1101">
        <f t="shared" si="16"/>
        <v>2244.5</v>
      </c>
    </row>
    <row r="33" spans="1:28" outlineLevel="1">
      <c r="A33" s="1104" t="s">
        <v>320</v>
      </c>
      <c r="B33" s="1105"/>
      <c r="C33" s="1106">
        <v>4.7E-2</v>
      </c>
      <c r="D33" s="1107">
        <v>6000</v>
      </c>
      <c r="E33" s="1108"/>
      <c r="F33" s="1109">
        <f>F6*$C33*$D33</f>
        <v>112800</v>
      </c>
      <c r="G33" s="1110">
        <f t="shared" si="3"/>
        <v>282</v>
      </c>
      <c r="H33" s="1109">
        <f>H6*$C33*$D33</f>
        <v>0</v>
      </c>
      <c r="I33" s="1112">
        <f t="shared" si="4"/>
        <v>0</v>
      </c>
      <c r="J33" s="1109">
        <f>J6*$C33*$D33</f>
        <v>0</v>
      </c>
      <c r="K33" s="1112">
        <f t="shared" si="5"/>
        <v>0</v>
      </c>
      <c r="L33" s="1111">
        <f>L6*$C33*$D33</f>
        <v>0</v>
      </c>
      <c r="M33" s="1112">
        <f t="shared" si="6"/>
        <v>0</v>
      </c>
      <c r="N33" s="1113">
        <f t="shared" si="7"/>
        <v>112800</v>
      </c>
      <c r="O33" s="1114">
        <f t="shared" si="8"/>
        <v>282</v>
      </c>
      <c r="P33" s="1115"/>
      <c r="Q33" s="1109">
        <f>Q6*$C33*$D33</f>
        <v>0</v>
      </c>
      <c r="R33" s="1112">
        <f t="shared" si="9"/>
        <v>0</v>
      </c>
      <c r="S33" s="1109">
        <f>S6*$C33*$D33</f>
        <v>0</v>
      </c>
      <c r="T33" s="1112">
        <f t="shared" si="10"/>
        <v>0</v>
      </c>
      <c r="U33" s="1109">
        <f>U6*$C33*$D33</f>
        <v>0</v>
      </c>
      <c r="V33" s="1112">
        <f t="shared" si="11"/>
        <v>0</v>
      </c>
      <c r="W33" s="1111">
        <f>W6*$C33*$D33</f>
        <v>0</v>
      </c>
      <c r="X33" s="1112">
        <f t="shared" si="12"/>
        <v>0</v>
      </c>
      <c r="Y33" s="1113">
        <f t="shared" si="13"/>
        <v>0</v>
      </c>
      <c r="Z33" s="1114">
        <f t="shared" si="14"/>
        <v>0</v>
      </c>
      <c r="AA33" s="1116">
        <f t="shared" si="15"/>
        <v>112800</v>
      </c>
      <c r="AB33" s="1117">
        <f t="shared" si="16"/>
        <v>282</v>
      </c>
    </row>
    <row r="34" spans="1:28" s="1087" customFormat="1">
      <c r="A34" s="1118" t="s">
        <v>490</v>
      </c>
      <c r="B34" s="1119"/>
      <c r="C34" s="1120"/>
      <c r="D34" s="1121"/>
      <c r="E34" s="1122"/>
      <c r="F34" s="1123">
        <f>F35</f>
        <v>34936363.63636364</v>
      </c>
      <c r="G34" s="1124">
        <f t="shared" si="3"/>
        <v>87340.909090909103</v>
      </c>
      <c r="H34" s="1123">
        <f>H35</f>
        <v>0</v>
      </c>
      <c r="I34" s="1126">
        <f t="shared" si="4"/>
        <v>0</v>
      </c>
      <c r="J34" s="1123">
        <f>J35</f>
        <v>0</v>
      </c>
      <c r="K34" s="1126">
        <f t="shared" si="5"/>
        <v>0</v>
      </c>
      <c r="L34" s="1125">
        <f>L35</f>
        <v>0</v>
      </c>
      <c r="M34" s="1126">
        <f t="shared" si="6"/>
        <v>0</v>
      </c>
      <c r="N34" s="1127">
        <f t="shared" si="7"/>
        <v>34936363.63636364</v>
      </c>
      <c r="O34" s="1128">
        <f t="shared" si="8"/>
        <v>87340.909090909103</v>
      </c>
      <c r="P34" s="1084"/>
      <c r="Q34" s="1123">
        <f>Q35</f>
        <v>0</v>
      </c>
      <c r="R34" s="1126">
        <f t="shared" si="9"/>
        <v>0</v>
      </c>
      <c r="S34" s="1123">
        <f>S35</f>
        <v>0</v>
      </c>
      <c r="T34" s="1126">
        <f t="shared" si="10"/>
        <v>0</v>
      </c>
      <c r="U34" s="1123">
        <f>U35</f>
        <v>0</v>
      </c>
      <c r="V34" s="1126">
        <f t="shared" si="11"/>
        <v>0</v>
      </c>
      <c r="W34" s="1125">
        <f>W35</f>
        <v>0</v>
      </c>
      <c r="X34" s="1126">
        <f t="shared" si="12"/>
        <v>0</v>
      </c>
      <c r="Y34" s="1127">
        <f t="shared" si="13"/>
        <v>0</v>
      </c>
      <c r="Z34" s="1128">
        <f t="shared" si="14"/>
        <v>0</v>
      </c>
      <c r="AA34" s="1129">
        <f t="shared" si="15"/>
        <v>34936363.63636364</v>
      </c>
      <c r="AB34" s="1130">
        <f t="shared" si="16"/>
        <v>87340.909090909103</v>
      </c>
    </row>
    <row r="35" spans="1:28" s="1087" customFormat="1">
      <c r="A35" s="1131" t="s">
        <v>491</v>
      </c>
      <c r="B35" s="1132"/>
      <c r="C35" s="1133"/>
      <c r="D35" s="1134"/>
      <c r="E35" s="1135"/>
      <c r="F35" s="1136">
        <f>SUM(F36:F43)</f>
        <v>34936363.63636364</v>
      </c>
      <c r="G35" s="1137">
        <f t="shared" si="3"/>
        <v>87340.909090909103</v>
      </c>
      <c r="H35" s="1136">
        <f>SUM(H36:H43)</f>
        <v>0</v>
      </c>
      <c r="I35" s="1139">
        <f t="shared" si="4"/>
        <v>0</v>
      </c>
      <c r="J35" s="1136">
        <f>SUM(J36:J43)</f>
        <v>0</v>
      </c>
      <c r="K35" s="1139">
        <f t="shared" si="5"/>
        <v>0</v>
      </c>
      <c r="L35" s="1138">
        <f>SUM(L36:L43)</f>
        <v>0</v>
      </c>
      <c r="M35" s="1139">
        <f t="shared" si="6"/>
        <v>0</v>
      </c>
      <c r="N35" s="1140">
        <f t="shared" si="7"/>
        <v>34936363.63636364</v>
      </c>
      <c r="O35" s="1141">
        <f t="shared" si="8"/>
        <v>87340.909090909103</v>
      </c>
      <c r="P35" s="1142"/>
      <c r="Q35" s="1136">
        <f>SUM(Q36:Q43)</f>
        <v>0</v>
      </c>
      <c r="R35" s="1139">
        <f t="shared" si="9"/>
        <v>0</v>
      </c>
      <c r="S35" s="1136">
        <f>SUM(S36:S43)</f>
        <v>0</v>
      </c>
      <c r="T35" s="1139">
        <f t="shared" si="10"/>
        <v>0</v>
      </c>
      <c r="U35" s="1136">
        <f>SUM(U36:U43)</f>
        <v>0</v>
      </c>
      <c r="V35" s="1139">
        <f t="shared" si="11"/>
        <v>0</v>
      </c>
      <c r="W35" s="1138">
        <f>SUM(W36:W43)</f>
        <v>0</v>
      </c>
      <c r="X35" s="1139">
        <f t="shared" si="12"/>
        <v>0</v>
      </c>
      <c r="Y35" s="1140">
        <f t="shared" si="13"/>
        <v>0</v>
      </c>
      <c r="Z35" s="1141">
        <f t="shared" si="14"/>
        <v>0</v>
      </c>
      <c r="AA35" s="1143">
        <f t="shared" si="15"/>
        <v>34936363.63636364</v>
      </c>
      <c r="AB35" s="1144">
        <f t="shared" si="16"/>
        <v>87340.909090909103</v>
      </c>
    </row>
    <row r="36" spans="1:28" outlineLevel="1">
      <c r="A36" s="1056" t="s">
        <v>321</v>
      </c>
      <c r="B36" s="999"/>
      <c r="C36" s="1057"/>
      <c r="D36" s="1058"/>
      <c r="E36" s="1145"/>
      <c r="F36" s="1093">
        <f t="shared" ref="F36:F43" si="17">F10*F21</f>
        <v>21660545.454545453</v>
      </c>
      <c r="G36" s="1094">
        <f t="shared" si="3"/>
        <v>54151.363636363632</v>
      </c>
      <c r="H36" s="1093">
        <f t="shared" ref="H36:H43" si="18">H10*H21</f>
        <v>0</v>
      </c>
      <c r="I36" s="1096">
        <f t="shared" si="4"/>
        <v>0</v>
      </c>
      <c r="J36" s="1093">
        <f t="shared" ref="J36:J43" si="19">J10*J21</f>
        <v>0</v>
      </c>
      <c r="K36" s="1096">
        <f t="shared" si="5"/>
        <v>0</v>
      </c>
      <c r="L36" s="1095">
        <f t="shared" ref="L36:L43" si="20">L10*L21</f>
        <v>0</v>
      </c>
      <c r="M36" s="1096">
        <f t="shared" si="6"/>
        <v>0</v>
      </c>
      <c r="N36" s="1097">
        <f t="shared" si="7"/>
        <v>21660545.454545453</v>
      </c>
      <c r="O36" s="1098">
        <f t="shared" si="8"/>
        <v>54151.363636363632</v>
      </c>
      <c r="P36" s="1099"/>
      <c r="Q36" s="1093">
        <f t="shared" ref="Q36:Q43" si="21">Q10*Q21</f>
        <v>0</v>
      </c>
      <c r="R36" s="1096">
        <f t="shared" si="9"/>
        <v>0</v>
      </c>
      <c r="S36" s="1093">
        <f t="shared" ref="S36:S43" si="22">S10*S21</f>
        <v>0</v>
      </c>
      <c r="T36" s="1096">
        <f t="shared" si="10"/>
        <v>0</v>
      </c>
      <c r="U36" s="1093">
        <f t="shared" ref="U36:U43" si="23">U10*U21</f>
        <v>0</v>
      </c>
      <c r="V36" s="1096">
        <f t="shared" si="11"/>
        <v>0</v>
      </c>
      <c r="W36" s="1095">
        <f t="shared" ref="W36:W43" si="24">W10*W21</f>
        <v>0</v>
      </c>
      <c r="X36" s="1096">
        <f t="shared" si="12"/>
        <v>0</v>
      </c>
      <c r="Y36" s="1097">
        <f t="shared" si="13"/>
        <v>0</v>
      </c>
      <c r="Z36" s="1098">
        <f t="shared" si="14"/>
        <v>0</v>
      </c>
      <c r="AA36" s="1100">
        <f t="shared" si="15"/>
        <v>21660545.454545453</v>
      </c>
      <c r="AB36" s="1101">
        <f t="shared" si="16"/>
        <v>54151.363636363632</v>
      </c>
    </row>
    <row r="37" spans="1:28" outlineLevel="1">
      <c r="A37" s="1056" t="s">
        <v>475</v>
      </c>
      <c r="B37" s="999"/>
      <c r="C37" s="1057"/>
      <c r="D37" s="1058"/>
      <c r="E37" s="1145"/>
      <c r="F37" s="1093">
        <f t="shared" si="17"/>
        <v>13275818.181818184</v>
      </c>
      <c r="G37" s="1094">
        <f t="shared" si="3"/>
        <v>33189.545454545456</v>
      </c>
      <c r="H37" s="1093">
        <f t="shared" si="18"/>
        <v>0</v>
      </c>
      <c r="I37" s="1096">
        <f t="shared" si="4"/>
        <v>0</v>
      </c>
      <c r="J37" s="1093">
        <f t="shared" si="19"/>
        <v>0</v>
      </c>
      <c r="K37" s="1096">
        <f t="shared" si="5"/>
        <v>0</v>
      </c>
      <c r="L37" s="1095">
        <f t="shared" si="20"/>
        <v>0</v>
      </c>
      <c r="M37" s="1096">
        <f t="shared" si="6"/>
        <v>0</v>
      </c>
      <c r="N37" s="1097">
        <f t="shared" si="7"/>
        <v>13275818.181818184</v>
      </c>
      <c r="O37" s="1098">
        <f t="shared" si="8"/>
        <v>33189.545454545456</v>
      </c>
      <c r="P37" s="1099"/>
      <c r="Q37" s="1093">
        <f t="shared" si="21"/>
        <v>0</v>
      </c>
      <c r="R37" s="1096">
        <f t="shared" si="9"/>
        <v>0</v>
      </c>
      <c r="S37" s="1093">
        <f t="shared" si="22"/>
        <v>0</v>
      </c>
      <c r="T37" s="1096">
        <f t="shared" si="10"/>
        <v>0</v>
      </c>
      <c r="U37" s="1093">
        <f t="shared" si="23"/>
        <v>0</v>
      </c>
      <c r="V37" s="1096">
        <f t="shared" si="11"/>
        <v>0</v>
      </c>
      <c r="W37" s="1095">
        <f t="shared" si="24"/>
        <v>0</v>
      </c>
      <c r="X37" s="1096">
        <f t="shared" si="12"/>
        <v>0</v>
      </c>
      <c r="Y37" s="1097">
        <f t="shared" si="13"/>
        <v>0</v>
      </c>
      <c r="Z37" s="1098">
        <f t="shared" si="14"/>
        <v>0</v>
      </c>
      <c r="AA37" s="1100">
        <f t="shared" si="15"/>
        <v>13275818.181818184</v>
      </c>
      <c r="AB37" s="1101">
        <f t="shared" si="16"/>
        <v>33189.545454545456</v>
      </c>
    </row>
    <row r="38" spans="1:28" hidden="1" outlineLevel="2">
      <c r="A38" s="1056" t="s">
        <v>476</v>
      </c>
      <c r="B38" s="999"/>
      <c r="C38" s="1057"/>
      <c r="D38" s="1058"/>
      <c r="E38" s="1145"/>
      <c r="F38" s="1093">
        <f t="shared" si="17"/>
        <v>0</v>
      </c>
      <c r="G38" s="1094">
        <f t="shared" si="3"/>
        <v>0</v>
      </c>
      <c r="H38" s="1093">
        <f t="shared" si="18"/>
        <v>0</v>
      </c>
      <c r="I38" s="1096">
        <f t="shared" si="4"/>
        <v>0</v>
      </c>
      <c r="J38" s="1093">
        <f t="shared" si="19"/>
        <v>0</v>
      </c>
      <c r="K38" s="1096">
        <f t="shared" si="5"/>
        <v>0</v>
      </c>
      <c r="L38" s="1095">
        <f t="shared" si="20"/>
        <v>0</v>
      </c>
      <c r="M38" s="1096">
        <f t="shared" si="6"/>
        <v>0</v>
      </c>
      <c r="N38" s="1097">
        <f t="shared" si="7"/>
        <v>0</v>
      </c>
      <c r="O38" s="1098">
        <f t="shared" si="8"/>
        <v>0</v>
      </c>
      <c r="P38" s="1099"/>
      <c r="Q38" s="1093">
        <f t="shared" si="21"/>
        <v>0</v>
      </c>
      <c r="R38" s="1096">
        <f t="shared" si="9"/>
        <v>0</v>
      </c>
      <c r="S38" s="1093">
        <f t="shared" si="22"/>
        <v>0</v>
      </c>
      <c r="T38" s="1096">
        <f t="shared" si="10"/>
        <v>0</v>
      </c>
      <c r="U38" s="1093">
        <f t="shared" si="23"/>
        <v>0</v>
      </c>
      <c r="V38" s="1096">
        <f t="shared" si="11"/>
        <v>0</v>
      </c>
      <c r="W38" s="1095">
        <f t="shared" si="24"/>
        <v>0</v>
      </c>
      <c r="X38" s="1096">
        <f t="shared" si="12"/>
        <v>0</v>
      </c>
      <c r="Y38" s="1097">
        <f t="shared" si="13"/>
        <v>0</v>
      </c>
      <c r="Z38" s="1098">
        <f t="shared" si="14"/>
        <v>0</v>
      </c>
      <c r="AA38" s="1100">
        <f t="shared" si="15"/>
        <v>0</v>
      </c>
      <c r="AB38" s="1101">
        <f t="shared" si="16"/>
        <v>0</v>
      </c>
    </row>
    <row r="39" spans="1:28" hidden="1" outlineLevel="2">
      <c r="A39" s="1056" t="s">
        <v>477</v>
      </c>
      <c r="B39" s="999"/>
      <c r="C39" s="1057"/>
      <c r="D39" s="1058"/>
      <c r="E39" s="1145"/>
      <c r="F39" s="1093">
        <f t="shared" si="17"/>
        <v>0</v>
      </c>
      <c r="G39" s="1094">
        <f t="shared" si="3"/>
        <v>0</v>
      </c>
      <c r="H39" s="1093">
        <f t="shared" si="18"/>
        <v>0</v>
      </c>
      <c r="I39" s="1096">
        <f t="shared" si="4"/>
        <v>0</v>
      </c>
      <c r="J39" s="1093">
        <f t="shared" si="19"/>
        <v>0</v>
      </c>
      <c r="K39" s="1096">
        <f t="shared" si="5"/>
        <v>0</v>
      </c>
      <c r="L39" s="1095">
        <f t="shared" si="20"/>
        <v>0</v>
      </c>
      <c r="M39" s="1096">
        <f t="shared" si="6"/>
        <v>0</v>
      </c>
      <c r="N39" s="1097">
        <f t="shared" si="7"/>
        <v>0</v>
      </c>
      <c r="O39" s="1098">
        <f t="shared" si="8"/>
        <v>0</v>
      </c>
      <c r="P39" s="1099"/>
      <c r="Q39" s="1093">
        <f t="shared" si="21"/>
        <v>0</v>
      </c>
      <c r="R39" s="1096">
        <f t="shared" si="9"/>
        <v>0</v>
      </c>
      <c r="S39" s="1093">
        <f t="shared" si="22"/>
        <v>0</v>
      </c>
      <c r="T39" s="1096">
        <f t="shared" si="10"/>
        <v>0</v>
      </c>
      <c r="U39" s="1093">
        <f t="shared" si="23"/>
        <v>0</v>
      </c>
      <c r="V39" s="1096">
        <f t="shared" si="11"/>
        <v>0</v>
      </c>
      <c r="W39" s="1095">
        <f t="shared" si="24"/>
        <v>0</v>
      </c>
      <c r="X39" s="1096">
        <f t="shared" si="12"/>
        <v>0</v>
      </c>
      <c r="Y39" s="1097">
        <f t="shared" si="13"/>
        <v>0</v>
      </c>
      <c r="Z39" s="1098">
        <f t="shared" si="14"/>
        <v>0</v>
      </c>
      <c r="AA39" s="1100">
        <f t="shared" si="15"/>
        <v>0</v>
      </c>
      <c r="AB39" s="1101">
        <f t="shared" si="16"/>
        <v>0</v>
      </c>
    </row>
    <row r="40" spans="1:28" hidden="1" outlineLevel="2">
      <c r="A40" s="1056" t="s">
        <v>478</v>
      </c>
      <c r="B40" s="999"/>
      <c r="C40" s="1057"/>
      <c r="D40" s="1058"/>
      <c r="E40" s="1145"/>
      <c r="F40" s="1093">
        <f t="shared" si="17"/>
        <v>0</v>
      </c>
      <c r="G40" s="1094">
        <f t="shared" si="3"/>
        <v>0</v>
      </c>
      <c r="H40" s="1093">
        <f t="shared" si="18"/>
        <v>0</v>
      </c>
      <c r="I40" s="1096">
        <f t="shared" si="4"/>
        <v>0</v>
      </c>
      <c r="J40" s="1093">
        <f t="shared" si="19"/>
        <v>0</v>
      </c>
      <c r="K40" s="1096">
        <f t="shared" si="5"/>
        <v>0</v>
      </c>
      <c r="L40" s="1095">
        <f t="shared" si="20"/>
        <v>0</v>
      </c>
      <c r="M40" s="1096">
        <f t="shared" si="6"/>
        <v>0</v>
      </c>
      <c r="N40" s="1097">
        <f t="shared" si="7"/>
        <v>0</v>
      </c>
      <c r="O40" s="1098">
        <f t="shared" si="8"/>
        <v>0</v>
      </c>
      <c r="P40" s="1099"/>
      <c r="Q40" s="1093">
        <f t="shared" si="21"/>
        <v>0</v>
      </c>
      <c r="R40" s="1096">
        <f t="shared" si="9"/>
        <v>0</v>
      </c>
      <c r="S40" s="1093">
        <f t="shared" si="22"/>
        <v>0</v>
      </c>
      <c r="T40" s="1096">
        <f t="shared" si="10"/>
        <v>0</v>
      </c>
      <c r="U40" s="1093">
        <f t="shared" si="23"/>
        <v>0</v>
      </c>
      <c r="V40" s="1096">
        <f t="shared" si="11"/>
        <v>0</v>
      </c>
      <c r="W40" s="1095">
        <f t="shared" si="24"/>
        <v>0</v>
      </c>
      <c r="X40" s="1096">
        <f t="shared" si="12"/>
        <v>0</v>
      </c>
      <c r="Y40" s="1097">
        <f t="shared" si="13"/>
        <v>0</v>
      </c>
      <c r="Z40" s="1098">
        <f t="shared" si="14"/>
        <v>0</v>
      </c>
      <c r="AA40" s="1100">
        <f t="shared" si="15"/>
        <v>0</v>
      </c>
      <c r="AB40" s="1101">
        <f t="shared" si="16"/>
        <v>0</v>
      </c>
    </row>
    <row r="41" spans="1:28" hidden="1" outlineLevel="2">
      <c r="A41" s="1056" t="s">
        <v>479</v>
      </c>
      <c r="B41" s="999"/>
      <c r="C41" s="1057"/>
      <c r="D41" s="1058"/>
      <c r="E41" s="1145"/>
      <c r="F41" s="1093">
        <f t="shared" si="17"/>
        <v>0</v>
      </c>
      <c r="G41" s="1094">
        <f t="shared" si="3"/>
        <v>0</v>
      </c>
      <c r="H41" s="1093">
        <f t="shared" si="18"/>
        <v>0</v>
      </c>
      <c r="I41" s="1096">
        <f t="shared" si="4"/>
        <v>0</v>
      </c>
      <c r="J41" s="1093">
        <f t="shared" si="19"/>
        <v>0</v>
      </c>
      <c r="K41" s="1096">
        <f t="shared" si="5"/>
        <v>0</v>
      </c>
      <c r="L41" s="1095">
        <f t="shared" si="20"/>
        <v>0</v>
      </c>
      <c r="M41" s="1096">
        <f t="shared" si="6"/>
        <v>0</v>
      </c>
      <c r="N41" s="1097">
        <f t="shared" si="7"/>
        <v>0</v>
      </c>
      <c r="O41" s="1098">
        <f t="shared" si="8"/>
        <v>0</v>
      </c>
      <c r="P41" s="1099"/>
      <c r="Q41" s="1093">
        <f t="shared" si="21"/>
        <v>0</v>
      </c>
      <c r="R41" s="1096">
        <f t="shared" si="9"/>
        <v>0</v>
      </c>
      <c r="S41" s="1093">
        <f t="shared" si="22"/>
        <v>0</v>
      </c>
      <c r="T41" s="1096">
        <f t="shared" si="10"/>
        <v>0</v>
      </c>
      <c r="U41" s="1093">
        <f t="shared" si="23"/>
        <v>0</v>
      </c>
      <c r="V41" s="1096">
        <f t="shared" si="11"/>
        <v>0</v>
      </c>
      <c r="W41" s="1095">
        <f t="shared" si="24"/>
        <v>0</v>
      </c>
      <c r="X41" s="1096">
        <f t="shared" si="12"/>
        <v>0</v>
      </c>
      <c r="Y41" s="1097">
        <f t="shared" si="13"/>
        <v>0</v>
      </c>
      <c r="Z41" s="1098">
        <f t="shared" si="14"/>
        <v>0</v>
      </c>
      <c r="AA41" s="1100">
        <f t="shared" si="15"/>
        <v>0</v>
      </c>
      <c r="AB41" s="1101">
        <f t="shared" si="16"/>
        <v>0</v>
      </c>
    </row>
    <row r="42" spans="1:28" outlineLevel="1" collapsed="1">
      <c r="A42" s="1056" t="s">
        <v>480</v>
      </c>
      <c r="B42" s="999"/>
      <c r="C42" s="1057"/>
      <c r="D42" s="1058"/>
      <c r="E42" s="1145"/>
      <c r="F42" s="1093">
        <f t="shared" si="17"/>
        <v>0</v>
      </c>
      <c r="G42" s="1094">
        <f t="shared" si="3"/>
        <v>0</v>
      </c>
      <c r="H42" s="1093">
        <f t="shared" si="18"/>
        <v>0</v>
      </c>
      <c r="I42" s="1096">
        <f t="shared" si="4"/>
        <v>0</v>
      </c>
      <c r="J42" s="1093">
        <f t="shared" si="19"/>
        <v>0</v>
      </c>
      <c r="K42" s="1096">
        <f t="shared" si="5"/>
        <v>0</v>
      </c>
      <c r="L42" s="1095">
        <f t="shared" si="20"/>
        <v>0</v>
      </c>
      <c r="M42" s="1096">
        <f t="shared" si="6"/>
        <v>0</v>
      </c>
      <c r="N42" s="1097">
        <f t="shared" si="7"/>
        <v>0</v>
      </c>
      <c r="O42" s="1098">
        <f t="shared" si="8"/>
        <v>0</v>
      </c>
      <c r="P42" s="1099"/>
      <c r="Q42" s="1093">
        <f t="shared" si="21"/>
        <v>0</v>
      </c>
      <c r="R42" s="1096">
        <f t="shared" si="9"/>
        <v>0</v>
      </c>
      <c r="S42" s="1093">
        <f t="shared" si="22"/>
        <v>0</v>
      </c>
      <c r="T42" s="1096">
        <f t="shared" si="10"/>
        <v>0</v>
      </c>
      <c r="U42" s="1093">
        <f t="shared" si="23"/>
        <v>0</v>
      </c>
      <c r="V42" s="1096">
        <f t="shared" si="11"/>
        <v>0</v>
      </c>
      <c r="W42" s="1095">
        <f t="shared" si="24"/>
        <v>0</v>
      </c>
      <c r="X42" s="1096">
        <f t="shared" si="12"/>
        <v>0</v>
      </c>
      <c r="Y42" s="1097">
        <f t="shared" si="13"/>
        <v>0</v>
      </c>
      <c r="Z42" s="1098">
        <f t="shared" si="14"/>
        <v>0</v>
      </c>
      <c r="AA42" s="1100">
        <f t="shared" si="15"/>
        <v>0</v>
      </c>
      <c r="AB42" s="1101">
        <f t="shared" si="16"/>
        <v>0</v>
      </c>
    </row>
    <row r="43" spans="1:28" outlineLevel="1">
      <c r="A43" s="1056" t="s">
        <v>481</v>
      </c>
      <c r="B43" s="999"/>
      <c r="C43" s="1057"/>
      <c r="D43" s="1058"/>
      <c r="E43" s="1145"/>
      <c r="F43" s="1093">
        <f t="shared" si="17"/>
        <v>0</v>
      </c>
      <c r="G43" s="1094">
        <f t="shared" si="3"/>
        <v>0</v>
      </c>
      <c r="H43" s="1093">
        <f t="shared" si="18"/>
        <v>0</v>
      </c>
      <c r="I43" s="1096">
        <f t="shared" si="4"/>
        <v>0</v>
      </c>
      <c r="J43" s="1093">
        <f t="shared" si="19"/>
        <v>0</v>
      </c>
      <c r="K43" s="1096">
        <f t="shared" si="5"/>
        <v>0</v>
      </c>
      <c r="L43" s="1095">
        <f t="shared" si="20"/>
        <v>0</v>
      </c>
      <c r="M43" s="1096">
        <f t="shared" si="6"/>
        <v>0</v>
      </c>
      <c r="N43" s="1097">
        <f t="shared" si="7"/>
        <v>0</v>
      </c>
      <c r="O43" s="1098">
        <f t="shared" si="8"/>
        <v>0</v>
      </c>
      <c r="P43" s="1099"/>
      <c r="Q43" s="1093">
        <f t="shared" si="21"/>
        <v>0</v>
      </c>
      <c r="R43" s="1096">
        <f t="shared" si="9"/>
        <v>0</v>
      </c>
      <c r="S43" s="1093">
        <f t="shared" si="22"/>
        <v>0</v>
      </c>
      <c r="T43" s="1096">
        <f t="shared" si="10"/>
        <v>0</v>
      </c>
      <c r="U43" s="1093">
        <f t="shared" si="23"/>
        <v>0</v>
      </c>
      <c r="V43" s="1096">
        <f t="shared" si="11"/>
        <v>0</v>
      </c>
      <c r="W43" s="1095">
        <f t="shared" si="24"/>
        <v>0</v>
      </c>
      <c r="X43" s="1096">
        <f t="shared" si="12"/>
        <v>0</v>
      </c>
      <c r="Y43" s="1097">
        <f t="shared" si="13"/>
        <v>0</v>
      </c>
      <c r="Z43" s="1098">
        <f t="shared" si="14"/>
        <v>0</v>
      </c>
      <c r="AA43" s="1100">
        <f t="shared" si="15"/>
        <v>0</v>
      </c>
      <c r="AB43" s="1101">
        <f t="shared" si="16"/>
        <v>0</v>
      </c>
    </row>
    <row r="44" spans="1:28" s="1087" customFormat="1">
      <c r="A44" s="1146" t="s">
        <v>492</v>
      </c>
      <c r="B44" s="1147"/>
      <c r="C44" s="1148"/>
      <c r="D44" s="1149"/>
      <c r="E44" s="1150"/>
      <c r="F44" s="1151">
        <f>F30-F34</f>
        <v>5991351.3636363596</v>
      </c>
      <c r="G44" s="1152">
        <f t="shared" si="3"/>
        <v>14978.378409090899</v>
      </c>
      <c r="H44" s="1158">
        <f>H30-H34</f>
        <v>0</v>
      </c>
      <c r="I44" s="1154">
        <f t="shared" si="4"/>
        <v>0</v>
      </c>
      <c r="J44" s="1158">
        <f>J30-J34</f>
        <v>0</v>
      </c>
      <c r="K44" s="1154">
        <f t="shared" si="5"/>
        <v>0</v>
      </c>
      <c r="L44" s="1153">
        <f>L30-L34</f>
        <v>0</v>
      </c>
      <c r="M44" s="1154">
        <f t="shared" si="6"/>
        <v>0</v>
      </c>
      <c r="N44" s="1155">
        <f t="shared" si="7"/>
        <v>5991351.3636363596</v>
      </c>
      <c r="O44" s="1156">
        <f t="shared" si="8"/>
        <v>14978.378409090899</v>
      </c>
      <c r="P44" s="1157"/>
      <c r="Q44" s="1158">
        <f>Q30-Q34</f>
        <v>0</v>
      </c>
      <c r="R44" s="1154">
        <f t="shared" si="9"/>
        <v>0</v>
      </c>
      <c r="S44" s="1158">
        <f>S30-S34</f>
        <v>0</v>
      </c>
      <c r="T44" s="1154">
        <f t="shared" si="10"/>
        <v>0</v>
      </c>
      <c r="U44" s="1158">
        <f>U30-U34</f>
        <v>0</v>
      </c>
      <c r="V44" s="1154">
        <f t="shared" si="11"/>
        <v>0</v>
      </c>
      <c r="W44" s="1153">
        <f>W30-W34</f>
        <v>0</v>
      </c>
      <c r="X44" s="1154">
        <f t="shared" si="12"/>
        <v>0</v>
      </c>
      <c r="Y44" s="1155">
        <f t="shared" si="13"/>
        <v>0</v>
      </c>
      <c r="Z44" s="1156">
        <f t="shared" si="14"/>
        <v>0</v>
      </c>
      <c r="AA44" s="1159">
        <f t="shared" si="15"/>
        <v>5991351.3636363596</v>
      </c>
      <c r="AB44" s="1160">
        <f t="shared" si="16"/>
        <v>14978.378409090899</v>
      </c>
    </row>
    <row r="45" spans="1:28" s="1087" customFormat="1">
      <c r="A45" s="1118" t="s">
        <v>493</v>
      </c>
      <c r="B45" s="1119"/>
      <c r="C45" s="1120"/>
      <c r="D45" s="1121"/>
      <c r="E45" s="1122"/>
      <c r="F45" s="1123">
        <f>F46+F54</f>
        <v>1081503.7037037038</v>
      </c>
      <c r="G45" s="1161">
        <f t="shared" si="3"/>
        <v>2703.7592592592596</v>
      </c>
      <c r="H45" s="1123">
        <f>H46+H54</f>
        <v>0</v>
      </c>
      <c r="I45" s="1126">
        <f t="shared" si="4"/>
        <v>0</v>
      </c>
      <c r="J45" s="1123">
        <f>J46+J54</f>
        <v>0</v>
      </c>
      <c r="K45" s="1126">
        <f t="shared" si="5"/>
        <v>0</v>
      </c>
      <c r="L45" s="1125">
        <f>L46+L54</f>
        <v>0</v>
      </c>
      <c r="M45" s="1126">
        <f t="shared" si="6"/>
        <v>0</v>
      </c>
      <c r="N45" s="1127">
        <f t="shared" si="7"/>
        <v>1081503.7037037038</v>
      </c>
      <c r="O45" s="1128">
        <f t="shared" si="8"/>
        <v>2703.7592592592596</v>
      </c>
      <c r="P45" s="1084"/>
      <c r="Q45" s="1123">
        <f>Q46+Q54</f>
        <v>0</v>
      </c>
      <c r="R45" s="1126">
        <f t="shared" si="9"/>
        <v>0</v>
      </c>
      <c r="S45" s="1123">
        <f>S46+S54</f>
        <v>0</v>
      </c>
      <c r="T45" s="1126">
        <f t="shared" si="10"/>
        <v>0</v>
      </c>
      <c r="U45" s="1123">
        <f>U46+U54</f>
        <v>0</v>
      </c>
      <c r="V45" s="1126">
        <f t="shared" si="11"/>
        <v>0</v>
      </c>
      <c r="W45" s="1125">
        <f>W46+W54</f>
        <v>0</v>
      </c>
      <c r="X45" s="1126">
        <f t="shared" si="12"/>
        <v>0</v>
      </c>
      <c r="Y45" s="1127">
        <f t="shared" si="13"/>
        <v>0</v>
      </c>
      <c r="Z45" s="1128">
        <f t="shared" si="14"/>
        <v>0</v>
      </c>
      <c r="AA45" s="1129">
        <f t="shared" si="15"/>
        <v>1081503.7037037038</v>
      </c>
      <c r="AB45" s="1130">
        <f t="shared" si="16"/>
        <v>2703.7592592592596</v>
      </c>
    </row>
    <row r="46" spans="1:28" s="1087" customFormat="1">
      <c r="A46" s="1162" t="s">
        <v>494</v>
      </c>
      <c r="B46" s="1163"/>
      <c r="C46" s="1164" t="s">
        <v>495</v>
      </c>
      <c r="D46" s="1165" t="s">
        <v>496</v>
      </c>
      <c r="E46" s="1135"/>
      <c r="F46" s="1136">
        <f>F47+F51</f>
        <v>497800</v>
      </c>
      <c r="G46" s="1166">
        <f t="shared" si="3"/>
        <v>1244.5</v>
      </c>
      <c r="H46" s="1136">
        <f>H47+H51</f>
        <v>0</v>
      </c>
      <c r="I46" s="1139">
        <f t="shared" si="4"/>
        <v>0</v>
      </c>
      <c r="J46" s="1136">
        <f>J47+J51</f>
        <v>0</v>
      </c>
      <c r="K46" s="1139">
        <f t="shared" si="5"/>
        <v>0</v>
      </c>
      <c r="L46" s="1138">
        <f>L47+L51</f>
        <v>0</v>
      </c>
      <c r="M46" s="1139">
        <f t="shared" si="6"/>
        <v>0</v>
      </c>
      <c r="N46" s="1167">
        <f t="shared" si="7"/>
        <v>497800</v>
      </c>
      <c r="O46" s="1168">
        <f t="shared" si="8"/>
        <v>1244.5</v>
      </c>
      <c r="P46" s="1169"/>
      <c r="Q46" s="1136">
        <f>Q47+Q51</f>
        <v>0</v>
      </c>
      <c r="R46" s="1139">
        <f t="shared" si="9"/>
        <v>0</v>
      </c>
      <c r="S46" s="1136">
        <f>S47+S51</f>
        <v>0</v>
      </c>
      <c r="T46" s="1139">
        <f t="shared" si="10"/>
        <v>0</v>
      </c>
      <c r="U46" s="1136">
        <f>U47+U51</f>
        <v>0</v>
      </c>
      <c r="V46" s="1139">
        <f t="shared" si="11"/>
        <v>0</v>
      </c>
      <c r="W46" s="1138">
        <f>W47+W51</f>
        <v>0</v>
      </c>
      <c r="X46" s="1139">
        <f t="shared" si="12"/>
        <v>0</v>
      </c>
      <c r="Y46" s="1167">
        <f t="shared" si="13"/>
        <v>0</v>
      </c>
      <c r="Z46" s="1168">
        <f t="shared" si="14"/>
        <v>0</v>
      </c>
      <c r="AA46" s="1170">
        <f t="shared" si="15"/>
        <v>497800</v>
      </c>
      <c r="AB46" s="1171">
        <f t="shared" si="16"/>
        <v>1244.5</v>
      </c>
    </row>
    <row r="47" spans="1:28">
      <c r="A47" s="1172" t="s">
        <v>497</v>
      </c>
      <c r="B47" s="1173"/>
      <c r="C47" s="1174"/>
      <c r="D47" s="1175"/>
      <c r="E47" s="1176"/>
      <c r="F47" s="1177">
        <f>SUM(F48:F50)</f>
        <v>352000</v>
      </c>
      <c r="G47" s="1178">
        <f t="shared" si="3"/>
        <v>880</v>
      </c>
      <c r="H47" s="1177">
        <f>SUM(H48:H50)</f>
        <v>0</v>
      </c>
      <c r="I47" s="1180">
        <f t="shared" si="4"/>
        <v>0</v>
      </c>
      <c r="J47" s="1177">
        <f>SUM(J48:J50)</f>
        <v>0</v>
      </c>
      <c r="K47" s="1180">
        <f t="shared" si="5"/>
        <v>0</v>
      </c>
      <c r="L47" s="1179">
        <f>SUM(L48:L50)</f>
        <v>0</v>
      </c>
      <c r="M47" s="1180">
        <f t="shared" si="6"/>
        <v>0</v>
      </c>
      <c r="N47" s="1181">
        <f t="shared" si="7"/>
        <v>352000</v>
      </c>
      <c r="O47" s="1098">
        <f t="shared" si="8"/>
        <v>880</v>
      </c>
      <c r="P47" s="1099"/>
      <c r="Q47" s="1177">
        <f>SUM(Q48:Q50)</f>
        <v>0</v>
      </c>
      <c r="R47" s="1180">
        <f t="shared" si="9"/>
        <v>0</v>
      </c>
      <c r="S47" s="1177">
        <f>SUM(S48:S50)</f>
        <v>0</v>
      </c>
      <c r="T47" s="1180">
        <f t="shared" si="10"/>
        <v>0</v>
      </c>
      <c r="U47" s="1177">
        <f>SUM(U48:U50)</f>
        <v>0</v>
      </c>
      <c r="V47" s="1180">
        <f t="shared" si="11"/>
        <v>0</v>
      </c>
      <c r="W47" s="1179">
        <f>SUM(W48:W50)</f>
        <v>0</v>
      </c>
      <c r="X47" s="1180">
        <f t="shared" si="12"/>
        <v>0</v>
      </c>
      <c r="Y47" s="1181">
        <f t="shared" si="13"/>
        <v>0</v>
      </c>
      <c r="Z47" s="1098">
        <f t="shared" si="14"/>
        <v>0</v>
      </c>
      <c r="AA47" s="1182">
        <f t="shared" si="15"/>
        <v>352000</v>
      </c>
      <c r="AB47" s="1101">
        <f t="shared" si="16"/>
        <v>880</v>
      </c>
    </row>
    <row r="48" spans="1:28" outlineLevel="1">
      <c r="A48" s="1183" t="s">
        <v>498</v>
      </c>
      <c r="B48" s="1184"/>
      <c r="C48" s="1057">
        <v>1050</v>
      </c>
      <c r="D48" s="1058">
        <v>800</v>
      </c>
      <c r="E48" s="1185"/>
      <c r="F48" s="1186">
        <f>IF(F$6=0,0,F6*$D$48)</f>
        <v>320000</v>
      </c>
      <c r="G48" s="1187">
        <f t="shared" si="3"/>
        <v>800</v>
      </c>
      <c r="H48" s="1186">
        <f>IF(H$6=0,0,H6*$C$48)</f>
        <v>0</v>
      </c>
      <c r="I48" s="1096">
        <f t="shared" si="4"/>
        <v>0</v>
      </c>
      <c r="J48" s="1186">
        <f>IF(J$6=0,0,J6*$C$48)</f>
        <v>0</v>
      </c>
      <c r="K48" s="1096">
        <f t="shared" si="5"/>
        <v>0</v>
      </c>
      <c r="L48" s="1188">
        <f>IF(L$6=0,0,L6*$C$48)</f>
        <v>0</v>
      </c>
      <c r="M48" s="1096">
        <f t="shared" si="6"/>
        <v>0</v>
      </c>
      <c r="N48" s="1189">
        <f t="shared" si="7"/>
        <v>320000</v>
      </c>
      <c r="O48" s="1098">
        <f t="shared" si="8"/>
        <v>800</v>
      </c>
      <c r="P48" s="1099"/>
      <c r="Q48" s="1186"/>
      <c r="R48" s="1096">
        <f t="shared" si="9"/>
        <v>0</v>
      </c>
      <c r="S48" s="1186"/>
      <c r="T48" s="1096">
        <f t="shared" si="10"/>
        <v>0</v>
      </c>
      <c r="U48" s="1186"/>
      <c r="V48" s="1096">
        <f t="shared" si="11"/>
        <v>0</v>
      </c>
      <c r="W48" s="1188"/>
      <c r="X48" s="1096">
        <f t="shared" si="12"/>
        <v>0</v>
      </c>
      <c r="Y48" s="1189">
        <f t="shared" si="13"/>
        <v>0</v>
      </c>
      <c r="Z48" s="1098"/>
      <c r="AA48" s="1182"/>
      <c r="AB48" s="1101">
        <f t="shared" si="16"/>
        <v>0</v>
      </c>
    </row>
    <row r="49" spans="1:28" outlineLevel="1">
      <c r="A49" s="1183" t="s">
        <v>499</v>
      </c>
      <c r="B49" s="1184"/>
      <c r="C49" s="1057">
        <v>1050</v>
      </c>
      <c r="D49" s="1058">
        <v>800</v>
      </c>
      <c r="E49" s="1185"/>
      <c r="F49" s="1186"/>
      <c r="G49" s="1187">
        <f t="shared" si="3"/>
        <v>0</v>
      </c>
      <c r="H49" s="1186"/>
      <c r="I49" s="1096">
        <f t="shared" si="4"/>
        <v>0</v>
      </c>
      <c r="J49" s="1186"/>
      <c r="K49" s="1096">
        <f t="shared" si="5"/>
        <v>0</v>
      </c>
      <c r="L49" s="1188"/>
      <c r="M49" s="1096">
        <f t="shared" si="6"/>
        <v>0</v>
      </c>
      <c r="N49" s="1189"/>
      <c r="O49" s="1098">
        <f t="shared" si="8"/>
        <v>0</v>
      </c>
      <c r="P49" s="1099"/>
      <c r="Q49" s="1186">
        <f>IF(Q$6=0,0,Q6*$D$49)</f>
        <v>0</v>
      </c>
      <c r="R49" s="1096">
        <f t="shared" si="9"/>
        <v>0</v>
      </c>
      <c r="S49" s="1186">
        <f>IF(S$6=0,0,S6*$C$49)</f>
        <v>0</v>
      </c>
      <c r="T49" s="1096">
        <f t="shared" si="10"/>
        <v>0</v>
      </c>
      <c r="U49" s="1186">
        <f>IF(U$6=0,0,U6*$C$49)</f>
        <v>0</v>
      </c>
      <c r="V49" s="1096">
        <f t="shared" si="11"/>
        <v>0</v>
      </c>
      <c r="W49" s="1188">
        <f>IF(W$6=0,0,W6*$C$49)</f>
        <v>0</v>
      </c>
      <c r="X49" s="1096">
        <f t="shared" si="12"/>
        <v>0</v>
      </c>
      <c r="Y49" s="1189"/>
      <c r="Z49" s="1098"/>
      <c r="AA49" s="1182"/>
      <c r="AB49" s="1101">
        <f t="shared" si="16"/>
        <v>0</v>
      </c>
    </row>
    <row r="50" spans="1:28" outlineLevel="1">
      <c r="A50" s="1183" t="s">
        <v>500</v>
      </c>
      <c r="B50" s="1184"/>
      <c r="C50" s="1190">
        <v>0.1</v>
      </c>
      <c r="D50" s="1058"/>
      <c r="E50" s="1185"/>
      <c r="F50" s="1186">
        <f>(F48+F49)*$C$50</f>
        <v>32000</v>
      </c>
      <c r="G50" s="1187">
        <f t="shared" si="3"/>
        <v>80</v>
      </c>
      <c r="H50" s="1186">
        <f>(H48+H49)*$C$50</f>
        <v>0</v>
      </c>
      <c r="I50" s="1096">
        <f t="shared" si="4"/>
        <v>0</v>
      </c>
      <c r="J50" s="1186">
        <f>(J48+J49)*$C$50</f>
        <v>0</v>
      </c>
      <c r="K50" s="1096">
        <f t="shared" si="5"/>
        <v>0</v>
      </c>
      <c r="L50" s="1188">
        <f>(L48+L49)*$C$50</f>
        <v>0</v>
      </c>
      <c r="M50" s="1096">
        <f t="shared" si="6"/>
        <v>0</v>
      </c>
      <c r="N50" s="1189">
        <f>F50+H50+J50+L50</f>
        <v>32000</v>
      </c>
      <c r="O50" s="1098"/>
      <c r="P50" s="1099"/>
      <c r="Q50" s="1186">
        <f>(Q48+Q49)*$C$50</f>
        <v>0</v>
      </c>
      <c r="R50" s="1096">
        <f t="shared" si="9"/>
        <v>0</v>
      </c>
      <c r="S50" s="1186">
        <f>(S48+S49)*$C$50</f>
        <v>0</v>
      </c>
      <c r="T50" s="1096">
        <f t="shared" si="10"/>
        <v>0</v>
      </c>
      <c r="U50" s="1186">
        <f>(U48+U49)*$C$50</f>
        <v>0</v>
      </c>
      <c r="V50" s="1096">
        <f t="shared" si="11"/>
        <v>0</v>
      </c>
      <c r="W50" s="1188">
        <f>(W48+W49)*$C$50</f>
        <v>0</v>
      </c>
      <c r="X50" s="1096">
        <f t="shared" si="12"/>
        <v>0</v>
      </c>
      <c r="Y50" s="1189">
        <f>Q50+S50+U50+W50</f>
        <v>0</v>
      </c>
      <c r="Z50" s="1098"/>
      <c r="AA50" s="1182"/>
      <c r="AB50" s="1101"/>
    </row>
    <row r="51" spans="1:28">
      <c r="A51" s="1172" t="s">
        <v>26</v>
      </c>
      <c r="B51" s="1191"/>
      <c r="C51" s="1174"/>
      <c r="D51" s="1175"/>
      <c r="E51" s="1176"/>
      <c r="F51" s="1177">
        <f>F6*$D$52*$C$52</f>
        <v>145800</v>
      </c>
      <c r="G51" s="1178">
        <f t="shared" si="3"/>
        <v>364.5</v>
      </c>
      <c r="H51" s="1177">
        <f>H6*$D$52*$C$52</f>
        <v>0</v>
      </c>
      <c r="I51" s="1180">
        <f t="shared" si="4"/>
        <v>0</v>
      </c>
      <c r="J51" s="1177">
        <f>J6*$D$52*$C$52</f>
        <v>0</v>
      </c>
      <c r="K51" s="1180">
        <f t="shared" si="5"/>
        <v>0</v>
      </c>
      <c r="L51" s="1179">
        <f>L6*$D$52*$C$52</f>
        <v>0</v>
      </c>
      <c r="M51" s="1180">
        <f t="shared" si="6"/>
        <v>0</v>
      </c>
      <c r="N51" s="1181">
        <f>F51+H51+J51+L51</f>
        <v>145800</v>
      </c>
      <c r="O51" s="1098">
        <f t="shared" ref="O51:O56" si="25">IF($N$6=0,0,N51/$N$6)</f>
        <v>364.5</v>
      </c>
      <c r="P51" s="1099"/>
      <c r="Q51" s="1177">
        <f>Q6*$D$53*$C$53</f>
        <v>0</v>
      </c>
      <c r="R51" s="1180">
        <f t="shared" si="9"/>
        <v>0</v>
      </c>
      <c r="S51" s="1177">
        <f>S6*$D$53*$C$53</f>
        <v>0</v>
      </c>
      <c r="T51" s="1180">
        <f t="shared" si="10"/>
        <v>0</v>
      </c>
      <c r="U51" s="1177">
        <f>U6*$D$53*$C$53</f>
        <v>0</v>
      </c>
      <c r="V51" s="1180">
        <f t="shared" si="11"/>
        <v>0</v>
      </c>
      <c r="W51" s="1179">
        <f>W6*$D$53*$C$53</f>
        <v>0</v>
      </c>
      <c r="X51" s="1180">
        <f t="shared" si="12"/>
        <v>0</v>
      </c>
      <c r="Y51" s="1181">
        <f>Q51+S51+U51+W51</f>
        <v>0</v>
      </c>
      <c r="Z51" s="1098">
        <f>IF($Y$6=0,0,Y51/$Y$6)</f>
        <v>0</v>
      </c>
      <c r="AA51" s="1182">
        <f>N51+Y51</f>
        <v>145800</v>
      </c>
      <c r="AB51" s="1101">
        <f t="shared" ref="AB51:AB56" si="26">IF($AA$6=0,0,AA51/$AA$6)</f>
        <v>364.5</v>
      </c>
    </row>
    <row r="52" spans="1:28" outlineLevel="1">
      <c r="A52" s="1183" t="s">
        <v>501</v>
      </c>
      <c r="B52" s="1192"/>
      <c r="C52" s="1057">
        <v>90</v>
      </c>
      <c r="D52" s="1058">
        <v>4.05</v>
      </c>
      <c r="E52" s="1193"/>
      <c r="F52" s="1186"/>
      <c r="G52" s="1187">
        <f t="shared" si="3"/>
        <v>0</v>
      </c>
      <c r="H52" s="1186"/>
      <c r="I52" s="1194">
        <f t="shared" si="4"/>
        <v>0</v>
      </c>
      <c r="J52" s="1186"/>
      <c r="K52" s="1194">
        <f t="shared" si="5"/>
        <v>0</v>
      </c>
      <c r="L52" s="1188"/>
      <c r="M52" s="1194">
        <f t="shared" si="6"/>
        <v>0</v>
      </c>
      <c r="N52" s="1189"/>
      <c r="O52" s="1098">
        <f t="shared" si="25"/>
        <v>0</v>
      </c>
      <c r="P52" s="1195"/>
      <c r="Q52" s="1196"/>
      <c r="R52" s="1194">
        <f t="shared" si="9"/>
        <v>0</v>
      </c>
      <c r="S52" s="1196"/>
      <c r="T52" s="1194">
        <f t="shared" si="10"/>
        <v>0</v>
      </c>
      <c r="U52" s="1196"/>
      <c r="V52" s="1194">
        <f t="shared" si="11"/>
        <v>0</v>
      </c>
      <c r="W52" s="1197"/>
      <c r="X52" s="1194">
        <f t="shared" si="12"/>
        <v>0</v>
      </c>
      <c r="Y52" s="1189"/>
      <c r="Z52" s="1098"/>
      <c r="AA52" s="1182"/>
      <c r="AB52" s="1101">
        <f t="shared" si="26"/>
        <v>0</v>
      </c>
    </row>
    <row r="53" spans="1:28" outlineLevel="1">
      <c r="A53" s="1183" t="s">
        <v>502</v>
      </c>
      <c r="B53" s="1192"/>
      <c r="C53" s="1057">
        <v>180</v>
      </c>
      <c r="D53" s="1058">
        <v>4.05</v>
      </c>
      <c r="E53" s="1193"/>
      <c r="F53" s="1186"/>
      <c r="G53" s="1187">
        <f t="shared" si="3"/>
        <v>0</v>
      </c>
      <c r="H53" s="1196"/>
      <c r="I53" s="1194">
        <f t="shared" si="4"/>
        <v>0</v>
      </c>
      <c r="J53" s="1196"/>
      <c r="K53" s="1194">
        <f t="shared" si="5"/>
        <v>0</v>
      </c>
      <c r="L53" s="1197"/>
      <c r="M53" s="1194">
        <f t="shared" si="6"/>
        <v>0</v>
      </c>
      <c r="N53" s="1189"/>
      <c r="O53" s="1098">
        <f t="shared" si="25"/>
        <v>0</v>
      </c>
      <c r="P53" s="1195"/>
      <c r="Q53" s="1196"/>
      <c r="R53" s="1194">
        <f t="shared" si="9"/>
        <v>0</v>
      </c>
      <c r="S53" s="1196"/>
      <c r="T53" s="1194">
        <f t="shared" si="10"/>
        <v>0</v>
      </c>
      <c r="U53" s="1196"/>
      <c r="V53" s="1194">
        <f t="shared" si="11"/>
        <v>0</v>
      </c>
      <c r="W53" s="1197"/>
      <c r="X53" s="1194">
        <f t="shared" si="12"/>
        <v>0</v>
      </c>
      <c r="Y53" s="1189"/>
      <c r="Z53" s="1098"/>
      <c r="AA53" s="1182"/>
      <c r="AB53" s="1101">
        <f t="shared" si="26"/>
        <v>0</v>
      </c>
    </row>
    <row r="54" spans="1:28">
      <c r="A54" s="1198" t="s">
        <v>28</v>
      </c>
      <c r="B54" s="1199">
        <f>SUM(B55:B56)</f>
        <v>0</v>
      </c>
      <c r="C54" s="1200"/>
      <c r="D54" s="1201"/>
      <c r="E54" s="1145"/>
      <c r="F54" s="1136">
        <f>SUM(F55:F56)</f>
        <v>583703.70370370371</v>
      </c>
      <c r="G54" s="1166">
        <f t="shared" si="3"/>
        <v>1459.2592592592594</v>
      </c>
      <c r="H54" s="1136">
        <f>SUM(H55:H56)</f>
        <v>0</v>
      </c>
      <c r="I54" s="1139">
        <f t="shared" si="4"/>
        <v>0</v>
      </c>
      <c r="J54" s="1136">
        <f>SUM(J55:J56)</f>
        <v>0</v>
      </c>
      <c r="K54" s="1139">
        <f t="shared" si="5"/>
        <v>0</v>
      </c>
      <c r="L54" s="1138">
        <f>SUM(L55:L56)</f>
        <v>0</v>
      </c>
      <c r="M54" s="1139">
        <f t="shared" si="6"/>
        <v>0</v>
      </c>
      <c r="N54" s="1140">
        <f>F54+H54+J54+L54</f>
        <v>583703.70370370371</v>
      </c>
      <c r="O54" s="1141">
        <f t="shared" si="25"/>
        <v>1459.2592592592594</v>
      </c>
      <c r="P54" s="1099"/>
      <c r="Q54" s="1136">
        <f>SUM(Q55:Q56)</f>
        <v>0</v>
      </c>
      <c r="R54" s="1139">
        <f t="shared" si="9"/>
        <v>0</v>
      </c>
      <c r="S54" s="1136">
        <f>SUM(S55:S56)</f>
        <v>0</v>
      </c>
      <c r="T54" s="1139">
        <f t="shared" si="10"/>
        <v>0</v>
      </c>
      <c r="U54" s="1136">
        <f>SUM(U55:U56)</f>
        <v>0</v>
      </c>
      <c r="V54" s="1139">
        <f t="shared" si="11"/>
        <v>0</v>
      </c>
      <c r="W54" s="1138">
        <f>SUM(W55:W56)</f>
        <v>0</v>
      </c>
      <c r="X54" s="1139">
        <f t="shared" si="12"/>
        <v>0</v>
      </c>
      <c r="Y54" s="1140">
        <f>Q54+S54+U54+W54</f>
        <v>0</v>
      </c>
      <c r="Z54" s="1141">
        <f>IF($Y$6=0,0,Y54/$Y$6)</f>
        <v>0</v>
      </c>
      <c r="AA54" s="1143">
        <f>N54+Y54</f>
        <v>583703.70370370371</v>
      </c>
      <c r="AB54" s="1202">
        <f t="shared" si="26"/>
        <v>1459.2592592592594</v>
      </c>
    </row>
    <row r="55" spans="1:28">
      <c r="A55" s="1203" t="s">
        <v>29</v>
      </c>
      <c r="B55" s="1204"/>
      <c r="C55" s="1205"/>
      <c r="D55" s="1206">
        <v>1.7000000000000001E-2</v>
      </c>
      <c r="E55" s="1207"/>
      <c r="F55" s="1208"/>
      <c r="G55" s="1209">
        <f t="shared" si="3"/>
        <v>0</v>
      </c>
      <c r="H55" s="1208"/>
      <c r="I55" s="1006">
        <f t="shared" si="4"/>
        <v>0</v>
      </c>
      <c r="J55" s="1208"/>
      <c r="K55" s="1006">
        <f t="shared" si="5"/>
        <v>0</v>
      </c>
      <c r="L55" s="1208">
        <f>IF(L8="",0,L8*$D55*L6)</f>
        <v>0</v>
      </c>
      <c r="M55" s="1006">
        <f t="shared" si="6"/>
        <v>0</v>
      </c>
      <c r="N55" s="1097">
        <f>F55+H55+J55+L55</f>
        <v>0</v>
      </c>
      <c r="O55" s="1098">
        <f t="shared" si="25"/>
        <v>0</v>
      </c>
      <c r="P55" s="1099"/>
      <c r="Q55" s="1208"/>
      <c r="R55" s="1006">
        <f t="shared" si="9"/>
        <v>0</v>
      </c>
      <c r="S55" s="1208"/>
      <c r="T55" s="1006">
        <f t="shared" si="10"/>
        <v>0</v>
      </c>
      <c r="U55" s="1208"/>
      <c r="V55" s="1006">
        <f t="shared" si="11"/>
        <v>0</v>
      </c>
      <c r="W55" s="1208">
        <f>IF(W8="",0,W8*$D55*W6)</f>
        <v>0</v>
      </c>
      <c r="X55" s="1006">
        <f t="shared" si="12"/>
        <v>0</v>
      </c>
      <c r="Y55" s="1097">
        <f>Q55+S55+U55+W55</f>
        <v>0</v>
      </c>
      <c r="Z55" s="1098">
        <f>IF($Y$6=0,0,Y55/$Y$6)</f>
        <v>0</v>
      </c>
      <c r="AA55" s="1100">
        <f>N55+Y55</f>
        <v>0</v>
      </c>
      <c r="AB55" s="1101">
        <f t="shared" si="26"/>
        <v>0</v>
      </c>
    </row>
    <row r="56" spans="1:28">
      <c r="A56" s="1210" t="s">
        <v>30</v>
      </c>
      <c r="B56" s="1211"/>
      <c r="C56" s="973"/>
      <c r="D56" s="1212">
        <v>1519</v>
      </c>
      <c r="E56" s="1145"/>
      <c r="F56" s="1324">
        <f>(F6/27)*F62</f>
        <v>583703.70370370371</v>
      </c>
      <c r="G56" s="1325">
        <f t="shared" si="3"/>
        <v>1459.2592592592594</v>
      </c>
      <c r="H56" s="1213">
        <f>(H57*H58-H60)*(H6/H59)</f>
        <v>0</v>
      </c>
      <c r="I56" s="1006">
        <f t="shared" si="4"/>
        <v>0</v>
      </c>
      <c r="J56" s="1213">
        <f>(J57*J58-J60)*(J6/J59)</f>
        <v>0</v>
      </c>
      <c r="K56" s="1006">
        <f t="shared" si="5"/>
        <v>0</v>
      </c>
      <c r="L56" s="1326">
        <f>(L6/27)*L62</f>
        <v>0</v>
      </c>
      <c r="M56" s="1214">
        <f t="shared" si="6"/>
        <v>0</v>
      </c>
      <c r="N56" s="1215">
        <f>F56+H56+J56+L56</f>
        <v>583703.70370370371</v>
      </c>
      <c r="O56" s="1216">
        <f t="shared" si="25"/>
        <v>1459.2592592592594</v>
      </c>
      <c r="P56" s="1195"/>
      <c r="Q56" s="1213">
        <f>(Q6/27)*Q62</f>
        <v>0</v>
      </c>
      <c r="R56" s="1006">
        <f t="shared" si="9"/>
        <v>0</v>
      </c>
      <c r="S56" s="1213">
        <f>(S57*S58-S60)*(S6/S59)</f>
        <v>0</v>
      </c>
      <c r="T56" s="1006">
        <f t="shared" si="10"/>
        <v>0</v>
      </c>
      <c r="U56" s="1213">
        <f>(U57*U58-U60)*(U6/U59)</f>
        <v>0</v>
      </c>
      <c r="V56" s="1006">
        <f t="shared" si="11"/>
        <v>0</v>
      </c>
      <c r="W56" s="1326">
        <f>(W6/27)*W62</f>
        <v>0</v>
      </c>
      <c r="X56" s="1214">
        <f t="shared" si="12"/>
        <v>0</v>
      </c>
      <c r="Y56" s="1215">
        <f>Q56+S56+U56+W56</f>
        <v>0</v>
      </c>
      <c r="Z56" s="1216">
        <f>IF($Y$6=0,0,Y56/$Y$6)</f>
        <v>0</v>
      </c>
      <c r="AA56" s="1217">
        <f>N56+Y56</f>
        <v>583703.70370370371</v>
      </c>
      <c r="AB56" s="1218">
        <f t="shared" si="26"/>
        <v>1459.2592592592594</v>
      </c>
    </row>
    <row r="57" spans="1:28" s="1232" customFormat="1" outlineLevel="1">
      <c r="A57" s="1219" t="s">
        <v>503</v>
      </c>
      <c r="B57" s="1219"/>
      <c r="C57" s="1220"/>
      <c r="D57" s="1221"/>
      <c r="E57" s="1327"/>
      <c r="F57" s="1328">
        <v>1000</v>
      </c>
      <c r="G57" s="1329"/>
      <c r="H57" s="1222">
        <v>1370</v>
      </c>
      <c r="I57" s="1228"/>
      <c r="J57" s="1222">
        <v>750</v>
      </c>
      <c r="K57" s="1228"/>
      <c r="L57" s="1223"/>
      <c r="M57" s="1224"/>
      <c r="N57" s="1225"/>
      <c r="O57" s="1226"/>
      <c r="P57" s="1227"/>
      <c r="Q57" s="1222">
        <v>1000</v>
      </c>
      <c r="R57" s="1228"/>
      <c r="S57" s="1222">
        <v>1370</v>
      </c>
      <c r="T57" s="1228"/>
      <c r="U57" s="1222">
        <v>750</v>
      </c>
      <c r="V57" s="1228"/>
      <c r="W57" s="1223"/>
      <c r="X57" s="1224"/>
      <c r="Y57" s="1225"/>
      <c r="Z57" s="1229"/>
      <c r="AA57" s="1230"/>
      <c r="AB57" s="1231"/>
    </row>
    <row r="58" spans="1:28" s="1248" customFormat="1" outlineLevel="1">
      <c r="A58" s="1233" t="s">
        <v>504</v>
      </c>
      <c r="B58" s="1233"/>
      <c r="C58" s="1234"/>
      <c r="D58" s="1235"/>
      <c r="E58" s="1236"/>
      <c r="F58" s="1237">
        <v>25</v>
      </c>
      <c r="G58" s="1238"/>
      <c r="H58" s="1237">
        <v>25</v>
      </c>
      <c r="I58" s="1244"/>
      <c r="J58" s="1237">
        <v>25</v>
      </c>
      <c r="K58" s="1244"/>
      <c r="L58" s="1239"/>
      <c r="M58" s="1240"/>
      <c r="N58" s="1241"/>
      <c r="O58" s="1242"/>
      <c r="P58" s="1243"/>
      <c r="Q58" s="1237">
        <v>25</v>
      </c>
      <c r="R58" s="1244"/>
      <c r="S58" s="1237">
        <v>25</v>
      </c>
      <c r="T58" s="1244"/>
      <c r="U58" s="1237">
        <v>25</v>
      </c>
      <c r="V58" s="1244"/>
      <c r="W58" s="1239"/>
      <c r="X58" s="1240"/>
      <c r="Y58" s="1241"/>
      <c r="Z58" s="1245"/>
      <c r="AA58" s="1246"/>
      <c r="AB58" s="1247"/>
    </row>
    <row r="59" spans="1:28" s="1248" customFormat="1" ht="33.75" outlineLevel="1">
      <c r="A59" s="1249" t="s">
        <v>505</v>
      </c>
      <c r="B59" s="1249"/>
      <c r="C59" s="1250"/>
      <c r="D59" s="1251"/>
      <c r="E59" s="1236"/>
      <c r="F59" s="1252">
        <v>21</v>
      </c>
      <c r="G59" s="1253"/>
      <c r="H59" s="1252">
        <v>25</v>
      </c>
      <c r="I59" s="1259"/>
      <c r="J59" s="1252">
        <v>25</v>
      </c>
      <c r="K59" s="1259"/>
      <c r="L59" s="1254">
        <v>27</v>
      </c>
      <c r="M59" s="1255"/>
      <c r="N59" s="1256"/>
      <c r="O59" s="1257"/>
      <c r="P59" s="1258"/>
      <c r="Q59" s="1252">
        <v>21</v>
      </c>
      <c r="R59" s="1259"/>
      <c r="S59" s="1252">
        <v>25</v>
      </c>
      <c r="T59" s="1259"/>
      <c r="U59" s="1252">
        <v>25</v>
      </c>
      <c r="V59" s="1259"/>
      <c r="W59" s="1254">
        <v>27</v>
      </c>
      <c r="X59" s="1255"/>
      <c r="Y59" s="1256"/>
      <c r="Z59" s="1260"/>
      <c r="AA59" s="1261"/>
      <c r="AB59" s="1262"/>
    </row>
    <row r="60" spans="1:28" s="1277" customFormat="1" outlineLevel="1">
      <c r="A60" s="1263" t="s">
        <v>506</v>
      </c>
      <c r="B60" s="1263"/>
      <c r="C60" s="1264"/>
      <c r="D60" s="1265"/>
      <c r="E60" s="1278"/>
      <c r="F60" s="1266">
        <v>15000</v>
      </c>
      <c r="G60" s="1267"/>
      <c r="H60" s="1266">
        <v>10500</v>
      </c>
      <c r="I60" s="1273"/>
      <c r="J60" s="1266">
        <v>10500</v>
      </c>
      <c r="K60" s="1273"/>
      <c r="L60" s="1268"/>
      <c r="M60" s="1269"/>
      <c r="N60" s="1270"/>
      <c r="O60" s="1271"/>
      <c r="P60" s="1272"/>
      <c r="Q60" s="1266">
        <v>15000</v>
      </c>
      <c r="R60" s="1273"/>
      <c r="S60" s="1266">
        <v>10500</v>
      </c>
      <c r="T60" s="1273"/>
      <c r="U60" s="1266">
        <v>10500</v>
      </c>
      <c r="V60" s="1273"/>
      <c r="W60" s="1268"/>
      <c r="X60" s="1269"/>
      <c r="Y60" s="1270"/>
      <c r="Z60" s="1274"/>
      <c r="AA60" s="1275"/>
      <c r="AB60" s="1276"/>
    </row>
    <row r="61" spans="1:28" s="1277" customFormat="1" outlineLevel="1">
      <c r="A61" s="1249" t="s">
        <v>507</v>
      </c>
      <c r="B61" s="1249"/>
      <c r="C61" s="1250"/>
      <c r="D61" s="1251"/>
      <c r="E61" s="1236"/>
      <c r="F61" s="1252"/>
      <c r="G61" s="1253"/>
      <c r="H61" s="1252"/>
      <c r="I61" s="1259"/>
      <c r="J61" s="1252"/>
      <c r="K61" s="1259"/>
      <c r="L61" s="1254">
        <f>ROUND(L6/L59,0)</f>
        <v>0</v>
      </c>
      <c r="M61" s="1255"/>
      <c r="N61" s="1256"/>
      <c r="O61" s="1257"/>
      <c r="P61" s="1258"/>
      <c r="Q61" s="1252"/>
      <c r="R61" s="1259"/>
      <c r="S61" s="1252"/>
      <c r="T61" s="1259"/>
      <c r="U61" s="1252"/>
      <c r="V61" s="1259"/>
      <c r="W61" s="1254">
        <f>ROUND(W6/W59,0)</f>
        <v>0</v>
      </c>
      <c r="X61" s="1255"/>
      <c r="Y61" s="1256"/>
      <c r="Z61" s="1260"/>
      <c r="AA61" s="1261"/>
      <c r="AB61" s="1262"/>
    </row>
    <row r="62" spans="1:28" s="1277" customFormat="1" outlineLevel="1">
      <c r="A62" s="1263" t="s">
        <v>508</v>
      </c>
      <c r="B62" s="1263"/>
      <c r="C62" s="1264"/>
      <c r="D62" s="1265">
        <v>39400</v>
      </c>
      <c r="E62" s="1278"/>
      <c r="F62" s="1266">
        <f>D62</f>
        <v>39400</v>
      </c>
      <c r="G62" s="1267"/>
      <c r="H62" s="1266"/>
      <c r="I62" s="1273"/>
      <c r="J62" s="1266"/>
      <c r="K62" s="1273"/>
      <c r="L62" s="1268">
        <f>D62</f>
        <v>39400</v>
      </c>
      <c r="M62" s="1269"/>
      <c r="N62" s="1270"/>
      <c r="O62" s="1271"/>
      <c r="P62" s="1272"/>
      <c r="Q62" s="1266">
        <f>D62</f>
        <v>39400</v>
      </c>
      <c r="R62" s="1273"/>
      <c r="S62" s="1266"/>
      <c r="T62" s="1273"/>
      <c r="U62" s="1266"/>
      <c r="V62" s="1273"/>
      <c r="W62" s="1268">
        <f>D62</f>
        <v>39400</v>
      </c>
      <c r="X62" s="1269"/>
      <c r="Y62" s="1270"/>
      <c r="Z62" s="1274"/>
      <c r="AA62" s="1275"/>
      <c r="AB62" s="1276"/>
    </row>
    <row r="63" spans="1:28" s="1087" customFormat="1">
      <c r="A63" s="1146" t="s">
        <v>509</v>
      </c>
      <c r="B63" s="1147"/>
      <c r="C63" s="1279"/>
      <c r="D63" s="1280"/>
      <c r="E63" s="1150"/>
      <c r="F63" s="1158">
        <f>F44-F45</f>
        <v>4909847.6599326562</v>
      </c>
      <c r="G63" s="1281">
        <f>IF($F$6=0,0,F63/$F$6)</f>
        <v>12274.61914983164</v>
      </c>
      <c r="H63" s="1158">
        <f>H44-H45</f>
        <v>0</v>
      </c>
      <c r="I63" s="1154">
        <f>IF($H$6=0,0,H63/$H$6)</f>
        <v>0</v>
      </c>
      <c r="J63" s="1158">
        <f>J44-J45</f>
        <v>0</v>
      </c>
      <c r="K63" s="1154">
        <f>IF($J$6=0,0,J63/$J$6)</f>
        <v>0</v>
      </c>
      <c r="L63" s="1153">
        <f>L44-L45</f>
        <v>0</v>
      </c>
      <c r="M63" s="1154">
        <f>IF($L$6=0,0,L63/$L$6)</f>
        <v>0</v>
      </c>
      <c r="N63" s="1155">
        <f>F63+H63+J63+L63</f>
        <v>4909847.6599326562</v>
      </c>
      <c r="O63" s="1156">
        <f>IF($N$6=0,0,N63/$N$6)</f>
        <v>12274.61914983164</v>
      </c>
      <c r="P63" s="1157"/>
      <c r="Q63" s="1158">
        <f>Q44-Q45</f>
        <v>0</v>
      </c>
      <c r="R63" s="1154">
        <f>IF($Q$6=0,0,Q63/$Q$6)</f>
        <v>0</v>
      </c>
      <c r="S63" s="1158">
        <f>S44-S45</f>
        <v>0</v>
      </c>
      <c r="T63" s="1154">
        <f>IF($S$6=0,0,S63/$S$6)</f>
        <v>0</v>
      </c>
      <c r="U63" s="1158">
        <f>U44-U45</f>
        <v>0</v>
      </c>
      <c r="V63" s="1154">
        <f>IF($U$6=0,0,U63/$U$6)</f>
        <v>0</v>
      </c>
      <c r="W63" s="1153">
        <f>W44-W45</f>
        <v>0</v>
      </c>
      <c r="X63" s="1154">
        <f>IF($W$6=0,0,W63/$W$6)</f>
        <v>0</v>
      </c>
      <c r="Y63" s="1155">
        <f>Q63+S63+U63+W63</f>
        <v>0</v>
      </c>
      <c r="Z63" s="1156">
        <f>IF($Y$6=0,0,Y63/$Y$6)</f>
        <v>0</v>
      </c>
      <c r="AA63" s="1159">
        <f>N63+Y63</f>
        <v>4909847.6599326562</v>
      </c>
      <c r="AB63" s="1160">
        <f>IF($AA$6=0,0,AA63/$AA$6)</f>
        <v>12274.61914983164</v>
      </c>
    </row>
    <row r="64" spans="1:28" s="1087" customFormat="1">
      <c r="A64" s="1282" t="s">
        <v>510</v>
      </c>
      <c r="B64" s="1283"/>
      <c r="C64" s="1284"/>
      <c r="D64" s="1285"/>
      <c r="E64" s="1150"/>
      <c r="F64" s="1286"/>
      <c r="G64" s="1287"/>
      <c r="H64" s="1286"/>
      <c r="I64" s="1289"/>
      <c r="J64" s="1286"/>
      <c r="K64" s="1289"/>
      <c r="L64" s="1288"/>
      <c r="M64" s="1289"/>
      <c r="N64" s="1290"/>
      <c r="O64" s="1291"/>
      <c r="P64" s="1292"/>
      <c r="Q64" s="1286"/>
      <c r="R64" s="1289"/>
      <c r="S64" s="1286"/>
      <c r="T64" s="1289"/>
      <c r="U64" s="1286"/>
      <c r="V64" s="1289"/>
      <c r="W64" s="1288"/>
      <c r="X64" s="1289"/>
      <c r="Y64" s="1290"/>
      <c r="Z64" s="1293"/>
      <c r="AA64" s="1294"/>
      <c r="AB64" s="1295"/>
    </row>
    <row r="65" spans="1:28" s="1310" customFormat="1">
      <c r="A65" s="1296" t="s">
        <v>511</v>
      </c>
      <c r="B65" s="1297"/>
      <c r="C65" s="1298"/>
      <c r="D65" s="1299"/>
      <c r="E65" s="1300"/>
      <c r="F65" s="1301">
        <f>IF($Y$6=0,F6/$N$6,F6/$AA$6)</f>
        <v>1</v>
      </c>
      <c r="G65" s="1302"/>
      <c r="H65" s="1301">
        <f>IF($Y$6=0,H6/$N$6,H6/$AA$6)</f>
        <v>0</v>
      </c>
      <c r="I65" s="1304"/>
      <c r="J65" s="1301">
        <f>IF($Y$6=0,J6/$N$6,J6/$AA$6)</f>
        <v>0</v>
      </c>
      <c r="K65" s="1304"/>
      <c r="L65" s="1303">
        <f>IF($Y$6=0,L6/$N$6,L6/$AA$6)</f>
        <v>0</v>
      </c>
      <c r="M65" s="1304"/>
      <c r="N65" s="1305">
        <f>F65+H65+J65+L65</f>
        <v>1</v>
      </c>
      <c r="O65" s="1306"/>
      <c r="P65" s="1307"/>
      <c r="Q65" s="1301">
        <f>IF($Y$6=0,0,Q6/$AA$6)</f>
        <v>0</v>
      </c>
      <c r="R65" s="1304"/>
      <c r="S65" s="1301">
        <f>IF($Y$6=0,0,S6/$AA$6)</f>
        <v>0</v>
      </c>
      <c r="T65" s="1304"/>
      <c r="U65" s="1301">
        <f>IF($Y$6=0,0,U6/$AA$6)</f>
        <v>0</v>
      </c>
      <c r="V65" s="1304"/>
      <c r="W65" s="1303">
        <f>IF($Y$6=0,0,W6/$AA$6)</f>
        <v>0</v>
      </c>
      <c r="X65" s="1304"/>
      <c r="Y65" s="1305">
        <f>Q65+S65+U65+W65</f>
        <v>0</v>
      </c>
      <c r="Z65" s="1306"/>
      <c r="AA65" s="1308">
        <f>N65+Y65</f>
        <v>1</v>
      </c>
      <c r="AB65" s="1309"/>
    </row>
    <row r="66" spans="1:28" s="1087" customFormat="1">
      <c r="A66" s="1118" t="s">
        <v>512</v>
      </c>
      <c r="B66" s="1311">
        <f>'Расходы помесячно (План-Факт)'!BS85</f>
        <v>2226308.75</v>
      </c>
      <c r="C66" s="1120"/>
      <c r="D66" s="1121"/>
      <c r="E66" s="1122"/>
      <c r="F66" s="1123">
        <f>IF(AA6=0,B66,ROUND($B66*F$65,0))</f>
        <v>2226309</v>
      </c>
      <c r="G66" s="1124">
        <f>IF($F$6=0,0,F66/$F$6)</f>
        <v>5565.7725</v>
      </c>
      <c r="H66" s="1123">
        <f>ROUND($B66*H$65,0)</f>
        <v>0</v>
      </c>
      <c r="I66" s="1126">
        <f>IF($H$6=0,0,H66/$H$6)</f>
        <v>0</v>
      </c>
      <c r="J66" s="1123">
        <f>ROUND($B66*J$65,0)</f>
        <v>0</v>
      </c>
      <c r="K66" s="1126">
        <f>IF($J$6=0,0,J66/$J$6)</f>
        <v>0</v>
      </c>
      <c r="L66" s="1125">
        <f>ROUND($B66*L$65,0)</f>
        <v>0</v>
      </c>
      <c r="M66" s="1126">
        <f>IF($L$6=0,0,L66/$L$6)</f>
        <v>0</v>
      </c>
      <c r="N66" s="1127">
        <f>IF(AA6=0,F66,F66+H66+J66+L66)</f>
        <v>2226309</v>
      </c>
      <c r="O66" s="1128">
        <f>IF($N$6=0,0,N66/$N$6)</f>
        <v>5565.7725</v>
      </c>
      <c r="P66" s="1084"/>
      <c r="Q66" s="1123">
        <f>ROUND($B66*Q$65,0)</f>
        <v>0</v>
      </c>
      <c r="R66" s="1126">
        <f>IF($Q$6=0,0,Q66/$Q$6)</f>
        <v>0</v>
      </c>
      <c r="S66" s="1123">
        <f>ROUND($B66*S$65,0)</f>
        <v>0</v>
      </c>
      <c r="T66" s="1126">
        <f>IF($S$6=0,0,S66/$S$6)</f>
        <v>0</v>
      </c>
      <c r="U66" s="1123">
        <f>ROUND($B66*U$65,0)</f>
        <v>0</v>
      </c>
      <c r="V66" s="1126">
        <f>IF($U$6=0,0,U66/$U$6)</f>
        <v>0</v>
      </c>
      <c r="W66" s="1125">
        <f>ROUND($B66*W$65,0)</f>
        <v>0</v>
      </c>
      <c r="X66" s="1126">
        <f>IF($W$6=0,0,W66/$W$6)</f>
        <v>0</v>
      </c>
      <c r="Y66" s="1127">
        <f>Q66+S66+U66+W66</f>
        <v>0</v>
      </c>
      <c r="Z66" s="1128">
        <f>IF($Y$6=0,0,Y66/$Y$6)</f>
        <v>0</v>
      </c>
      <c r="AA66" s="1129">
        <f>N66+Y66</f>
        <v>2226309</v>
      </c>
      <c r="AB66" s="1130">
        <f>IF($AA$6=0,0,AA66/$AA$6)</f>
        <v>5565.7725</v>
      </c>
    </row>
    <row r="67" spans="1:28" s="1087" customFormat="1">
      <c r="A67" s="1146" t="s">
        <v>513</v>
      </c>
      <c r="B67" s="1147"/>
      <c r="C67" s="1312"/>
      <c r="D67" s="1313"/>
      <c r="E67" s="1314"/>
      <c r="F67" s="1158">
        <f>F63-F66</f>
        <v>2683538.6599326562</v>
      </c>
      <c r="G67" s="1281">
        <f>IF($F$6=0,0,F67/$F$6)</f>
        <v>6708.8466498316402</v>
      </c>
      <c r="H67" s="1158">
        <f>H63-H66</f>
        <v>0</v>
      </c>
      <c r="I67" s="1154">
        <f>IF($H$6=0,0,H67/$H$6)</f>
        <v>0</v>
      </c>
      <c r="J67" s="1158">
        <f>J63-J66</f>
        <v>0</v>
      </c>
      <c r="K67" s="1154">
        <f>IF($J$6=0,0,J67/$J$6)</f>
        <v>0</v>
      </c>
      <c r="L67" s="1153">
        <f>L63-L66</f>
        <v>0</v>
      </c>
      <c r="M67" s="1154">
        <f>IF($L$6=0,0,L67/$L$6)</f>
        <v>0</v>
      </c>
      <c r="N67" s="1155">
        <f>IF(AA6=0,N63-N66,F67+H67+J67+L67)</f>
        <v>2683538.6599326562</v>
      </c>
      <c r="O67" s="1315">
        <f>IF($N$6=0,0,N67/$N$6)</f>
        <v>6708.8466498316402</v>
      </c>
      <c r="P67" s="1316"/>
      <c r="Q67" s="1158">
        <f>Q63-Q66</f>
        <v>0</v>
      </c>
      <c r="R67" s="1154">
        <f>IF($Q$6=0,0,Q67/$Q$6)</f>
        <v>0</v>
      </c>
      <c r="S67" s="1158">
        <f>S63-S66</f>
        <v>0</v>
      </c>
      <c r="T67" s="1154">
        <f>IF($S$6=0,0,S67/$S$6)</f>
        <v>0</v>
      </c>
      <c r="U67" s="1158">
        <f>U63-U66</f>
        <v>0</v>
      </c>
      <c r="V67" s="1154">
        <f>IF($U$6=0,0,U67/$U$6)</f>
        <v>0</v>
      </c>
      <c r="W67" s="1153">
        <f>W63-W66</f>
        <v>0</v>
      </c>
      <c r="X67" s="1154">
        <f>IF($W$6=0,0,W67/$W$6)</f>
        <v>0</v>
      </c>
      <c r="Y67" s="1155">
        <f>Q67+S67+U67+W67</f>
        <v>0</v>
      </c>
      <c r="Z67" s="1315">
        <f>IF($Y$6=0,0,Y67/$Y$6)</f>
        <v>0</v>
      </c>
      <c r="AA67" s="1317">
        <f>N67+Y67</f>
        <v>2683538.6599326562</v>
      </c>
      <c r="AB67" s="1318">
        <f>IF($AA$6=0,0,AA67/$AA$6)</f>
        <v>6708.8466498316402</v>
      </c>
    </row>
    <row r="68" spans="1:28">
      <c r="A68" s="1118" t="s">
        <v>514</v>
      </c>
      <c r="B68" s="1311">
        <f>'Расходы помесячно (План-Факт)'!BS132</f>
        <v>1299649.4571428571</v>
      </c>
      <c r="C68" s="1120"/>
      <c r="D68" s="1121"/>
      <c r="E68" s="1122"/>
      <c r="F68" s="1123">
        <f>IF(AA6=0,B68,ROUND($B68*F$65,0))</f>
        <v>1299649</v>
      </c>
      <c r="G68" s="1124">
        <f>IF($F$6=0,0,F68/$F$6)</f>
        <v>3249.1224999999999</v>
      </c>
      <c r="H68" s="1123">
        <f>ROUND($B68*H$65,0)</f>
        <v>0</v>
      </c>
      <c r="I68" s="1126">
        <f>IF($H$6=0,0,H68/$H$6)</f>
        <v>0</v>
      </c>
      <c r="J68" s="1123">
        <f>ROUND($B68*J$65,0)</f>
        <v>0</v>
      </c>
      <c r="K68" s="1126">
        <f>IF($J$6=0,0,J68/$J$6)</f>
        <v>0</v>
      </c>
      <c r="L68" s="1125">
        <f>ROUND($B68*L$65,0)</f>
        <v>0</v>
      </c>
      <c r="M68" s="1126">
        <f>IF($L$6=0,0,L68/$L$6)</f>
        <v>0</v>
      </c>
      <c r="N68" s="1127">
        <f>IF(AA6=0,F68,F68+H68+J68+L68)</f>
        <v>1299649</v>
      </c>
      <c r="O68" s="1128">
        <f>IF($N$6=0,0,N68/$N$6)</f>
        <v>3249.1224999999999</v>
      </c>
      <c r="P68" s="1084"/>
      <c r="Q68" s="1123">
        <f>ROUND($B68*Q$65,0)</f>
        <v>0</v>
      </c>
      <c r="R68" s="1126">
        <f>IF($Q$6=0,0,Q68/$Q$6)</f>
        <v>0</v>
      </c>
      <c r="S68" s="1123">
        <f>ROUND($B68*S$65,0)</f>
        <v>0</v>
      </c>
      <c r="T68" s="1126">
        <f>IF($S$6=0,0,S68/$S$6)</f>
        <v>0</v>
      </c>
      <c r="U68" s="1123">
        <f>ROUND($B68*U$65,0)</f>
        <v>0</v>
      </c>
      <c r="V68" s="1126">
        <f>IF($U$6=0,0,U68/$U$6)</f>
        <v>0</v>
      </c>
      <c r="W68" s="1125">
        <f>ROUND($B68*W$65,0)</f>
        <v>0</v>
      </c>
      <c r="X68" s="1126">
        <f>IF($W$6=0,0,W68/$W$6)</f>
        <v>0</v>
      </c>
      <c r="Y68" s="1127">
        <f>Q68+S68+U68+W68</f>
        <v>0</v>
      </c>
      <c r="Z68" s="1128">
        <f>IF($Y$6=0,0,Y68/$Y$6)</f>
        <v>0</v>
      </c>
      <c r="AA68" s="1129">
        <f>N68+Y68</f>
        <v>1299649</v>
      </c>
      <c r="AB68" s="1130">
        <f>IF($AA$6=0,0,AA68/$AA$6)</f>
        <v>3249.1224999999999</v>
      </c>
    </row>
    <row r="69" spans="1:28">
      <c r="A69" s="1146" t="s">
        <v>515</v>
      </c>
      <c r="B69" s="1147"/>
      <c r="C69" s="1312"/>
      <c r="D69" s="1313"/>
      <c r="E69" s="1314"/>
      <c r="F69" s="1158">
        <f>F67-F68</f>
        <v>1383889.6599326562</v>
      </c>
      <c r="G69" s="1281">
        <f>IF($F$6=0,0,F69/$F$6)</f>
        <v>3459.7241498316407</v>
      </c>
      <c r="H69" s="1158">
        <f>H67-H68</f>
        <v>0</v>
      </c>
      <c r="I69" s="1154">
        <f>IF($H$6=0,0,H69/$H$6)</f>
        <v>0</v>
      </c>
      <c r="J69" s="1158">
        <f>J67-J68</f>
        <v>0</v>
      </c>
      <c r="K69" s="1154">
        <f>IF($J$6=0,0,J69/$J$6)</f>
        <v>0</v>
      </c>
      <c r="L69" s="1158">
        <f>L67-L68</f>
        <v>0</v>
      </c>
      <c r="M69" s="1154">
        <f>IF($L$6=0,0,L69/$L$6)</f>
        <v>0</v>
      </c>
      <c r="N69" s="1158">
        <f>N67-N68</f>
        <v>1383889.6599326562</v>
      </c>
      <c r="O69" s="1315">
        <f>IF($N$6=0,0,N69/$N$6)</f>
        <v>3459.7241498316407</v>
      </c>
      <c r="P69" s="1316"/>
      <c r="Q69" s="1158">
        <f>Q67-Q68</f>
        <v>0</v>
      </c>
      <c r="R69" s="1154">
        <f>IF($Q$6=0,0,Q69/$Q$6)</f>
        <v>0</v>
      </c>
      <c r="S69" s="1158">
        <f>S67-S68</f>
        <v>0</v>
      </c>
      <c r="T69" s="1154">
        <f>IF($S$6=0,0,S69/$S$6)</f>
        <v>0</v>
      </c>
      <c r="U69" s="1158">
        <f>U67-U68</f>
        <v>0</v>
      </c>
      <c r="V69" s="1154">
        <f>IF($U$6=0,0,U69/$U$6)</f>
        <v>0</v>
      </c>
      <c r="W69" s="1158">
        <f>W67-W68</f>
        <v>0</v>
      </c>
      <c r="X69" s="1154">
        <f>IF($W$6=0,0,W69/$W$6)</f>
        <v>0</v>
      </c>
      <c r="Y69" s="1158">
        <f>Y67-Y68</f>
        <v>0</v>
      </c>
      <c r="Z69" s="1315">
        <f>IF($Y$6=0,0,Y69/$Y$6)</f>
        <v>0</v>
      </c>
      <c r="AA69" s="1317">
        <f>N69+Y69</f>
        <v>1383889.6599326562</v>
      </c>
      <c r="AB69" s="1318">
        <f>IF($AA$6=0,0,AA69/$AA$6)</f>
        <v>3459.7241498316407</v>
      </c>
    </row>
  </sheetData>
  <sheetProtection selectLockedCells="1" selectUnlockedCells="1"/>
  <pageMargins left="0.7" right="0.7" top="0.75" bottom="0.75" header="0.51180555555555551" footer="0.51180555555555551"/>
  <pageSetup firstPageNumber="0" orientation="portrait"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sheetPr enableFormatConditionsCalculation="0">
    <tabColor indexed="19"/>
  </sheetPr>
  <dimension ref="A1:AB69"/>
  <sheetViews>
    <sheetView zoomScale="90" zoomScaleNormal="90" workbookViewId="0">
      <pane xSplit="5" ySplit="6" topLeftCell="F36" activePane="bottomRight" state="frozen"/>
      <selection pane="topRight" activeCell="F1" sqref="F1"/>
      <selection pane="bottomLeft" activeCell="A36" sqref="A36"/>
      <selection pane="bottomRight" activeCell="B66" sqref="B66"/>
    </sheetView>
  </sheetViews>
  <sheetFormatPr defaultRowHeight="12.75" outlineLevelRow="2" outlineLevelCol="2"/>
  <cols>
    <col min="1" max="1" width="36.28515625" style="888" customWidth="1"/>
    <col min="2" max="2" width="13.5703125" style="889" customWidth="1" outlineLevel="1"/>
    <col min="3" max="3" width="6" style="889" customWidth="1"/>
    <col min="4" max="4" width="10" style="889" customWidth="1"/>
    <col min="5" max="5" width="0.85546875" style="889" customWidth="1" outlineLevel="1"/>
    <col min="6" max="6" width="11.5703125" style="889" customWidth="1" outlineLevel="1"/>
    <col min="7" max="7" width="0" style="890" hidden="1" customWidth="1" outlineLevel="2"/>
    <col min="8" max="8" width="11.85546875" style="889" customWidth="1" outlineLevel="1" collapsed="1"/>
    <col min="9" max="9" width="0" style="891" hidden="1" customWidth="1" outlineLevel="2"/>
    <col min="10" max="10" width="12" style="889" customWidth="1" outlineLevel="1" collapsed="1"/>
    <col min="11" max="11" width="0" style="891" hidden="1" customWidth="1" outlineLevel="2"/>
    <col min="12" max="12" width="12.28515625" style="889" customWidth="1" outlineLevel="1" collapsed="1"/>
    <col min="13" max="13" width="0" style="891" hidden="1" customWidth="1" outlineLevel="2"/>
    <col min="14" max="14" width="13.42578125" style="889" customWidth="1" collapsed="1"/>
    <col min="15" max="15" width="0" style="892" hidden="1" customWidth="1" outlineLevel="1"/>
    <col min="16" max="16" width="1.5703125" style="892" customWidth="1"/>
    <col min="17" max="17" width="11.85546875" style="889" customWidth="1" outlineLevel="1"/>
    <col min="18" max="18" width="0" style="889" hidden="1" customWidth="1" outlineLevel="2"/>
    <col min="19" max="19" width="12" style="889" customWidth="1" outlineLevel="1" collapsed="1"/>
    <col min="20" max="20" width="0" style="889" hidden="1" customWidth="1" outlineLevel="2"/>
    <col min="21" max="21" width="11.42578125" style="889" customWidth="1" outlineLevel="1" collapsed="1"/>
    <col min="22" max="22" width="0" style="889" hidden="1" customWidth="1" outlineLevel="2"/>
    <col min="23" max="23" width="12.42578125" style="889" customWidth="1" outlineLevel="1" collapsed="1"/>
    <col min="24" max="24" width="0" style="889" hidden="1" customWidth="1" outlineLevel="2"/>
    <col min="25" max="25" width="12.42578125" style="889" customWidth="1" collapsed="1"/>
    <col min="26" max="26" width="0" style="892" hidden="1" customWidth="1" outlineLevel="1"/>
    <col min="27" max="27" width="12" style="889" customWidth="1"/>
    <col min="28" max="28" width="9.5703125" style="892" customWidth="1"/>
    <col min="29" max="16384" width="9.140625" style="889"/>
  </cols>
  <sheetData>
    <row r="1" spans="1:28" ht="15">
      <c r="A1" s="893" t="s">
        <v>452</v>
      </c>
      <c r="B1" s="894"/>
    </row>
    <row r="2" spans="1:28">
      <c r="A2" s="895"/>
      <c r="B2" s="896" t="s">
        <v>453</v>
      </c>
      <c r="C2" s="897"/>
      <c r="D2" s="898"/>
      <c r="E2" s="899"/>
      <c r="F2" s="900"/>
      <c r="G2" s="901"/>
      <c r="H2" s="902"/>
      <c r="I2" s="903"/>
      <c r="J2" s="902"/>
      <c r="K2" s="903"/>
      <c r="L2" s="902"/>
      <c r="M2" s="903" t="s">
        <v>454</v>
      </c>
      <c r="N2" s="904"/>
      <c r="O2" s="905"/>
      <c r="P2" s="905"/>
      <c r="Q2" s="906"/>
      <c r="R2" s="906"/>
      <c r="S2" s="906"/>
      <c r="T2" s="906"/>
      <c r="U2" s="906"/>
      <c r="V2" s="906"/>
      <c r="W2" s="906"/>
      <c r="X2" s="906"/>
      <c r="Y2" s="907"/>
      <c r="Z2" s="908"/>
      <c r="AA2" s="904"/>
      <c r="AB2" s="909"/>
    </row>
    <row r="3" spans="1:28">
      <c r="A3" s="910"/>
      <c r="B3" s="911" t="s">
        <v>455</v>
      </c>
      <c r="C3" s="912"/>
      <c r="D3" s="913"/>
      <c r="E3" s="914"/>
      <c r="F3" s="915" t="s">
        <v>456</v>
      </c>
      <c r="G3" s="916"/>
      <c r="H3" s="917"/>
      <c r="I3" s="918"/>
      <c r="J3" s="917"/>
      <c r="K3" s="918"/>
      <c r="L3" s="917"/>
      <c r="M3" s="918"/>
      <c r="N3" s="919" t="s">
        <v>457</v>
      </c>
      <c r="O3" s="920" t="s">
        <v>458</v>
      </c>
      <c r="P3" s="921"/>
      <c r="Q3" s="915" t="s">
        <v>459</v>
      </c>
      <c r="R3" s="916"/>
      <c r="S3" s="917"/>
      <c r="T3" s="918"/>
      <c r="U3" s="917"/>
      <c r="V3" s="918"/>
      <c r="W3" s="917"/>
      <c r="X3" s="918"/>
      <c r="Y3" s="919" t="s">
        <v>457</v>
      </c>
      <c r="Z3" s="920" t="s">
        <v>458</v>
      </c>
      <c r="AA3" s="922"/>
      <c r="AB3" s="923" t="s">
        <v>458</v>
      </c>
    </row>
    <row r="4" spans="1:28">
      <c r="A4" s="924" t="s">
        <v>460</v>
      </c>
      <c r="B4" s="911" t="s">
        <v>461</v>
      </c>
      <c r="C4" s="925"/>
      <c r="D4" s="926"/>
      <c r="E4" s="927"/>
      <c r="F4" s="928" t="s">
        <v>517</v>
      </c>
      <c r="G4" s="929"/>
      <c r="H4" s="928" t="s">
        <v>518</v>
      </c>
      <c r="I4" s="931"/>
      <c r="J4" s="928" t="s">
        <v>519</v>
      </c>
      <c r="K4" s="931"/>
      <c r="L4" s="930" t="s">
        <v>517</v>
      </c>
      <c r="M4" s="931"/>
      <c r="N4" s="932" t="s">
        <v>462</v>
      </c>
      <c r="O4" s="933" t="s">
        <v>463</v>
      </c>
      <c r="P4" s="934"/>
      <c r="Q4" s="928" t="s">
        <v>517</v>
      </c>
      <c r="R4" s="931"/>
      <c r="S4" s="928" t="s">
        <v>518</v>
      </c>
      <c r="T4" s="931"/>
      <c r="U4" s="928" t="s">
        <v>519</v>
      </c>
      <c r="V4" s="931"/>
      <c r="W4" s="930" t="s">
        <v>517</v>
      </c>
      <c r="X4" s="931"/>
      <c r="Y4" s="932" t="s">
        <v>464</v>
      </c>
      <c r="Z4" s="933" t="s">
        <v>463</v>
      </c>
      <c r="AA4" s="935" t="s">
        <v>191</v>
      </c>
      <c r="AB4" s="936" t="s">
        <v>463</v>
      </c>
    </row>
    <row r="5" spans="1:28">
      <c r="A5" s="924"/>
      <c r="B5" s="911" t="s">
        <v>465</v>
      </c>
      <c r="C5" s="925"/>
      <c r="D5" s="926"/>
      <c r="E5" s="927"/>
      <c r="F5" s="937" t="s">
        <v>13</v>
      </c>
      <c r="G5" s="938" t="s">
        <v>466</v>
      </c>
      <c r="H5" s="937" t="s">
        <v>13</v>
      </c>
      <c r="I5" s="940" t="s">
        <v>466</v>
      </c>
      <c r="J5" s="937" t="s">
        <v>13</v>
      </c>
      <c r="K5" s="940" t="s">
        <v>466</v>
      </c>
      <c r="L5" s="939" t="s">
        <v>13</v>
      </c>
      <c r="M5" s="940" t="s">
        <v>466</v>
      </c>
      <c r="N5" s="941" t="s">
        <v>13</v>
      </c>
      <c r="O5" s="942" t="s">
        <v>467</v>
      </c>
      <c r="P5" s="943"/>
      <c r="Q5" s="937" t="s">
        <v>13</v>
      </c>
      <c r="R5" s="940" t="s">
        <v>466</v>
      </c>
      <c r="S5" s="937" t="s">
        <v>13</v>
      </c>
      <c r="T5" s="940" t="s">
        <v>466</v>
      </c>
      <c r="U5" s="937" t="s">
        <v>13</v>
      </c>
      <c r="V5" s="940" t="s">
        <v>466</v>
      </c>
      <c r="W5" s="939" t="s">
        <v>13</v>
      </c>
      <c r="X5" s="940" t="s">
        <v>466</v>
      </c>
      <c r="Y5" s="941" t="s">
        <v>13</v>
      </c>
      <c r="Z5" s="942" t="s">
        <v>467</v>
      </c>
      <c r="AA5" s="944" t="s">
        <v>13</v>
      </c>
      <c r="AB5" s="945" t="s">
        <v>468</v>
      </c>
    </row>
    <row r="6" spans="1:28">
      <c r="A6" s="946" t="s">
        <v>469</v>
      </c>
      <c r="B6" s="947"/>
      <c r="C6" s="948"/>
      <c r="D6" s="949"/>
      <c r="E6" s="927"/>
      <c r="F6" s="950"/>
      <c r="G6" s="951"/>
      <c r="H6" s="950"/>
      <c r="I6" s="952"/>
      <c r="J6" s="950">
        <v>0</v>
      </c>
      <c r="K6" s="952"/>
      <c r="L6" s="950"/>
      <c r="M6" s="952"/>
      <c r="N6" s="953">
        <f>SUM(F6:L6)</f>
        <v>0</v>
      </c>
      <c r="O6" s="954"/>
      <c r="P6" s="943"/>
      <c r="Q6" s="950">
        <v>0</v>
      </c>
      <c r="R6" s="952"/>
      <c r="S6" s="950"/>
      <c r="T6" s="952"/>
      <c r="U6" s="950"/>
      <c r="V6" s="952"/>
      <c r="W6" s="950">
        <v>0</v>
      </c>
      <c r="X6" s="952"/>
      <c r="Y6" s="953">
        <f>SUM(Q6:W6)</f>
        <v>0</v>
      </c>
      <c r="Z6" s="954"/>
      <c r="AA6" s="955">
        <f>N6+Y6</f>
        <v>0</v>
      </c>
      <c r="AB6" s="956"/>
    </row>
    <row r="7" spans="1:28" s="970" customFormat="1">
      <c r="A7" s="957" t="s">
        <v>470</v>
      </c>
      <c r="B7" s="958"/>
      <c r="C7" s="959" t="s">
        <v>471</v>
      </c>
      <c r="D7" s="960">
        <v>63</v>
      </c>
      <c r="E7" s="961"/>
      <c r="F7" s="962">
        <v>1500</v>
      </c>
      <c r="G7" s="963"/>
      <c r="H7" s="962"/>
      <c r="I7" s="964"/>
      <c r="J7" s="962"/>
      <c r="K7" s="964"/>
      <c r="L7" s="1332">
        <v>1500</v>
      </c>
      <c r="M7" s="964"/>
      <c r="N7" s="965"/>
      <c r="O7" s="966"/>
      <c r="P7" s="967"/>
      <c r="Q7" s="962">
        <v>1505</v>
      </c>
      <c r="R7" s="963"/>
      <c r="S7" s="962"/>
      <c r="T7" s="964"/>
      <c r="U7" s="962"/>
      <c r="V7" s="964"/>
      <c r="W7" s="1332">
        <v>1505</v>
      </c>
      <c r="X7" s="964"/>
      <c r="Y7" s="965"/>
      <c r="Z7" s="966"/>
      <c r="AA7" s="968"/>
      <c r="AB7" s="969"/>
    </row>
    <row r="8" spans="1:28" s="970" customFormat="1">
      <c r="A8" s="971" t="s">
        <v>472</v>
      </c>
      <c r="B8" s="972"/>
      <c r="C8" s="973" t="s">
        <v>473</v>
      </c>
      <c r="D8" s="974">
        <v>5.2499999999999998E-2</v>
      </c>
      <c r="E8" s="975"/>
      <c r="F8" s="976">
        <f>(F7*$D7)+(F7*$D7*D8)</f>
        <v>99461.25</v>
      </c>
      <c r="G8" s="977"/>
      <c r="H8" s="1323">
        <v>71000</v>
      </c>
      <c r="I8" s="979"/>
      <c r="J8" s="1323">
        <v>57276</v>
      </c>
      <c r="K8" s="979"/>
      <c r="L8" s="978">
        <f>L7*D7</f>
        <v>94500</v>
      </c>
      <c r="M8" s="979"/>
      <c r="N8" s="980"/>
      <c r="O8" s="981"/>
      <c r="P8" s="982"/>
      <c r="Q8" s="976">
        <f>(Q7*$D7)+(Q7*$D7*$D$8)</f>
        <v>99792.787500000006</v>
      </c>
      <c r="R8" s="979"/>
      <c r="S8" s="1323">
        <v>71500</v>
      </c>
      <c r="T8" s="979"/>
      <c r="U8" s="1323">
        <v>62529</v>
      </c>
      <c r="V8" s="979"/>
      <c r="W8" s="978">
        <f>W7*D7</f>
        <v>94815</v>
      </c>
      <c r="X8" s="979"/>
      <c r="Y8" s="980"/>
      <c r="Z8" s="981"/>
      <c r="AA8" s="983"/>
      <c r="AB8" s="984"/>
    </row>
    <row r="9" spans="1:28" s="970" customFormat="1">
      <c r="A9" s="985" t="s">
        <v>474</v>
      </c>
      <c r="B9" s="986"/>
      <c r="C9" s="987"/>
      <c r="D9" s="988"/>
      <c r="E9" s="989"/>
      <c r="F9" s="990"/>
      <c r="G9" s="991"/>
      <c r="H9" s="990"/>
      <c r="I9" s="993"/>
      <c r="J9" s="990"/>
      <c r="K9" s="993"/>
      <c r="L9" s="992"/>
      <c r="M9" s="993"/>
      <c r="N9" s="994"/>
      <c r="O9" s="966"/>
      <c r="P9" s="995"/>
      <c r="Q9" s="990"/>
      <c r="R9" s="993"/>
      <c r="S9" s="990"/>
      <c r="T9" s="993"/>
      <c r="U9" s="990"/>
      <c r="V9" s="993"/>
      <c r="W9" s="996"/>
      <c r="X9" s="993"/>
      <c r="Y9" s="994"/>
      <c r="Z9" s="966"/>
      <c r="AA9" s="997"/>
      <c r="AB9" s="969"/>
    </row>
    <row r="10" spans="1:28" ht="14.25" outlineLevel="1">
      <c r="A10" s="998" t="s">
        <v>321</v>
      </c>
      <c r="B10" s="999"/>
      <c r="C10" s="1000"/>
      <c r="D10" s="1001">
        <v>1.22</v>
      </c>
      <c r="E10" s="1002"/>
      <c r="F10" s="1003">
        <f>D10*D7*1000</f>
        <v>76860</v>
      </c>
      <c r="G10" s="1004"/>
      <c r="H10" s="1003">
        <f>F10</f>
        <v>76860</v>
      </c>
      <c r="I10" s="1006">
        <v>45500</v>
      </c>
      <c r="J10" s="1003">
        <f>F10</f>
        <v>76860</v>
      </c>
      <c r="K10" s="1006">
        <v>45500</v>
      </c>
      <c r="L10" s="1005">
        <f>F10</f>
        <v>76860</v>
      </c>
      <c r="M10" s="1006"/>
      <c r="N10" s="1007"/>
      <c r="O10" s="1008"/>
      <c r="P10" s="1009"/>
      <c r="Q10" s="1003">
        <f>F10</f>
        <v>76860</v>
      </c>
      <c r="R10" s="1006">
        <v>45500</v>
      </c>
      <c r="S10" s="1003">
        <f>F10</f>
        <v>76860</v>
      </c>
      <c r="T10" s="1006">
        <v>45500</v>
      </c>
      <c r="U10" s="1003">
        <f>F10</f>
        <v>76860</v>
      </c>
      <c r="V10" s="1006">
        <v>45500</v>
      </c>
      <c r="W10" s="1010">
        <f>F10</f>
        <v>76860</v>
      </c>
      <c r="X10" s="1006"/>
      <c r="Y10" s="1007"/>
      <c r="Z10" s="1008"/>
      <c r="AA10" s="1011"/>
      <c r="AB10" s="1012"/>
    </row>
    <row r="11" spans="1:28" ht="14.25" outlineLevel="1">
      <c r="A11" s="998" t="s">
        <v>475</v>
      </c>
      <c r="B11" s="999"/>
      <c r="C11" s="1000"/>
      <c r="D11" s="1013"/>
      <c r="E11" s="1002"/>
      <c r="F11" s="1003">
        <f>$F$10</f>
        <v>76860</v>
      </c>
      <c r="G11" s="1004"/>
      <c r="H11" s="1003">
        <f>$F$10</f>
        <v>76860</v>
      </c>
      <c r="I11" s="1006">
        <v>45500</v>
      </c>
      <c r="J11" s="1003">
        <f>$F$10</f>
        <v>76860</v>
      </c>
      <c r="K11" s="1006">
        <v>45500</v>
      </c>
      <c r="L11" s="1010">
        <f>$F$10</f>
        <v>76860</v>
      </c>
      <c r="M11" s="1006"/>
      <c r="N11" s="1007"/>
      <c r="O11" s="1008"/>
      <c r="P11" s="1009"/>
      <c r="Q11" s="1003">
        <f>$F$10</f>
        <v>76860</v>
      </c>
      <c r="R11" s="1006">
        <v>45500</v>
      </c>
      <c r="S11" s="1003">
        <f>$F$10</f>
        <v>76860</v>
      </c>
      <c r="T11" s="1006">
        <v>45500</v>
      </c>
      <c r="U11" s="1003">
        <f>$F$10</f>
        <v>76860</v>
      </c>
      <c r="V11" s="1006">
        <v>45500</v>
      </c>
      <c r="W11" s="1010">
        <f>$F$10</f>
        <v>76860</v>
      </c>
      <c r="X11" s="1006"/>
      <c r="Y11" s="1007"/>
      <c r="Z11" s="1008"/>
      <c r="AA11" s="1011"/>
      <c r="AB11" s="1012"/>
    </row>
    <row r="12" spans="1:28" ht="14.25" hidden="1" outlineLevel="2">
      <c r="A12" s="998" t="s">
        <v>476</v>
      </c>
      <c r="B12" s="999"/>
      <c r="C12" s="1000"/>
      <c r="D12" s="1013"/>
      <c r="E12" s="1002"/>
      <c r="F12" s="1003"/>
      <c r="G12" s="1004"/>
      <c r="H12" s="1003"/>
      <c r="I12" s="1006"/>
      <c r="J12" s="1003"/>
      <c r="K12" s="1006"/>
      <c r="L12" s="1010"/>
      <c r="M12" s="1006"/>
      <c r="N12" s="1007"/>
      <c r="O12" s="1008"/>
      <c r="P12" s="1009"/>
      <c r="Q12" s="1003"/>
      <c r="R12" s="1006"/>
      <c r="S12" s="1003"/>
      <c r="T12" s="1006"/>
      <c r="U12" s="1003"/>
      <c r="V12" s="1006"/>
      <c r="W12" s="1010"/>
      <c r="X12" s="1006"/>
      <c r="Y12" s="1007"/>
      <c r="Z12" s="1008"/>
      <c r="AA12" s="1011"/>
      <c r="AB12" s="1012"/>
    </row>
    <row r="13" spans="1:28" ht="14.25" hidden="1" outlineLevel="2">
      <c r="A13" s="998" t="s">
        <v>477</v>
      </c>
      <c r="B13" s="999"/>
      <c r="C13" s="1000"/>
      <c r="D13" s="1013"/>
      <c r="E13" s="1002"/>
      <c r="F13" s="1003"/>
      <c r="G13" s="1004"/>
      <c r="H13" s="1003"/>
      <c r="I13" s="1006"/>
      <c r="J13" s="1003"/>
      <c r="K13" s="1006"/>
      <c r="L13" s="1010"/>
      <c r="M13" s="1006"/>
      <c r="N13" s="1007"/>
      <c r="O13" s="1008"/>
      <c r="P13" s="1009"/>
      <c r="Q13" s="1003"/>
      <c r="R13" s="1006"/>
      <c r="S13" s="1003"/>
      <c r="T13" s="1006"/>
      <c r="U13" s="1003"/>
      <c r="V13" s="1006"/>
      <c r="W13" s="1010"/>
      <c r="X13" s="1006"/>
      <c r="Y13" s="1007"/>
      <c r="Z13" s="1008"/>
      <c r="AA13" s="1011"/>
      <c r="AB13" s="1012"/>
    </row>
    <row r="14" spans="1:28" ht="14.25" hidden="1" outlineLevel="2">
      <c r="A14" s="998" t="s">
        <v>478</v>
      </c>
      <c r="B14" s="999"/>
      <c r="C14" s="1000"/>
      <c r="D14" s="1013"/>
      <c r="E14" s="1002"/>
      <c r="F14" s="1003"/>
      <c r="G14" s="1004"/>
      <c r="H14" s="1003"/>
      <c r="I14" s="1006"/>
      <c r="J14" s="1003"/>
      <c r="K14" s="1006"/>
      <c r="L14" s="1010"/>
      <c r="M14" s="1006"/>
      <c r="N14" s="1007"/>
      <c r="O14" s="1008"/>
      <c r="P14" s="1009"/>
      <c r="Q14" s="1003"/>
      <c r="R14" s="1006"/>
      <c r="S14" s="1003"/>
      <c r="T14" s="1006"/>
      <c r="U14" s="1003"/>
      <c r="V14" s="1006"/>
      <c r="W14" s="1010"/>
      <c r="X14" s="1006"/>
      <c r="Y14" s="1007"/>
      <c r="Z14" s="1008"/>
      <c r="AA14" s="1011"/>
      <c r="AB14" s="1012"/>
    </row>
    <row r="15" spans="1:28" ht="14.25" hidden="1" outlineLevel="2">
      <c r="A15" s="998" t="s">
        <v>479</v>
      </c>
      <c r="B15" s="999"/>
      <c r="C15" s="1000"/>
      <c r="D15" s="1013"/>
      <c r="E15" s="1002"/>
      <c r="F15" s="1003"/>
      <c r="G15" s="1004"/>
      <c r="H15" s="1003"/>
      <c r="I15" s="1006"/>
      <c r="J15" s="1003"/>
      <c r="K15" s="1006"/>
      <c r="L15" s="1010"/>
      <c r="M15" s="1006"/>
      <c r="N15" s="1007"/>
      <c r="O15" s="1008"/>
      <c r="P15" s="1009"/>
      <c r="Q15" s="1003"/>
      <c r="R15" s="1006"/>
      <c r="S15" s="1003"/>
      <c r="T15" s="1006"/>
      <c r="U15" s="1003"/>
      <c r="V15" s="1006"/>
      <c r="W15" s="1010"/>
      <c r="X15" s="1006"/>
      <c r="Y15" s="1007"/>
      <c r="Z15" s="1008"/>
      <c r="AA15" s="1011"/>
      <c r="AB15" s="1012"/>
    </row>
    <row r="16" spans="1:28" ht="14.25" outlineLevel="1" collapsed="1">
      <c r="A16" s="998" t="s">
        <v>480</v>
      </c>
      <c r="B16" s="999"/>
      <c r="C16" s="1000"/>
      <c r="D16" s="1013"/>
      <c r="E16" s="1002"/>
      <c r="F16" s="1003">
        <v>90000</v>
      </c>
      <c r="G16" s="1004"/>
      <c r="H16" s="1003">
        <v>90000</v>
      </c>
      <c r="I16" s="1006"/>
      <c r="J16" s="1003">
        <v>90000</v>
      </c>
      <c r="K16" s="1006"/>
      <c r="L16" s="1010">
        <v>90000</v>
      </c>
      <c r="M16" s="1006"/>
      <c r="N16" s="1007"/>
      <c r="O16" s="1008"/>
      <c r="P16" s="1009"/>
      <c r="Q16" s="1003">
        <v>90000</v>
      </c>
      <c r="R16" s="1006"/>
      <c r="S16" s="1003">
        <v>90000</v>
      </c>
      <c r="T16" s="1006"/>
      <c r="U16" s="1003">
        <v>90000</v>
      </c>
      <c r="V16" s="1006"/>
      <c r="W16" s="1010">
        <v>90000</v>
      </c>
      <c r="X16" s="1006"/>
      <c r="Y16" s="1007"/>
      <c r="Z16" s="1008"/>
      <c r="AA16" s="1011"/>
      <c r="AB16" s="1012"/>
    </row>
    <row r="17" spans="1:28" ht="14.25" outlineLevel="1">
      <c r="A17" s="1014" t="s">
        <v>481</v>
      </c>
      <c r="B17" s="1015"/>
      <c r="C17" s="1016"/>
      <c r="D17" s="1017"/>
      <c r="E17" s="1018"/>
      <c r="F17" s="1019">
        <v>210000</v>
      </c>
      <c r="G17" s="1020"/>
      <c r="H17" s="1019">
        <v>210000</v>
      </c>
      <c r="I17" s="1022"/>
      <c r="J17" s="1019">
        <v>210000</v>
      </c>
      <c r="K17" s="1022"/>
      <c r="L17" s="1021">
        <v>210000</v>
      </c>
      <c r="M17" s="1022"/>
      <c r="N17" s="1023"/>
      <c r="O17" s="1024"/>
      <c r="P17" s="1025"/>
      <c r="Q17" s="1019">
        <v>210000</v>
      </c>
      <c r="R17" s="1022"/>
      <c r="S17" s="1019">
        <v>210000</v>
      </c>
      <c r="T17" s="1022"/>
      <c r="U17" s="1019">
        <v>210000</v>
      </c>
      <c r="V17" s="1022"/>
      <c r="W17" s="1021">
        <v>210000</v>
      </c>
      <c r="X17" s="1022"/>
      <c r="Y17" s="1023"/>
      <c r="Z17" s="1024"/>
      <c r="AA17" s="1026"/>
      <c r="AB17" s="1027"/>
    </row>
    <row r="18" spans="1:28">
      <c r="A18" s="1028" t="s">
        <v>482</v>
      </c>
      <c r="B18" s="1029"/>
      <c r="C18" s="987"/>
      <c r="D18" s="988"/>
      <c r="E18" s="989"/>
      <c r="F18" s="1030">
        <v>0.88</v>
      </c>
      <c r="G18" s="991"/>
      <c r="H18" s="1030">
        <v>0.87</v>
      </c>
      <c r="I18" s="993"/>
      <c r="J18" s="1030">
        <v>0.86</v>
      </c>
      <c r="K18" s="993"/>
      <c r="L18" s="1031">
        <v>0.88</v>
      </c>
      <c r="M18" s="993"/>
      <c r="N18" s="994"/>
      <c r="O18" s="966"/>
      <c r="P18" s="995"/>
      <c r="Q18" s="1030">
        <v>0.88</v>
      </c>
      <c r="R18" s="993"/>
      <c r="S18" s="1030">
        <v>0.87</v>
      </c>
      <c r="T18" s="993"/>
      <c r="U18" s="1030">
        <v>0.86</v>
      </c>
      <c r="V18" s="993"/>
      <c r="W18" s="1031">
        <v>0.88</v>
      </c>
      <c r="X18" s="993"/>
      <c r="Y18" s="994"/>
      <c r="Z18" s="966"/>
      <c r="AA18" s="997"/>
      <c r="AB18" s="969"/>
    </row>
    <row r="19" spans="1:28">
      <c r="A19" s="1032" t="s">
        <v>483</v>
      </c>
      <c r="B19" s="1033"/>
      <c r="C19" s="1034"/>
      <c r="D19" s="1035"/>
      <c r="E19" s="1036"/>
      <c r="F19" s="1037">
        <f>1/F18</f>
        <v>1.1363636363636365</v>
      </c>
      <c r="G19" s="1038"/>
      <c r="H19" s="1037">
        <f>1/H18</f>
        <v>1.1494252873563218</v>
      </c>
      <c r="I19" s="1040"/>
      <c r="J19" s="1037">
        <f>1/J18</f>
        <v>1.1627906976744187</v>
      </c>
      <c r="K19" s="1040"/>
      <c r="L19" s="1039">
        <f>1/L18</f>
        <v>1.1363636363636365</v>
      </c>
      <c r="M19" s="1040"/>
      <c r="N19" s="1041"/>
      <c r="O19" s="981"/>
      <c r="P19" s="1042"/>
      <c r="Q19" s="1037">
        <f>1/Q18</f>
        <v>1.1363636363636365</v>
      </c>
      <c r="R19" s="1040"/>
      <c r="S19" s="1037">
        <f>1/S18</f>
        <v>1.1494252873563218</v>
      </c>
      <c r="T19" s="1040"/>
      <c r="U19" s="1037">
        <f>1/U18</f>
        <v>1.1627906976744187</v>
      </c>
      <c r="V19" s="1040"/>
      <c r="W19" s="1039">
        <f>1/W18</f>
        <v>1.1363636363636365</v>
      </c>
      <c r="X19" s="1040"/>
      <c r="Y19" s="1041"/>
      <c r="Z19" s="981"/>
      <c r="AA19" s="1043"/>
      <c r="AB19" s="984"/>
    </row>
    <row r="20" spans="1:28" s="1055" customFormat="1">
      <c r="A20" s="1044" t="s">
        <v>484</v>
      </c>
      <c r="B20" s="1045"/>
      <c r="C20" s="1046"/>
      <c r="D20" s="1047"/>
      <c r="E20" s="1048"/>
      <c r="F20" s="1049">
        <f>SUM(F21:F28)</f>
        <v>0</v>
      </c>
      <c r="G20" s="991"/>
      <c r="H20" s="1049">
        <f>SUM(H21:H28)</f>
        <v>0</v>
      </c>
      <c r="I20" s="993"/>
      <c r="J20" s="1049">
        <f>SUM(J21:J28)</f>
        <v>0</v>
      </c>
      <c r="K20" s="993"/>
      <c r="L20" s="1049">
        <f>SUM(L21:L28)</f>
        <v>0</v>
      </c>
      <c r="M20" s="993"/>
      <c r="N20" s="1050">
        <f t="shared" ref="N20:N28" si="0">F20+H20+J20+L20</f>
        <v>0</v>
      </c>
      <c r="O20" s="1051"/>
      <c r="P20" s="1052"/>
      <c r="Q20" s="1049">
        <f>SUM(Q21:Q28)</f>
        <v>0</v>
      </c>
      <c r="R20" s="993"/>
      <c r="S20" s="1049">
        <f>SUM(S21:S28)</f>
        <v>0</v>
      </c>
      <c r="T20" s="993"/>
      <c r="U20" s="1049">
        <f>SUM(U21:U28)</f>
        <v>0</v>
      </c>
      <c r="V20" s="993"/>
      <c r="W20" s="1049">
        <f>SUM(W21:W28)</f>
        <v>0</v>
      </c>
      <c r="X20" s="993"/>
      <c r="Y20" s="1050">
        <f t="shared" ref="Y20:Y28" si="1">Q20+S20+U20+W20</f>
        <v>0</v>
      </c>
      <c r="Z20" s="1051"/>
      <c r="AA20" s="1053">
        <f t="shared" ref="AA20:AA28" si="2">N20+Y20</f>
        <v>0</v>
      </c>
      <c r="AB20" s="1054"/>
    </row>
    <row r="21" spans="1:28" outlineLevel="1">
      <c r="A21" s="1056" t="s">
        <v>321</v>
      </c>
      <c r="B21" s="999"/>
      <c r="C21" s="1057"/>
      <c r="D21" s="1058"/>
      <c r="E21" s="1059"/>
      <c r="F21" s="1060">
        <f>(F19*0.62)*F6</f>
        <v>0</v>
      </c>
      <c r="G21" s="1004"/>
      <c r="H21" s="1060"/>
      <c r="I21" s="1006"/>
      <c r="J21" s="1060">
        <f>(J19*0.7)*J6</f>
        <v>0</v>
      </c>
      <c r="K21" s="1006"/>
      <c r="L21" s="1060">
        <f>(L19*0.62)*L6</f>
        <v>0</v>
      </c>
      <c r="M21" s="1006"/>
      <c r="N21" s="1061">
        <f t="shared" si="0"/>
        <v>0</v>
      </c>
      <c r="O21" s="1062"/>
      <c r="P21" s="1063"/>
      <c r="Q21" s="1060">
        <f>(Q19*0.62)*Q6</f>
        <v>0</v>
      </c>
      <c r="R21" s="1006"/>
      <c r="S21" s="1060"/>
      <c r="T21" s="1006"/>
      <c r="U21" s="1060">
        <f>(U19*0.7)*U6</f>
        <v>0</v>
      </c>
      <c r="V21" s="1006"/>
      <c r="W21" s="1060">
        <f>(W19*0.62)*W6</f>
        <v>0</v>
      </c>
      <c r="X21" s="1006"/>
      <c r="Y21" s="1061">
        <f t="shared" si="1"/>
        <v>0</v>
      </c>
      <c r="Z21" s="1062"/>
      <c r="AA21" s="1064">
        <f t="shared" si="2"/>
        <v>0</v>
      </c>
      <c r="AB21" s="1065"/>
    </row>
    <row r="22" spans="1:28" outlineLevel="1">
      <c r="A22" s="1056" t="s">
        <v>475</v>
      </c>
      <c r="B22" s="999"/>
      <c r="C22" s="1057"/>
      <c r="D22" s="1058"/>
      <c r="E22" s="1059"/>
      <c r="F22" s="1060">
        <f>(F19*0.38)*F6</f>
        <v>0</v>
      </c>
      <c r="G22" s="1004"/>
      <c r="H22" s="1060">
        <f>H19*H6</f>
        <v>0</v>
      </c>
      <c r="I22" s="1006"/>
      <c r="J22" s="1060">
        <f>(J19*0.3)*J6</f>
        <v>0</v>
      </c>
      <c r="K22" s="1006"/>
      <c r="L22" s="1060">
        <f>(L19*0.38)*L6</f>
        <v>0</v>
      </c>
      <c r="M22" s="1006"/>
      <c r="N22" s="1061">
        <f t="shared" si="0"/>
        <v>0</v>
      </c>
      <c r="O22" s="1062"/>
      <c r="P22" s="1063"/>
      <c r="Q22" s="1060">
        <f>(Q19*0.38)*Q6</f>
        <v>0</v>
      </c>
      <c r="R22" s="1006"/>
      <c r="S22" s="1060">
        <f>S19*S6</f>
        <v>0</v>
      </c>
      <c r="T22" s="1006"/>
      <c r="U22" s="1060">
        <f>(U19*0.3)*U6</f>
        <v>0</v>
      </c>
      <c r="V22" s="1006"/>
      <c r="W22" s="1060">
        <f>(W19*0.38)*W6</f>
        <v>0</v>
      </c>
      <c r="X22" s="1006"/>
      <c r="Y22" s="1061">
        <f t="shared" si="1"/>
        <v>0</v>
      </c>
      <c r="Z22" s="1062"/>
      <c r="AA22" s="1064">
        <f t="shared" si="2"/>
        <v>0</v>
      </c>
      <c r="AB22" s="1065"/>
    </row>
    <row r="23" spans="1:28" hidden="1" outlineLevel="2">
      <c r="A23" s="1056" t="s">
        <v>476</v>
      </c>
      <c r="B23" s="999"/>
      <c r="C23" s="1057"/>
      <c r="D23" s="1058"/>
      <c r="E23" s="1059"/>
      <c r="F23" s="1060"/>
      <c r="G23" s="1004"/>
      <c r="H23" s="1060"/>
      <c r="I23" s="1006"/>
      <c r="J23" s="1060"/>
      <c r="K23" s="1006"/>
      <c r="L23" s="1060"/>
      <c r="M23" s="1006"/>
      <c r="N23" s="1061">
        <f t="shared" si="0"/>
        <v>0</v>
      </c>
      <c r="O23" s="1062"/>
      <c r="P23" s="1063"/>
      <c r="Q23" s="1060"/>
      <c r="R23" s="1006"/>
      <c r="S23" s="1060"/>
      <c r="T23" s="1006"/>
      <c r="U23" s="1060"/>
      <c r="V23" s="1006"/>
      <c r="W23" s="1060"/>
      <c r="X23" s="1006"/>
      <c r="Y23" s="1061">
        <f t="shared" si="1"/>
        <v>0</v>
      </c>
      <c r="Z23" s="1062"/>
      <c r="AA23" s="1064">
        <f t="shared" si="2"/>
        <v>0</v>
      </c>
      <c r="AB23" s="1065"/>
    </row>
    <row r="24" spans="1:28" hidden="1" outlineLevel="2">
      <c r="A24" s="1056" t="s">
        <v>477</v>
      </c>
      <c r="B24" s="999"/>
      <c r="C24" s="1057"/>
      <c r="D24" s="1058"/>
      <c r="E24" s="1059"/>
      <c r="F24" s="1060"/>
      <c r="G24" s="1004"/>
      <c r="H24" s="1060"/>
      <c r="I24" s="1006"/>
      <c r="J24" s="1060"/>
      <c r="K24" s="1006"/>
      <c r="L24" s="1060"/>
      <c r="M24" s="1006"/>
      <c r="N24" s="1061">
        <f t="shared" si="0"/>
        <v>0</v>
      </c>
      <c r="O24" s="1062"/>
      <c r="P24" s="1063"/>
      <c r="Q24" s="1060"/>
      <c r="R24" s="1006"/>
      <c r="S24" s="1060"/>
      <c r="T24" s="1006"/>
      <c r="U24" s="1060"/>
      <c r="V24" s="1006"/>
      <c r="W24" s="1060"/>
      <c r="X24" s="1006"/>
      <c r="Y24" s="1061">
        <f t="shared" si="1"/>
        <v>0</v>
      </c>
      <c r="Z24" s="1062"/>
      <c r="AA24" s="1064">
        <f t="shared" si="2"/>
        <v>0</v>
      </c>
      <c r="AB24" s="1065"/>
    </row>
    <row r="25" spans="1:28" hidden="1" outlineLevel="2">
      <c r="A25" s="1056" t="s">
        <v>478</v>
      </c>
      <c r="B25" s="999"/>
      <c r="C25" s="1057"/>
      <c r="D25" s="1058"/>
      <c r="E25" s="1059"/>
      <c r="F25" s="1060"/>
      <c r="G25" s="1004"/>
      <c r="H25" s="1060"/>
      <c r="I25" s="1006"/>
      <c r="J25" s="1060"/>
      <c r="K25" s="1006"/>
      <c r="L25" s="1060"/>
      <c r="M25" s="1006"/>
      <c r="N25" s="1061">
        <f t="shared" si="0"/>
        <v>0</v>
      </c>
      <c r="O25" s="1062"/>
      <c r="P25" s="1063"/>
      <c r="Q25" s="1060"/>
      <c r="R25" s="1006"/>
      <c r="S25" s="1060"/>
      <c r="T25" s="1006"/>
      <c r="U25" s="1060"/>
      <c r="V25" s="1006"/>
      <c r="W25" s="1060"/>
      <c r="X25" s="1006"/>
      <c r="Y25" s="1061">
        <f t="shared" si="1"/>
        <v>0</v>
      </c>
      <c r="Z25" s="1062"/>
      <c r="AA25" s="1064">
        <f t="shared" si="2"/>
        <v>0</v>
      </c>
      <c r="AB25" s="1065"/>
    </row>
    <row r="26" spans="1:28" hidden="1" outlineLevel="2">
      <c r="A26" s="1056" t="s">
        <v>479</v>
      </c>
      <c r="B26" s="999"/>
      <c r="C26" s="1057"/>
      <c r="D26" s="1058"/>
      <c r="E26" s="1059"/>
      <c r="F26" s="1060"/>
      <c r="G26" s="1004"/>
      <c r="H26" s="1060"/>
      <c r="I26" s="1006"/>
      <c r="J26" s="1060"/>
      <c r="K26" s="1006"/>
      <c r="L26" s="1060"/>
      <c r="M26" s="1006"/>
      <c r="N26" s="1061">
        <f t="shared" si="0"/>
        <v>0</v>
      </c>
      <c r="O26" s="1062"/>
      <c r="P26" s="1063"/>
      <c r="Q26" s="1060"/>
      <c r="R26" s="1006"/>
      <c r="S26" s="1060"/>
      <c r="T26" s="1006"/>
      <c r="U26" s="1060"/>
      <c r="V26" s="1006"/>
      <c r="W26" s="1060"/>
      <c r="X26" s="1006"/>
      <c r="Y26" s="1061">
        <f t="shared" si="1"/>
        <v>0</v>
      </c>
      <c r="Z26" s="1062"/>
      <c r="AA26" s="1064">
        <f t="shared" si="2"/>
        <v>0</v>
      </c>
      <c r="AB26" s="1065"/>
    </row>
    <row r="27" spans="1:28" outlineLevel="1" collapsed="1">
      <c r="A27" s="1056" t="s">
        <v>480</v>
      </c>
      <c r="B27" s="999"/>
      <c r="C27" s="1066"/>
      <c r="D27" s="1067"/>
      <c r="E27" s="1059"/>
      <c r="F27" s="1060"/>
      <c r="G27" s="1004"/>
      <c r="H27" s="1060">
        <f>0.041*H6</f>
        <v>0</v>
      </c>
      <c r="I27" s="1006"/>
      <c r="J27" s="1060"/>
      <c r="K27" s="1006"/>
      <c r="L27" s="1060"/>
      <c r="M27" s="1006"/>
      <c r="N27" s="1061">
        <f t="shared" si="0"/>
        <v>0</v>
      </c>
      <c r="O27" s="1062"/>
      <c r="P27" s="1063"/>
      <c r="Q27" s="1060"/>
      <c r="R27" s="1006"/>
      <c r="S27" s="1060">
        <f>0.041*S6</f>
        <v>0</v>
      </c>
      <c r="T27" s="1006"/>
      <c r="U27" s="1060"/>
      <c r="V27" s="1006"/>
      <c r="W27" s="1060"/>
      <c r="X27" s="1006"/>
      <c r="Y27" s="1061">
        <f t="shared" si="1"/>
        <v>0</v>
      </c>
      <c r="Z27" s="1062"/>
      <c r="AA27" s="1064">
        <f t="shared" si="2"/>
        <v>0</v>
      </c>
      <c r="AB27" s="1065"/>
    </row>
    <row r="28" spans="1:28" outlineLevel="1">
      <c r="A28" s="1056" t="s">
        <v>481</v>
      </c>
      <c r="B28" s="999"/>
      <c r="C28" s="1066"/>
      <c r="D28" s="1067"/>
      <c r="E28" s="1059"/>
      <c r="F28" s="1060"/>
      <c r="G28" s="1004"/>
      <c r="H28" s="1060">
        <f>0.004*H6</f>
        <v>0</v>
      </c>
      <c r="I28" s="1006"/>
      <c r="J28" s="1060"/>
      <c r="K28" s="1006"/>
      <c r="L28" s="1060"/>
      <c r="M28" s="1006"/>
      <c r="N28" s="1061">
        <f t="shared" si="0"/>
        <v>0</v>
      </c>
      <c r="O28" s="1062"/>
      <c r="P28" s="1063"/>
      <c r="Q28" s="1060"/>
      <c r="R28" s="1006"/>
      <c r="S28" s="1060">
        <f>0.004*S6</f>
        <v>0</v>
      </c>
      <c r="T28" s="1006"/>
      <c r="U28" s="1060"/>
      <c r="V28" s="1006"/>
      <c r="W28" s="1060"/>
      <c r="X28" s="1006"/>
      <c r="Y28" s="1061">
        <f t="shared" si="1"/>
        <v>0</v>
      </c>
      <c r="Z28" s="1062"/>
      <c r="AA28" s="1064">
        <f t="shared" si="2"/>
        <v>0</v>
      </c>
      <c r="AB28" s="1065"/>
    </row>
    <row r="29" spans="1:28" outlineLevel="1">
      <c r="A29" s="1068"/>
      <c r="B29" s="1015"/>
      <c r="C29" s="1069"/>
      <c r="D29" s="1070"/>
      <c r="E29" s="1071"/>
      <c r="F29" s="1072"/>
      <c r="G29" s="1020"/>
      <c r="H29" s="1072"/>
      <c r="I29" s="1022"/>
      <c r="J29" s="1072"/>
      <c r="K29" s="1022"/>
      <c r="L29" s="1072"/>
      <c r="M29" s="1022"/>
      <c r="N29" s="1041"/>
      <c r="O29" s="981"/>
      <c r="P29" s="1042"/>
      <c r="Q29" s="1072"/>
      <c r="R29" s="1022"/>
      <c r="S29" s="1072"/>
      <c r="T29" s="1022"/>
      <c r="U29" s="1072"/>
      <c r="V29" s="1022"/>
      <c r="W29" s="1072"/>
      <c r="X29" s="1022"/>
      <c r="Y29" s="1041"/>
      <c r="Z29" s="981"/>
      <c r="AA29" s="1043"/>
      <c r="AB29" s="984"/>
    </row>
    <row r="30" spans="1:28" s="1087" customFormat="1">
      <c r="A30" s="1073" t="s">
        <v>485</v>
      </c>
      <c r="B30" s="1074"/>
      <c r="C30" s="1075" t="s">
        <v>486</v>
      </c>
      <c r="D30" s="1076" t="s">
        <v>487</v>
      </c>
      <c r="E30" s="1077"/>
      <c r="F30" s="1078">
        <f>SUM(F31:F33)</f>
        <v>0</v>
      </c>
      <c r="G30" s="1079">
        <f t="shared" ref="G30:G56" si="3">IF($F$6=0,0,F30/$F$6)</f>
        <v>0</v>
      </c>
      <c r="H30" s="1078">
        <f>SUM(H31:H33)</f>
        <v>0</v>
      </c>
      <c r="I30" s="1081">
        <f t="shared" ref="I30:I56" si="4">IF($H$6=0,0,H30/$H$6)</f>
        <v>0</v>
      </c>
      <c r="J30" s="1078">
        <f>SUM(J31:J33)</f>
        <v>0</v>
      </c>
      <c r="K30" s="1081">
        <f t="shared" ref="K30:K56" si="5">IF($J$6=0,0,J30/$J$6)</f>
        <v>0</v>
      </c>
      <c r="L30" s="1080">
        <f>SUM(L31:L33)</f>
        <v>0</v>
      </c>
      <c r="M30" s="1081">
        <f t="shared" ref="M30:M56" si="6">IF($L$6=0,0,L30/$L$6)</f>
        <v>0</v>
      </c>
      <c r="N30" s="1082">
        <f t="shared" ref="N30:N48" si="7">F30+H30+J30+L30</f>
        <v>0</v>
      </c>
      <c r="O30" s="1083">
        <f t="shared" ref="O30:O49" si="8">IF($N$6=0,0,N30/$N$6)</f>
        <v>0</v>
      </c>
      <c r="P30" s="1084"/>
      <c r="Q30" s="1078">
        <f>SUM(Q31:Q33)</f>
        <v>0</v>
      </c>
      <c r="R30" s="1081">
        <f t="shared" ref="R30:R56" si="9">IF($Q$6=0,0,Q30/$Q$6)</f>
        <v>0</v>
      </c>
      <c r="S30" s="1078">
        <f>SUM(S31:S33)</f>
        <v>0</v>
      </c>
      <c r="T30" s="1081">
        <f t="shared" ref="T30:T56" si="10">IF($S$6=0,0,S30/$S$6)</f>
        <v>0</v>
      </c>
      <c r="U30" s="1078">
        <f>SUM(U31:U33)</f>
        <v>0</v>
      </c>
      <c r="V30" s="1081">
        <f t="shared" ref="V30:V56" si="11">IF($U$6=0,0,U30/$U$6)</f>
        <v>0</v>
      </c>
      <c r="W30" s="1080">
        <f>SUM(W31:W33)</f>
        <v>0</v>
      </c>
      <c r="X30" s="1081">
        <f t="shared" ref="X30:X56" si="12">IF($W$6=0,0,W30/$W$6)</f>
        <v>0</v>
      </c>
      <c r="Y30" s="1082">
        <f t="shared" ref="Y30:Y48" si="13">Q30+S30+U30+W30</f>
        <v>0</v>
      </c>
      <c r="Z30" s="1083">
        <f t="shared" ref="Z30:Z47" si="14">IF($Y$6=0,0,Y30/$Y$6)</f>
        <v>0</v>
      </c>
      <c r="AA30" s="1085">
        <f t="shared" ref="AA30:AA47" si="15">N30+Y30</f>
        <v>0</v>
      </c>
      <c r="AB30" s="1086">
        <f t="shared" ref="AB30:AB49" si="16">IF($AA$6=0,0,AA30/$AA$6)</f>
        <v>0</v>
      </c>
    </row>
    <row r="31" spans="1:28" outlineLevel="1">
      <c r="A31" s="1088" t="s">
        <v>488</v>
      </c>
      <c r="B31" s="1089"/>
      <c r="C31" s="1090"/>
      <c r="D31" s="1091"/>
      <c r="E31" s="1092"/>
      <c r="F31" s="1093">
        <f>F6*F8</f>
        <v>0</v>
      </c>
      <c r="G31" s="1094">
        <f t="shared" si="3"/>
        <v>0</v>
      </c>
      <c r="H31" s="1093">
        <f>H6*H8</f>
        <v>0</v>
      </c>
      <c r="I31" s="1096">
        <f t="shared" si="4"/>
        <v>0</v>
      </c>
      <c r="J31" s="1093">
        <f>J6*J8</f>
        <v>0</v>
      </c>
      <c r="K31" s="1096">
        <f t="shared" si="5"/>
        <v>0</v>
      </c>
      <c r="L31" s="1095">
        <f>L6*L8</f>
        <v>0</v>
      </c>
      <c r="M31" s="1096">
        <f t="shared" si="6"/>
        <v>0</v>
      </c>
      <c r="N31" s="1097">
        <f t="shared" si="7"/>
        <v>0</v>
      </c>
      <c r="O31" s="1098">
        <f t="shared" si="8"/>
        <v>0</v>
      </c>
      <c r="P31" s="1099"/>
      <c r="Q31" s="1093">
        <f>Q6*Q8</f>
        <v>0</v>
      </c>
      <c r="R31" s="1096">
        <f t="shared" si="9"/>
        <v>0</v>
      </c>
      <c r="S31" s="1093">
        <f>S6*S8</f>
        <v>0</v>
      </c>
      <c r="T31" s="1096">
        <f t="shared" si="10"/>
        <v>0</v>
      </c>
      <c r="U31" s="1093">
        <f>U6*U8</f>
        <v>0</v>
      </c>
      <c r="V31" s="1096">
        <f t="shared" si="11"/>
        <v>0</v>
      </c>
      <c r="W31" s="1095">
        <f>W6*W8</f>
        <v>0</v>
      </c>
      <c r="X31" s="1096">
        <f t="shared" si="12"/>
        <v>0</v>
      </c>
      <c r="Y31" s="1097">
        <f t="shared" si="13"/>
        <v>0</v>
      </c>
      <c r="Z31" s="1098">
        <f t="shared" si="14"/>
        <v>0</v>
      </c>
      <c r="AA31" s="1100">
        <f t="shared" si="15"/>
        <v>0</v>
      </c>
      <c r="AB31" s="1101">
        <f t="shared" si="16"/>
        <v>0</v>
      </c>
    </row>
    <row r="32" spans="1:28" outlineLevel="1">
      <c r="A32" s="1088" t="s">
        <v>489</v>
      </c>
      <c r="B32" s="1089"/>
      <c r="C32" s="1102">
        <v>6.7000000000000004E-2</v>
      </c>
      <c r="D32" s="1103">
        <v>33500</v>
      </c>
      <c r="E32" s="1092"/>
      <c r="F32" s="1093">
        <f>F6*$C32*$D32</f>
        <v>0</v>
      </c>
      <c r="G32" s="1094">
        <f t="shared" si="3"/>
        <v>0</v>
      </c>
      <c r="H32" s="1093">
        <f>H6*$C32*$D32</f>
        <v>0</v>
      </c>
      <c r="I32" s="1096">
        <f t="shared" si="4"/>
        <v>0</v>
      </c>
      <c r="J32" s="1093">
        <f>J6*$C32*$D32</f>
        <v>0</v>
      </c>
      <c r="K32" s="1096">
        <f t="shared" si="5"/>
        <v>0</v>
      </c>
      <c r="L32" s="1095">
        <f>L6*$C32*$D32</f>
        <v>0</v>
      </c>
      <c r="M32" s="1096">
        <f t="shared" si="6"/>
        <v>0</v>
      </c>
      <c r="N32" s="1097">
        <f t="shared" si="7"/>
        <v>0</v>
      </c>
      <c r="O32" s="1098">
        <f t="shared" si="8"/>
        <v>0</v>
      </c>
      <c r="P32" s="1099"/>
      <c r="Q32" s="1093">
        <f>Q6*$C32*$D32</f>
        <v>0</v>
      </c>
      <c r="R32" s="1096">
        <f t="shared" si="9"/>
        <v>0</v>
      </c>
      <c r="S32" s="1093">
        <f>S6*$C32*$D32</f>
        <v>0</v>
      </c>
      <c r="T32" s="1096">
        <f t="shared" si="10"/>
        <v>0</v>
      </c>
      <c r="U32" s="1093">
        <f>U6*$C32*$D32</f>
        <v>0</v>
      </c>
      <c r="V32" s="1096">
        <f t="shared" si="11"/>
        <v>0</v>
      </c>
      <c r="W32" s="1095">
        <f>W6*$C32*$D32</f>
        <v>0</v>
      </c>
      <c r="X32" s="1096">
        <f t="shared" si="12"/>
        <v>0</v>
      </c>
      <c r="Y32" s="1097">
        <f t="shared" si="13"/>
        <v>0</v>
      </c>
      <c r="Z32" s="1098">
        <f t="shared" si="14"/>
        <v>0</v>
      </c>
      <c r="AA32" s="1100">
        <f t="shared" si="15"/>
        <v>0</v>
      </c>
      <c r="AB32" s="1101">
        <f t="shared" si="16"/>
        <v>0</v>
      </c>
    </row>
    <row r="33" spans="1:28" outlineLevel="1">
      <c r="A33" s="1104" t="s">
        <v>320</v>
      </c>
      <c r="B33" s="1105"/>
      <c r="C33" s="1106">
        <v>4.7E-2</v>
      </c>
      <c r="D33" s="1107">
        <v>5930</v>
      </c>
      <c r="E33" s="1108"/>
      <c r="F33" s="1109">
        <f>F6*$C33*$D33</f>
        <v>0</v>
      </c>
      <c r="G33" s="1110">
        <f t="shared" si="3"/>
        <v>0</v>
      </c>
      <c r="H33" s="1109">
        <f>H6*$C33*$D33</f>
        <v>0</v>
      </c>
      <c r="I33" s="1112">
        <f t="shared" si="4"/>
        <v>0</v>
      </c>
      <c r="J33" s="1109">
        <f>J6*$C33*$D33</f>
        <v>0</v>
      </c>
      <c r="K33" s="1112">
        <f t="shared" si="5"/>
        <v>0</v>
      </c>
      <c r="L33" s="1111">
        <f>L6*$C33*$D33</f>
        <v>0</v>
      </c>
      <c r="M33" s="1112">
        <f t="shared" si="6"/>
        <v>0</v>
      </c>
      <c r="N33" s="1113">
        <f t="shared" si="7"/>
        <v>0</v>
      </c>
      <c r="O33" s="1114">
        <f t="shared" si="8"/>
        <v>0</v>
      </c>
      <c r="P33" s="1115"/>
      <c r="Q33" s="1109">
        <f>Q6*$C33*$D33</f>
        <v>0</v>
      </c>
      <c r="R33" s="1112">
        <f t="shared" si="9"/>
        <v>0</v>
      </c>
      <c r="S33" s="1109">
        <f>S6*$C33*$D33</f>
        <v>0</v>
      </c>
      <c r="T33" s="1112">
        <f t="shared" si="10"/>
        <v>0</v>
      </c>
      <c r="U33" s="1109">
        <f>U6*$C33*$D33</f>
        <v>0</v>
      </c>
      <c r="V33" s="1112">
        <f t="shared" si="11"/>
        <v>0</v>
      </c>
      <c r="W33" s="1111">
        <f>W6*$C33*$D33</f>
        <v>0</v>
      </c>
      <c r="X33" s="1112">
        <f t="shared" si="12"/>
        <v>0</v>
      </c>
      <c r="Y33" s="1113">
        <f t="shared" si="13"/>
        <v>0</v>
      </c>
      <c r="Z33" s="1114">
        <f t="shared" si="14"/>
        <v>0</v>
      </c>
      <c r="AA33" s="1116">
        <f t="shared" si="15"/>
        <v>0</v>
      </c>
      <c r="AB33" s="1117">
        <f t="shared" si="16"/>
        <v>0</v>
      </c>
    </row>
    <row r="34" spans="1:28" s="1087" customFormat="1">
      <c r="A34" s="1118" t="s">
        <v>490</v>
      </c>
      <c r="B34" s="1119"/>
      <c r="C34" s="1120"/>
      <c r="D34" s="1121"/>
      <c r="E34" s="1122"/>
      <c r="F34" s="1123">
        <f>F35</f>
        <v>0</v>
      </c>
      <c r="G34" s="1124">
        <f t="shared" si="3"/>
        <v>0</v>
      </c>
      <c r="H34" s="1123">
        <f>H35</f>
        <v>0</v>
      </c>
      <c r="I34" s="1126">
        <f t="shared" si="4"/>
        <v>0</v>
      </c>
      <c r="J34" s="1123">
        <f>J35</f>
        <v>0</v>
      </c>
      <c r="K34" s="1126">
        <f t="shared" si="5"/>
        <v>0</v>
      </c>
      <c r="L34" s="1125">
        <f>L35</f>
        <v>0</v>
      </c>
      <c r="M34" s="1126">
        <f t="shared" si="6"/>
        <v>0</v>
      </c>
      <c r="N34" s="1127">
        <f t="shared" si="7"/>
        <v>0</v>
      </c>
      <c r="O34" s="1128">
        <f t="shared" si="8"/>
        <v>0</v>
      </c>
      <c r="P34" s="1084"/>
      <c r="Q34" s="1123">
        <f>Q35</f>
        <v>0</v>
      </c>
      <c r="R34" s="1126">
        <f t="shared" si="9"/>
        <v>0</v>
      </c>
      <c r="S34" s="1123">
        <f>S35</f>
        <v>0</v>
      </c>
      <c r="T34" s="1126">
        <f t="shared" si="10"/>
        <v>0</v>
      </c>
      <c r="U34" s="1123">
        <f>U35</f>
        <v>0</v>
      </c>
      <c r="V34" s="1126">
        <f t="shared" si="11"/>
        <v>0</v>
      </c>
      <c r="W34" s="1125">
        <f>W35</f>
        <v>0</v>
      </c>
      <c r="X34" s="1126">
        <f t="shared" si="12"/>
        <v>0</v>
      </c>
      <c r="Y34" s="1127">
        <f t="shared" si="13"/>
        <v>0</v>
      </c>
      <c r="Z34" s="1128">
        <f t="shared" si="14"/>
        <v>0</v>
      </c>
      <c r="AA34" s="1129">
        <f t="shared" si="15"/>
        <v>0</v>
      </c>
      <c r="AB34" s="1130">
        <f t="shared" si="16"/>
        <v>0</v>
      </c>
    </row>
    <row r="35" spans="1:28" s="1087" customFormat="1">
      <c r="A35" s="1131" t="s">
        <v>491</v>
      </c>
      <c r="B35" s="1132"/>
      <c r="C35" s="1133"/>
      <c r="D35" s="1134"/>
      <c r="E35" s="1135"/>
      <c r="F35" s="1136">
        <f>SUM(F36:F43)</f>
        <v>0</v>
      </c>
      <c r="G35" s="1137">
        <f t="shared" si="3"/>
        <v>0</v>
      </c>
      <c r="H35" s="1136">
        <f>SUM(H36:H43)</f>
        <v>0</v>
      </c>
      <c r="I35" s="1139">
        <f t="shared" si="4"/>
        <v>0</v>
      </c>
      <c r="J35" s="1136">
        <f>SUM(J36:J43)</f>
        <v>0</v>
      </c>
      <c r="K35" s="1139">
        <f t="shared" si="5"/>
        <v>0</v>
      </c>
      <c r="L35" s="1138">
        <f>SUM(L36:L43)</f>
        <v>0</v>
      </c>
      <c r="M35" s="1139">
        <f t="shared" si="6"/>
        <v>0</v>
      </c>
      <c r="N35" s="1140">
        <f t="shared" si="7"/>
        <v>0</v>
      </c>
      <c r="O35" s="1141">
        <f t="shared" si="8"/>
        <v>0</v>
      </c>
      <c r="P35" s="1142"/>
      <c r="Q35" s="1136">
        <f>SUM(Q36:Q43)</f>
        <v>0</v>
      </c>
      <c r="R35" s="1139">
        <f t="shared" si="9"/>
        <v>0</v>
      </c>
      <c r="S35" s="1136">
        <f>SUM(S36:S43)</f>
        <v>0</v>
      </c>
      <c r="T35" s="1139">
        <f t="shared" si="10"/>
        <v>0</v>
      </c>
      <c r="U35" s="1136">
        <f>SUM(U36:U43)</f>
        <v>0</v>
      </c>
      <c r="V35" s="1139">
        <f t="shared" si="11"/>
        <v>0</v>
      </c>
      <c r="W35" s="1138">
        <f>SUM(W36:W43)</f>
        <v>0</v>
      </c>
      <c r="X35" s="1139">
        <f t="shared" si="12"/>
        <v>0</v>
      </c>
      <c r="Y35" s="1140">
        <f t="shared" si="13"/>
        <v>0</v>
      </c>
      <c r="Z35" s="1141">
        <f t="shared" si="14"/>
        <v>0</v>
      </c>
      <c r="AA35" s="1143">
        <f t="shared" si="15"/>
        <v>0</v>
      </c>
      <c r="AB35" s="1144">
        <f t="shared" si="16"/>
        <v>0</v>
      </c>
    </row>
    <row r="36" spans="1:28" outlineLevel="1">
      <c r="A36" s="1056" t="s">
        <v>321</v>
      </c>
      <c r="B36" s="999"/>
      <c r="C36" s="1057"/>
      <c r="D36" s="1058"/>
      <c r="E36" s="1145"/>
      <c r="F36" s="1093">
        <f t="shared" ref="F36:F43" si="17">F10*F21</f>
        <v>0</v>
      </c>
      <c r="G36" s="1094">
        <f t="shared" si="3"/>
        <v>0</v>
      </c>
      <c r="H36" s="1093">
        <f t="shared" ref="H36:H43" si="18">H10*H21</f>
        <v>0</v>
      </c>
      <c r="I36" s="1096">
        <f t="shared" si="4"/>
        <v>0</v>
      </c>
      <c r="J36" s="1093">
        <f t="shared" ref="J36:J43" si="19">J10*J21</f>
        <v>0</v>
      </c>
      <c r="K36" s="1096">
        <f t="shared" si="5"/>
        <v>0</v>
      </c>
      <c r="L36" s="1095">
        <f t="shared" ref="L36:L43" si="20">L10*L21</f>
        <v>0</v>
      </c>
      <c r="M36" s="1096">
        <f t="shared" si="6"/>
        <v>0</v>
      </c>
      <c r="N36" s="1097">
        <f t="shared" si="7"/>
        <v>0</v>
      </c>
      <c r="O36" s="1098">
        <f t="shared" si="8"/>
        <v>0</v>
      </c>
      <c r="P36" s="1099"/>
      <c r="Q36" s="1093">
        <f t="shared" ref="Q36:Q43" si="21">Q10*Q21</f>
        <v>0</v>
      </c>
      <c r="R36" s="1096">
        <f t="shared" si="9"/>
        <v>0</v>
      </c>
      <c r="S36" s="1093">
        <f t="shared" ref="S36:S43" si="22">S10*S21</f>
        <v>0</v>
      </c>
      <c r="T36" s="1096">
        <f t="shared" si="10"/>
        <v>0</v>
      </c>
      <c r="U36" s="1093">
        <f t="shared" ref="U36:U43" si="23">U10*U21</f>
        <v>0</v>
      </c>
      <c r="V36" s="1096">
        <f t="shared" si="11"/>
        <v>0</v>
      </c>
      <c r="W36" s="1095">
        <f t="shared" ref="W36:W43" si="24">W10*W21</f>
        <v>0</v>
      </c>
      <c r="X36" s="1096">
        <f t="shared" si="12"/>
        <v>0</v>
      </c>
      <c r="Y36" s="1097">
        <f t="shared" si="13"/>
        <v>0</v>
      </c>
      <c r="Z36" s="1098">
        <f t="shared" si="14"/>
        <v>0</v>
      </c>
      <c r="AA36" s="1100">
        <f t="shared" si="15"/>
        <v>0</v>
      </c>
      <c r="AB36" s="1101">
        <f t="shared" si="16"/>
        <v>0</v>
      </c>
    </row>
    <row r="37" spans="1:28" outlineLevel="1">
      <c r="A37" s="1056" t="s">
        <v>475</v>
      </c>
      <c r="B37" s="999"/>
      <c r="C37" s="1057"/>
      <c r="D37" s="1058"/>
      <c r="E37" s="1145"/>
      <c r="F37" s="1093">
        <f t="shared" si="17"/>
        <v>0</v>
      </c>
      <c r="G37" s="1094">
        <f t="shared" si="3"/>
        <v>0</v>
      </c>
      <c r="H37" s="1093">
        <f t="shared" si="18"/>
        <v>0</v>
      </c>
      <c r="I37" s="1096">
        <f t="shared" si="4"/>
        <v>0</v>
      </c>
      <c r="J37" s="1093">
        <f t="shared" si="19"/>
        <v>0</v>
      </c>
      <c r="K37" s="1096">
        <f t="shared" si="5"/>
        <v>0</v>
      </c>
      <c r="L37" s="1095">
        <f t="shared" si="20"/>
        <v>0</v>
      </c>
      <c r="M37" s="1096">
        <f t="shared" si="6"/>
        <v>0</v>
      </c>
      <c r="N37" s="1097">
        <f t="shared" si="7"/>
        <v>0</v>
      </c>
      <c r="O37" s="1098">
        <f t="shared" si="8"/>
        <v>0</v>
      </c>
      <c r="P37" s="1099"/>
      <c r="Q37" s="1093">
        <f t="shared" si="21"/>
        <v>0</v>
      </c>
      <c r="R37" s="1096">
        <f t="shared" si="9"/>
        <v>0</v>
      </c>
      <c r="S37" s="1093">
        <f t="shared" si="22"/>
        <v>0</v>
      </c>
      <c r="T37" s="1096">
        <f t="shared" si="10"/>
        <v>0</v>
      </c>
      <c r="U37" s="1093">
        <f t="shared" si="23"/>
        <v>0</v>
      </c>
      <c r="V37" s="1096">
        <f t="shared" si="11"/>
        <v>0</v>
      </c>
      <c r="W37" s="1095">
        <f t="shared" si="24"/>
        <v>0</v>
      </c>
      <c r="X37" s="1096">
        <f t="shared" si="12"/>
        <v>0</v>
      </c>
      <c r="Y37" s="1097">
        <f t="shared" si="13"/>
        <v>0</v>
      </c>
      <c r="Z37" s="1098">
        <f t="shared" si="14"/>
        <v>0</v>
      </c>
      <c r="AA37" s="1100">
        <f t="shared" si="15"/>
        <v>0</v>
      </c>
      <c r="AB37" s="1101">
        <f t="shared" si="16"/>
        <v>0</v>
      </c>
    </row>
    <row r="38" spans="1:28" hidden="1" outlineLevel="2">
      <c r="A38" s="1056" t="s">
        <v>476</v>
      </c>
      <c r="B38" s="999"/>
      <c r="C38" s="1057"/>
      <c r="D38" s="1058"/>
      <c r="E38" s="1145"/>
      <c r="F38" s="1093">
        <f t="shared" si="17"/>
        <v>0</v>
      </c>
      <c r="G38" s="1094">
        <f t="shared" si="3"/>
        <v>0</v>
      </c>
      <c r="H38" s="1093">
        <f t="shared" si="18"/>
        <v>0</v>
      </c>
      <c r="I38" s="1096">
        <f t="shared" si="4"/>
        <v>0</v>
      </c>
      <c r="J38" s="1093">
        <f t="shared" si="19"/>
        <v>0</v>
      </c>
      <c r="K38" s="1096">
        <f t="shared" si="5"/>
        <v>0</v>
      </c>
      <c r="L38" s="1095">
        <f t="shared" si="20"/>
        <v>0</v>
      </c>
      <c r="M38" s="1096">
        <f t="shared" si="6"/>
        <v>0</v>
      </c>
      <c r="N38" s="1097">
        <f t="shared" si="7"/>
        <v>0</v>
      </c>
      <c r="O38" s="1098">
        <f t="shared" si="8"/>
        <v>0</v>
      </c>
      <c r="P38" s="1099"/>
      <c r="Q38" s="1093">
        <f t="shared" si="21"/>
        <v>0</v>
      </c>
      <c r="R38" s="1096">
        <f t="shared" si="9"/>
        <v>0</v>
      </c>
      <c r="S38" s="1093">
        <f t="shared" si="22"/>
        <v>0</v>
      </c>
      <c r="T38" s="1096">
        <f t="shared" si="10"/>
        <v>0</v>
      </c>
      <c r="U38" s="1093">
        <f t="shared" si="23"/>
        <v>0</v>
      </c>
      <c r="V38" s="1096">
        <f t="shared" si="11"/>
        <v>0</v>
      </c>
      <c r="W38" s="1095">
        <f t="shared" si="24"/>
        <v>0</v>
      </c>
      <c r="X38" s="1096">
        <f t="shared" si="12"/>
        <v>0</v>
      </c>
      <c r="Y38" s="1097">
        <f t="shared" si="13"/>
        <v>0</v>
      </c>
      <c r="Z38" s="1098">
        <f t="shared" si="14"/>
        <v>0</v>
      </c>
      <c r="AA38" s="1100">
        <f t="shared" si="15"/>
        <v>0</v>
      </c>
      <c r="AB38" s="1101">
        <f t="shared" si="16"/>
        <v>0</v>
      </c>
    </row>
    <row r="39" spans="1:28" hidden="1" outlineLevel="2">
      <c r="A39" s="1056" t="s">
        <v>477</v>
      </c>
      <c r="B39" s="999"/>
      <c r="C39" s="1057"/>
      <c r="D39" s="1058"/>
      <c r="E39" s="1145"/>
      <c r="F39" s="1093">
        <f t="shared" si="17"/>
        <v>0</v>
      </c>
      <c r="G39" s="1094">
        <f t="shared" si="3"/>
        <v>0</v>
      </c>
      <c r="H39" s="1093">
        <f t="shared" si="18"/>
        <v>0</v>
      </c>
      <c r="I39" s="1096">
        <f t="shared" si="4"/>
        <v>0</v>
      </c>
      <c r="J39" s="1093">
        <f t="shared" si="19"/>
        <v>0</v>
      </c>
      <c r="K39" s="1096">
        <f t="shared" si="5"/>
        <v>0</v>
      </c>
      <c r="L39" s="1095">
        <f t="shared" si="20"/>
        <v>0</v>
      </c>
      <c r="M39" s="1096">
        <f t="shared" si="6"/>
        <v>0</v>
      </c>
      <c r="N39" s="1097">
        <f t="shared" si="7"/>
        <v>0</v>
      </c>
      <c r="O39" s="1098">
        <f t="shared" si="8"/>
        <v>0</v>
      </c>
      <c r="P39" s="1099"/>
      <c r="Q39" s="1093">
        <f t="shared" si="21"/>
        <v>0</v>
      </c>
      <c r="R39" s="1096">
        <f t="shared" si="9"/>
        <v>0</v>
      </c>
      <c r="S39" s="1093">
        <f t="shared" si="22"/>
        <v>0</v>
      </c>
      <c r="T39" s="1096">
        <f t="shared" si="10"/>
        <v>0</v>
      </c>
      <c r="U39" s="1093">
        <f t="shared" si="23"/>
        <v>0</v>
      </c>
      <c r="V39" s="1096">
        <f t="shared" si="11"/>
        <v>0</v>
      </c>
      <c r="W39" s="1095">
        <f t="shared" si="24"/>
        <v>0</v>
      </c>
      <c r="X39" s="1096">
        <f t="shared" si="12"/>
        <v>0</v>
      </c>
      <c r="Y39" s="1097">
        <f t="shared" si="13"/>
        <v>0</v>
      </c>
      <c r="Z39" s="1098">
        <f t="shared" si="14"/>
        <v>0</v>
      </c>
      <c r="AA39" s="1100">
        <f t="shared" si="15"/>
        <v>0</v>
      </c>
      <c r="AB39" s="1101">
        <f t="shared" si="16"/>
        <v>0</v>
      </c>
    </row>
    <row r="40" spans="1:28" hidden="1" outlineLevel="2">
      <c r="A40" s="1056" t="s">
        <v>478</v>
      </c>
      <c r="B40" s="999"/>
      <c r="C40" s="1057"/>
      <c r="D40" s="1058"/>
      <c r="E40" s="1145"/>
      <c r="F40" s="1093">
        <f t="shared" si="17"/>
        <v>0</v>
      </c>
      <c r="G40" s="1094">
        <f t="shared" si="3"/>
        <v>0</v>
      </c>
      <c r="H40" s="1093">
        <f t="shared" si="18"/>
        <v>0</v>
      </c>
      <c r="I40" s="1096">
        <f t="shared" si="4"/>
        <v>0</v>
      </c>
      <c r="J40" s="1093">
        <f t="shared" si="19"/>
        <v>0</v>
      </c>
      <c r="K40" s="1096">
        <f t="shared" si="5"/>
        <v>0</v>
      </c>
      <c r="L40" s="1095">
        <f t="shared" si="20"/>
        <v>0</v>
      </c>
      <c r="M40" s="1096">
        <f t="shared" si="6"/>
        <v>0</v>
      </c>
      <c r="N40" s="1097">
        <f t="shared" si="7"/>
        <v>0</v>
      </c>
      <c r="O40" s="1098">
        <f t="shared" si="8"/>
        <v>0</v>
      </c>
      <c r="P40" s="1099"/>
      <c r="Q40" s="1093">
        <f t="shared" si="21"/>
        <v>0</v>
      </c>
      <c r="R40" s="1096">
        <f t="shared" si="9"/>
        <v>0</v>
      </c>
      <c r="S40" s="1093">
        <f t="shared" si="22"/>
        <v>0</v>
      </c>
      <c r="T40" s="1096">
        <f t="shared" si="10"/>
        <v>0</v>
      </c>
      <c r="U40" s="1093">
        <f t="shared" si="23"/>
        <v>0</v>
      </c>
      <c r="V40" s="1096">
        <f t="shared" si="11"/>
        <v>0</v>
      </c>
      <c r="W40" s="1095">
        <f t="shared" si="24"/>
        <v>0</v>
      </c>
      <c r="X40" s="1096">
        <f t="shared" si="12"/>
        <v>0</v>
      </c>
      <c r="Y40" s="1097">
        <f t="shared" si="13"/>
        <v>0</v>
      </c>
      <c r="Z40" s="1098">
        <f t="shared" si="14"/>
        <v>0</v>
      </c>
      <c r="AA40" s="1100">
        <f t="shared" si="15"/>
        <v>0</v>
      </c>
      <c r="AB40" s="1101">
        <f t="shared" si="16"/>
        <v>0</v>
      </c>
    </row>
    <row r="41" spans="1:28" hidden="1" outlineLevel="2">
      <c r="A41" s="1056" t="s">
        <v>479</v>
      </c>
      <c r="B41" s="999"/>
      <c r="C41" s="1057"/>
      <c r="D41" s="1058"/>
      <c r="E41" s="1145"/>
      <c r="F41" s="1093">
        <f t="shared" si="17"/>
        <v>0</v>
      </c>
      <c r="G41" s="1094">
        <f t="shared" si="3"/>
        <v>0</v>
      </c>
      <c r="H41" s="1093">
        <f t="shared" si="18"/>
        <v>0</v>
      </c>
      <c r="I41" s="1096">
        <f t="shared" si="4"/>
        <v>0</v>
      </c>
      <c r="J41" s="1093">
        <f t="shared" si="19"/>
        <v>0</v>
      </c>
      <c r="K41" s="1096">
        <f t="shared" si="5"/>
        <v>0</v>
      </c>
      <c r="L41" s="1095">
        <f t="shared" si="20"/>
        <v>0</v>
      </c>
      <c r="M41" s="1096">
        <f t="shared" si="6"/>
        <v>0</v>
      </c>
      <c r="N41" s="1097">
        <f t="shared" si="7"/>
        <v>0</v>
      </c>
      <c r="O41" s="1098">
        <f t="shared" si="8"/>
        <v>0</v>
      </c>
      <c r="P41" s="1099"/>
      <c r="Q41" s="1093">
        <f t="shared" si="21"/>
        <v>0</v>
      </c>
      <c r="R41" s="1096">
        <f t="shared" si="9"/>
        <v>0</v>
      </c>
      <c r="S41" s="1093">
        <f t="shared" si="22"/>
        <v>0</v>
      </c>
      <c r="T41" s="1096">
        <f t="shared" si="10"/>
        <v>0</v>
      </c>
      <c r="U41" s="1093">
        <f t="shared" si="23"/>
        <v>0</v>
      </c>
      <c r="V41" s="1096">
        <f t="shared" si="11"/>
        <v>0</v>
      </c>
      <c r="W41" s="1095">
        <f t="shared" si="24"/>
        <v>0</v>
      </c>
      <c r="X41" s="1096">
        <f t="shared" si="12"/>
        <v>0</v>
      </c>
      <c r="Y41" s="1097">
        <f t="shared" si="13"/>
        <v>0</v>
      </c>
      <c r="Z41" s="1098">
        <f t="shared" si="14"/>
        <v>0</v>
      </c>
      <c r="AA41" s="1100">
        <f t="shared" si="15"/>
        <v>0</v>
      </c>
      <c r="AB41" s="1101">
        <f t="shared" si="16"/>
        <v>0</v>
      </c>
    </row>
    <row r="42" spans="1:28" outlineLevel="1" collapsed="1">
      <c r="A42" s="1056" t="s">
        <v>480</v>
      </c>
      <c r="B42" s="999"/>
      <c r="C42" s="1057"/>
      <c r="D42" s="1058"/>
      <c r="E42" s="1145"/>
      <c r="F42" s="1093">
        <f t="shared" si="17"/>
        <v>0</v>
      </c>
      <c r="G42" s="1094">
        <f t="shared" si="3"/>
        <v>0</v>
      </c>
      <c r="H42" s="1093">
        <f t="shared" si="18"/>
        <v>0</v>
      </c>
      <c r="I42" s="1096">
        <f t="shared" si="4"/>
        <v>0</v>
      </c>
      <c r="J42" s="1093">
        <f t="shared" si="19"/>
        <v>0</v>
      </c>
      <c r="K42" s="1096">
        <f t="shared" si="5"/>
        <v>0</v>
      </c>
      <c r="L42" s="1095">
        <f t="shared" si="20"/>
        <v>0</v>
      </c>
      <c r="M42" s="1096">
        <f t="shared" si="6"/>
        <v>0</v>
      </c>
      <c r="N42" s="1097">
        <f t="shared" si="7"/>
        <v>0</v>
      </c>
      <c r="O42" s="1098">
        <f t="shared" si="8"/>
        <v>0</v>
      </c>
      <c r="P42" s="1099"/>
      <c r="Q42" s="1093">
        <f t="shared" si="21"/>
        <v>0</v>
      </c>
      <c r="R42" s="1096">
        <f t="shared" si="9"/>
        <v>0</v>
      </c>
      <c r="S42" s="1093">
        <f t="shared" si="22"/>
        <v>0</v>
      </c>
      <c r="T42" s="1096">
        <f t="shared" si="10"/>
        <v>0</v>
      </c>
      <c r="U42" s="1093">
        <f t="shared" si="23"/>
        <v>0</v>
      </c>
      <c r="V42" s="1096">
        <f t="shared" si="11"/>
        <v>0</v>
      </c>
      <c r="W42" s="1095">
        <f t="shared" si="24"/>
        <v>0</v>
      </c>
      <c r="X42" s="1096">
        <f t="shared" si="12"/>
        <v>0</v>
      </c>
      <c r="Y42" s="1097">
        <f t="shared" si="13"/>
        <v>0</v>
      </c>
      <c r="Z42" s="1098">
        <f t="shared" si="14"/>
        <v>0</v>
      </c>
      <c r="AA42" s="1100">
        <f t="shared" si="15"/>
        <v>0</v>
      </c>
      <c r="AB42" s="1101">
        <f t="shared" si="16"/>
        <v>0</v>
      </c>
    </row>
    <row r="43" spans="1:28" outlineLevel="1">
      <c r="A43" s="1056" t="s">
        <v>481</v>
      </c>
      <c r="B43" s="999"/>
      <c r="C43" s="1057"/>
      <c r="D43" s="1058"/>
      <c r="E43" s="1145"/>
      <c r="F43" s="1093">
        <f t="shared" si="17"/>
        <v>0</v>
      </c>
      <c r="G43" s="1094">
        <f t="shared" si="3"/>
        <v>0</v>
      </c>
      <c r="H43" s="1093">
        <f t="shared" si="18"/>
        <v>0</v>
      </c>
      <c r="I43" s="1096">
        <f t="shared" si="4"/>
        <v>0</v>
      </c>
      <c r="J43" s="1093">
        <f t="shared" si="19"/>
        <v>0</v>
      </c>
      <c r="K43" s="1096">
        <f t="shared" si="5"/>
        <v>0</v>
      </c>
      <c r="L43" s="1095">
        <f t="shared" si="20"/>
        <v>0</v>
      </c>
      <c r="M43" s="1096">
        <f t="shared" si="6"/>
        <v>0</v>
      </c>
      <c r="N43" s="1097">
        <f t="shared" si="7"/>
        <v>0</v>
      </c>
      <c r="O43" s="1098">
        <f t="shared" si="8"/>
        <v>0</v>
      </c>
      <c r="P43" s="1099"/>
      <c r="Q43" s="1093">
        <f t="shared" si="21"/>
        <v>0</v>
      </c>
      <c r="R43" s="1096">
        <f t="shared" si="9"/>
        <v>0</v>
      </c>
      <c r="S43" s="1093">
        <f t="shared" si="22"/>
        <v>0</v>
      </c>
      <c r="T43" s="1096">
        <f t="shared" si="10"/>
        <v>0</v>
      </c>
      <c r="U43" s="1093">
        <f t="shared" si="23"/>
        <v>0</v>
      </c>
      <c r="V43" s="1096">
        <f t="shared" si="11"/>
        <v>0</v>
      </c>
      <c r="W43" s="1095">
        <f t="shared" si="24"/>
        <v>0</v>
      </c>
      <c r="X43" s="1096">
        <f t="shared" si="12"/>
        <v>0</v>
      </c>
      <c r="Y43" s="1097">
        <f t="shared" si="13"/>
        <v>0</v>
      </c>
      <c r="Z43" s="1098">
        <f t="shared" si="14"/>
        <v>0</v>
      </c>
      <c r="AA43" s="1100">
        <f t="shared" si="15"/>
        <v>0</v>
      </c>
      <c r="AB43" s="1101">
        <f t="shared" si="16"/>
        <v>0</v>
      </c>
    </row>
    <row r="44" spans="1:28" s="1087" customFormat="1">
      <c r="A44" s="1146" t="s">
        <v>492</v>
      </c>
      <c r="B44" s="1147"/>
      <c r="C44" s="1148"/>
      <c r="D44" s="1149"/>
      <c r="E44" s="1150"/>
      <c r="F44" s="1151">
        <f>F30-F34</f>
        <v>0</v>
      </c>
      <c r="G44" s="1152">
        <f t="shared" si="3"/>
        <v>0</v>
      </c>
      <c r="H44" s="1158">
        <f>H30-H34</f>
        <v>0</v>
      </c>
      <c r="I44" s="1154">
        <f t="shared" si="4"/>
        <v>0</v>
      </c>
      <c r="J44" s="1158">
        <f>J30-J34</f>
        <v>0</v>
      </c>
      <c r="K44" s="1154">
        <f t="shared" si="5"/>
        <v>0</v>
      </c>
      <c r="L44" s="1153">
        <f>L30-L34</f>
        <v>0</v>
      </c>
      <c r="M44" s="1154">
        <f t="shared" si="6"/>
        <v>0</v>
      </c>
      <c r="N44" s="1155">
        <f t="shared" si="7"/>
        <v>0</v>
      </c>
      <c r="O44" s="1156">
        <f t="shared" si="8"/>
        <v>0</v>
      </c>
      <c r="P44" s="1157"/>
      <c r="Q44" s="1158">
        <f>Q30-Q34</f>
        <v>0</v>
      </c>
      <c r="R44" s="1154">
        <f t="shared" si="9"/>
        <v>0</v>
      </c>
      <c r="S44" s="1158">
        <f>S30-S34</f>
        <v>0</v>
      </c>
      <c r="T44" s="1154">
        <f t="shared" si="10"/>
        <v>0</v>
      </c>
      <c r="U44" s="1158">
        <f>U30-U34</f>
        <v>0</v>
      </c>
      <c r="V44" s="1154">
        <f t="shared" si="11"/>
        <v>0</v>
      </c>
      <c r="W44" s="1153">
        <f>W30-W34</f>
        <v>0</v>
      </c>
      <c r="X44" s="1154">
        <f t="shared" si="12"/>
        <v>0</v>
      </c>
      <c r="Y44" s="1155">
        <f t="shared" si="13"/>
        <v>0</v>
      </c>
      <c r="Z44" s="1156">
        <f t="shared" si="14"/>
        <v>0</v>
      </c>
      <c r="AA44" s="1159">
        <f t="shared" si="15"/>
        <v>0</v>
      </c>
      <c r="AB44" s="1160">
        <f t="shared" si="16"/>
        <v>0</v>
      </c>
    </row>
    <row r="45" spans="1:28" s="1087" customFormat="1">
      <c r="A45" s="1118" t="s">
        <v>493</v>
      </c>
      <c r="B45" s="1119"/>
      <c r="C45" s="1120"/>
      <c r="D45" s="1121"/>
      <c r="E45" s="1122"/>
      <c r="F45" s="1123">
        <f>F46+F54</f>
        <v>0</v>
      </c>
      <c r="G45" s="1161">
        <f t="shared" si="3"/>
        <v>0</v>
      </c>
      <c r="H45" s="1123">
        <f>H46+H54</f>
        <v>0</v>
      </c>
      <c r="I45" s="1126">
        <f t="shared" si="4"/>
        <v>0</v>
      </c>
      <c r="J45" s="1123">
        <f>J46+J54</f>
        <v>0</v>
      </c>
      <c r="K45" s="1126">
        <f t="shared" si="5"/>
        <v>0</v>
      </c>
      <c r="L45" s="1125">
        <f>L46+L54</f>
        <v>0</v>
      </c>
      <c r="M45" s="1126">
        <f t="shared" si="6"/>
        <v>0</v>
      </c>
      <c r="N45" s="1127">
        <f t="shared" si="7"/>
        <v>0</v>
      </c>
      <c r="O45" s="1128">
        <f t="shared" si="8"/>
        <v>0</v>
      </c>
      <c r="P45" s="1084"/>
      <c r="Q45" s="1123">
        <f>Q46+Q54</f>
        <v>0</v>
      </c>
      <c r="R45" s="1126">
        <f t="shared" si="9"/>
        <v>0</v>
      </c>
      <c r="S45" s="1123">
        <f>S46+S54</f>
        <v>0</v>
      </c>
      <c r="T45" s="1126">
        <f t="shared" si="10"/>
        <v>0</v>
      </c>
      <c r="U45" s="1123">
        <f>U46+U54</f>
        <v>0</v>
      </c>
      <c r="V45" s="1126">
        <f t="shared" si="11"/>
        <v>0</v>
      </c>
      <c r="W45" s="1125">
        <f>W46+W54</f>
        <v>0</v>
      </c>
      <c r="X45" s="1126">
        <f t="shared" si="12"/>
        <v>0</v>
      </c>
      <c r="Y45" s="1127">
        <f t="shared" si="13"/>
        <v>0</v>
      </c>
      <c r="Z45" s="1128">
        <f t="shared" si="14"/>
        <v>0</v>
      </c>
      <c r="AA45" s="1129">
        <f t="shared" si="15"/>
        <v>0</v>
      </c>
      <c r="AB45" s="1130">
        <f t="shared" si="16"/>
        <v>0</v>
      </c>
    </row>
    <row r="46" spans="1:28" s="1087" customFormat="1">
      <c r="A46" s="1162" t="s">
        <v>494</v>
      </c>
      <c r="B46" s="1163"/>
      <c r="C46" s="1164" t="s">
        <v>495</v>
      </c>
      <c r="D46" s="1165" t="s">
        <v>496</v>
      </c>
      <c r="E46" s="1135"/>
      <c r="F46" s="1136">
        <f>F47+F51</f>
        <v>0</v>
      </c>
      <c r="G46" s="1166">
        <f t="shared" si="3"/>
        <v>0</v>
      </c>
      <c r="H46" s="1136">
        <f>H47+H51</f>
        <v>0</v>
      </c>
      <c r="I46" s="1139">
        <f t="shared" si="4"/>
        <v>0</v>
      </c>
      <c r="J46" s="1136">
        <f>J47+J51</f>
        <v>0</v>
      </c>
      <c r="K46" s="1139">
        <f t="shared" si="5"/>
        <v>0</v>
      </c>
      <c r="L46" s="1138">
        <f>L47+L51</f>
        <v>0</v>
      </c>
      <c r="M46" s="1139">
        <f t="shared" si="6"/>
        <v>0</v>
      </c>
      <c r="N46" s="1167">
        <f t="shared" si="7"/>
        <v>0</v>
      </c>
      <c r="O46" s="1168">
        <f t="shared" si="8"/>
        <v>0</v>
      </c>
      <c r="P46" s="1169"/>
      <c r="Q46" s="1136">
        <f>Q47+Q51</f>
        <v>0</v>
      </c>
      <c r="R46" s="1139">
        <f t="shared" si="9"/>
        <v>0</v>
      </c>
      <c r="S46" s="1136">
        <f>S47+S51</f>
        <v>0</v>
      </c>
      <c r="T46" s="1139">
        <f t="shared" si="10"/>
        <v>0</v>
      </c>
      <c r="U46" s="1136">
        <f>U47+U51</f>
        <v>0</v>
      </c>
      <c r="V46" s="1139">
        <f t="shared" si="11"/>
        <v>0</v>
      </c>
      <c r="W46" s="1138">
        <f>W47+W51</f>
        <v>0</v>
      </c>
      <c r="X46" s="1139">
        <f t="shared" si="12"/>
        <v>0</v>
      </c>
      <c r="Y46" s="1167">
        <f t="shared" si="13"/>
        <v>0</v>
      </c>
      <c r="Z46" s="1168">
        <f t="shared" si="14"/>
        <v>0</v>
      </c>
      <c r="AA46" s="1170">
        <f t="shared" si="15"/>
        <v>0</v>
      </c>
      <c r="AB46" s="1171">
        <f t="shared" si="16"/>
        <v>0</v>
      </c>
    </row>
    <row r="47" spans="1:28">
      <c r="A47" s="1172" t="s">
        <v>497</v>
      </c>
      <c r="B47" s="1173"/>
      <c r="C47" s="1174"/>
      <c r="D47" s="1175"/>
      <c r="E47" s="1176"/>
      <c r="F47" s="1177">
        <f>SUM(F48:F50)</f>
        <v>0</v>
      </c>
      <c r="G47" s="1178">
        <f t="shared" si="3"/>
        <v>0</v>
      </c>
      <c r="H47" s="1177">
        <f>SUM(H48:H50)</f>
        <v>0</v>
      </c>
      <c r="I47" s="1180">
        <f t="shared" si="4"/>
        <v>0</v>
      </c>
      <c r="J47" s="1177">
        <f>SUM(J48:J50)</f>
        <v>0</v>
      </c>
      <c r="K47" s="1180">
        <f t="shared" si="5"/>
        <v>0</v>
      </c>
      <c r="L47" s="1179">
        <f>SUM(L48:L50)</f>
        <v>0</v>
      </c>
      <c r="M47" s="1180">
        <f t="shared" si="6"/>
        <v>0</v>
      </c>
      <c r="N47" s="1181">
        <f t="shared" si="7"/>
        <v>0</v>
      </c>
      <c r="O47" s="1098">
        <f t="shared" si="8"/>
        <v>0</v>
      </c>
      <c r="P47" s="1099"/>
      <c r="Q47" s="1177">
        <f>SUM(Q48:Q50)</f>
        <v>0</v>
      </c>
      <c r="R47" s="1180">
        <f t="shared" si="9"/>
        <v>0</v>
      </c>
      <c r="S47" s="1177">
        <f>SUM(S48:S50)</f>
        <v>0</v>
      </c>
      <c r="T47" s="1180">
        <f t="shared" si="10"/>
        <v>0</v>
      </c>
      <c r="U47" s="1177">
        <f>SUM(U48:U50)</f>
        <v>0</v>
      </c>
      <c r="V47" s="1180">
        <f t="shared" si="11"/>
        <v>0</v>
      </c>
      <c r="W47" s="1179">
        <f>SUM(W48:W50)</f>
        <v>0</v>
      </c>
      <c r="X47" s="1180">
        <f t="shared" si="12"/>
        <v>0</v>
      </c>
      <c r="Y47" s="1181">
        <f t="shared" si="13"/>
        <v>0</v>
      </c>
      <c r="Z47" s="1098">
        <f t="shared" si="14"/>
        <v>0</v>
      </c>
      <c r="AA47" s="1182">
        <f t="shared" si="15"/>
        <v>0</v>
      </c>
      <c r="AB47" s="1101">
        <f t="shared" si="16"/>
        <v>0</v>
      </c>
    </row>
    <row r="48" spans="1:28" outlineLevel="1">
      <c r="A48" s="1183" t="s">
        <v>498</v>
      </c>
      <c r="B48" s="1184"/>
      <c r="C48" s="1057">
        <v>1050</v>
      </c>
      <c r="D48" s="1058">
        <v>800</v>
      </c>
      <c r="E48" s="1185"/>
      <c r="F48" s="1186">
        <f>IF(F$6=0,0,F6*$D$48)</f>
        <v>0</v>
      </c>
      <c r="G48" s="1187">
        <f t="shared" si="3"/>
        <v>0</v>
      </c>
      <c r="H48" s="1186">
        <f>IF(H$6=0,0,H6*$C$48)</f>
        <v>0</v>
      </c>
      <c r="I48" s="1096">
        <f t="shared" si="4"/>
        <v>0</v>
      </c>
      <c r="J48" s="1186">
        <f>IF(J$6=0,0,J6*$C$48)</f>
        <v>0</v>
      </c>
      <c r="K48" s="1096">
        <f t="shared" si="5"/>
        <v>0</v>
      </c>
      <c r="L48" s="1188">
        <f>IF(L$6=0,0,L6*$C$48)</f>
        <v>0</v>
      </c>
      <c r="M48" s="1096">
        <f t="shared" si="6"/>
        <v>0</v>
      </c>
      <c r="N48" s="1189">
        <f t="shared" si="7"/>
        <v>0</v>
      </c>
      <c r="O48" s="1098">
        <f t="shared" si="8"/>
        <v>0</v>
      </c>
      <c r="P48" s="1099"/>
      <c r="Q48" s="1186"/>
      <c r="R48" s="1096">
        <f t="shared" si="9"/>
        <v>0</v>
      </c>
      <c r="S48" s="1186"/>
      <c r="T48" s="1096">
        <f t="shared" si="10"/>
        <v>0</v>
      </c>
      <c r="U48" s="1186"/>
      <c r="V48" s="1096">
        <f t="shared" si="11"/>
        <v>0</v>
      </c>
      <c r="W48" s="1188"/>
      <c r="X48" s="1096">
        <f t="shared" si="12"/>
        <v>0</v>
      </c>
      <c r="Y48" s="1189">
        <f t="shared" si="13"/>
        <v>0</v>
      </c>
      <c r="Z48" s="1098"/>
      <c r="AA48" s="1182"/>
      <c r="AB48" s="1101">
        <f t="shared" si="16"/>
        <v>0</v>
      </c>
    </row>
    <row r="49" spans="1:28" outlineLevel="1">
      <c r="A49" s="1183" t="s">
        <v>499</v>
      </c>
      <c r="B49" s="1184"/>
      <c r="C49" s="1057">
        <v>1050</v>
      </c>
      <c r="D49" s="1058">
        <v>800</v>
      </c>
      <c r="E49" s="1185"/>
      <c r="F49" s="1186"/>
      <c r="G49" s="1187">
        <f t="shared" si="3"/>
        <v>0</v>
      </c>
      <c r="H49" s="1186"/>
      <c r="I49" s="1096">
        <f t="shared" si="4"/>
        <v>0</v>
      </c>
      <c r="J49" s="1186"/>
      <c r="K49" s="1096">
        <f t="shared" si="5"/>
        <v>0</v>
      </c>
      <c r="L49" s="1188"/>
      <c r="M49" s="1096">
        <f t="shared" si="6"/>
        <v>0</v>
      </c>
      <c r="N49" s="1189"/>
      <c r="O49" s="1098">
        <f t="shared" si="8"/>
        <v>0</v>
      </c>
      <c r="P49" s="1099"/>
      <c r="Q49" s="1186">
        <f>IF(Q$6=0,0,Q6*$D$49)</f>
        <v>0</v>
      </c>
      <c r="R49" s="1096">
        <f t="shared" si="9"/>
        <v>0</v>
      </c>
      <c r="S49" s="1186">
        <f>IF(S$6=0,0,S6*$C$49)</f>
        <v>0</v>
      </c>
      <c r="T49" s="1096">
        <f t="shared" si="10"/>
        <v>0</v>
      </c>
      <c r="U49" s="1186">
        <f>IF(U$6=0,0,U6*$C$49)</f>
        <v>0</v>
      </c>
      <c r="V49" s="1096">
        <f t="shared" si="11"/>
        <v>0</v>
      </c>
      <c r="W49" s="1188">
        <f>IF(W$6=0,0,W6*$C$49)</f>
        <v>0</v>
      </c>
      <c r="X49" s="1096">
        <f t="shared" si="12"/>
        <v>0</v>
      </c>
      <c r="Y49" s="1189"/>
      <c r="Z49" s="1098"/>
      <c r="AA49" s="1182"/>
      <c r="AB49" s="1101">
        <f t="shared" si="16"/>
        <v>0</v>
      </c>
    </row>
    <row r="50" spans="1:28" outlineLevel="1">
      <c r="A50" s="1183" t="s">
        <v>500</v>
      </c>
      <c r="B50" s="1184"/>
      <c r="C50" s="1190">
        <v>0.1</v>
      </c>
      <c r="D50" s="1058"/>
      <c r="E50" s="1185"/>
      <c r="F50" s="1186">
        <f>(F48+F49)*$C$50</f>
        <v>0</v>
      </c>
      <c r="G50" s="1187">
        <f t="shared" si="3"/>
        <v>0</v>
      </c>
      <c r="H50" s="1186">
        <f>(H48+H49)*$C$50</f>
        <v>0</v>
      </c>
      <c r="I50" s="1096">
        <f t="shared" si="4"/>
        <v>0</v>
      </c>
      <c r="J50" s="1186">
        <f>(J48+J49)*$C$50</f>
        <v>0</v>
      </c>
      <c r="K50" s="1096">
        <f t="shared" si="5"/>
        <v>0</v>
      </c>
      <c r="L50" s="1188">
        <f>(L48+L49)*$C$50</f>
        <v>0</v>
      </c>
      <c r="M50" s="1096">
        <f t="shared" si="6"/>
        <v>0</v>
      </c>
      <c r="N50" s="1189">
        <f>F50+H50+J50+L50</f>
        <v>0</v>
      </c>
      <c r="O50" s="1098"/>
      <c r="P50" s="1099"/>
      <c r="Q50" s="1186">
        <f>(Q48+Q49)*$C$50</f>
        <v>0</v>
      </c>
      <c r="R50" s="1096">
        <f t="shared" si="9"/>
        <v>0</v>
      </c>
      <c r="S50" s="1186">
        <f>(S48+S49)*$C$50</f>
        <v>0</v>
      </c>
      <c r="T50" s="1096">
        <f t="shared" si="10"/>
        <v>0</v>
      </c>
      <c r="U50" s="1186">
        <f>(U48+U49)*$C$50</f>
        <v>0</v>
      </c>
      <c r="V50" s="1096">
        <f t="shared" si="11"/>
        <v>0</v>
      </c>
      <c r="W50" s="1188">
        <f>(W48+W49)*$C$50</f>
        <v>0</v>
      </c>
      <c r="X50" s="1096">
        <f t="shared" si="12"/>
        <v>0</v>
      </c>
      <c r="Y50" s="1189">
        <f>Q50+S50+U50+W50</f>
        <v>0</v>
      </c>
      <c r="Z50" s="1098"/>
      <c r="AA50" s="1182"/>
      <c r="AB50" s="1101"/>
    </row>
    <row r="51" spans="1:28">
      <c r="A51" s="1172" t="s">
        <v>26</v>
      </c>
      <c r="B51" s="1191"/>
      <c r="C51" s="1174"/>
      <c r="D51" s="1175"/>
      <c r="E51" s="1176"/>
      <c r="F51" s="1177">
        <f>F6*$D$52*$C$52</f>
        <v>0</v>
      </c>
      <c r="G51" s="1178">
        <f t="shared" si="3"/>
        <v>0</v>
      </c>
      <c r="H51" s="1177">
        <f>H6*$D$52*$C$52</f>
        <v>0</v>
      </c>
      <c r="I51" s="1180">
        <f t="shared" si="4"/>
        <v>0</v>
      </c>
      <c r="J51" s="1177">
        <f>J6*$D$52*$C$52</f>
        <v>0</v>
      </c>
      <c r="K51" s="1180">
        <f t="shared" si="5"/>
        <v>0</v>
      </c>
      <c r="L51" s="1179">
        <f>L6*$D$52*$C$52</f>
        <v>0</v>
      </c>
      <c r="M51" s="1180">
        <f t="shared" si="6"/>
        <v>0</v>
      </c>
      <c r="N51" s="1181">
        <f>F51+H51+J51+L51</f>
        <v>0</v>
      </c>
      <c r="O51" s="1098">
        <f t="shared" ref="O51:O56" si="25">IF($N$6=0,0,N51/$N$6)</f>
        <v>0</v>
      </c>
      <c r="P51" s="1099"/>
      <c r="Q51" s="1177">
        <f>Q6*$D$53*$C$53</f>
        <v>0</v>
      </c>
      <c r="R51" s="1180">
        <f t="shared" si="9"/>
        <v>0</v>
      </c>
      <c r="S51" s="1177">
        <f>S6*$D$53*$C$53</f>
        <v>0</v>
      </c>
      <c r="T51" s="1180">
        <f t="shared" si="10"/>
        <v>0</v>
      </c>
      <c r="U51" s="1177">
        <f>U6*$D$53*$C$53</f>
        <v>0</v>
      </c>
      <c r="V51" s="1180">
        <f t="shared" si="11"/>
        <v>0</v>
      </c>
      <c r="W51" s="1179">
        <f>W6*$D$53*$C$53</f>
        <v>0</v>
      </c>
      <c r="X51" s="1180">
        <f t="shared" si="12"/>
        <v>0</v>
      </c>
      <c r="Y51" s="1181">
        <f>Q51+S51+U51+W51</f>
        <v>0</v>
      </c>
      <c r="Z51" s="1098">
        <f>IF($Y$6=0,0,Y51/$Y$6)</f>
        <v>0</v>
      </c>
      <c r="AA51" s="1182">
        <f>N51+Y51</f>
        <v>0</v>
      </c>
      <c r="AB51" s="1101">
        <f t="shared" ref="AB51:AB56" si="26">IF($AA$6=0,0,AA51/$AA$6)</f>
        <v>0</v>
      </c>
    </row>
    <row r="52" spans="1:28" outlineLevel="1">
      <c r="A52" s="1183" t="s">
        <v>501</v>
      </c>
      <c r="B52" s="1192"/>
      <c r="C52" s="1057">
        <v>90</v>
      </c>
      <c r="D52" s="1058">
        <v>4.05</v>
      </c>
      <c r="E52" s="1193"/>
      <c r="F52" s="1186"/>
      <c r="G52" s="1187">
        <f t="shared" si="3"/>
        <v>0</v>
      </c>
      <c r="H52" s="1186"/>
      <c r="I52" s="1194">
        <f t="shared" si="4"/>
        <v>0</v>
      </c>
      <c r="J52" s="1186"/>
      <c r="K52" s="1194">
        <f t="shared" si="5"/>
        <v>0</v>
      </c>
      <c r="L52" s="1188"/>
      <c r="M52" s="1194">
        <f t="shared" si="6"/>
        <v>0</v>
      </c>
      <c r="N52" s="1189"/>
      <c r="O52" s="1098">
        <f t="shared" si="25"/>
        <v>0</v>
      </c>
      <c r="P52" s="1195"/>
      <c r="Q52" s="1196"/>
      <c r="R52" s="1194">
        <f t="shared" si="9"/>
        <v>0</v>
      </c>
      <c r="S52" s="1196"/>
      <c r="T52" s="1194">
        <f t="shared" si="10"/>
        <v>0</v>
      </c>
      <c r="U52" s="1196"/>
      <c r="V52" s="1194">
        <f t="shared" si="11"/>
        <v>0</v>
      </c>
      <c r="W52" s="1197"/>
      <c r="X52" s="1194">
        <f t="shared" si="12"/>
        <v>0</v>
      </c>
      <c r="Y52" s="1189"/>
      <c r="Z52" s="1098"/>
      <c r="AA52" s="1182"/>
      <c r="AB52" s="1101">
        <f t="shared" si="26"/>
        <v>0</v>
      </c>
    </row>
    <row r="53" spans="1:28" outlineLevel="1">
      <c r="A53" s="1183" t="s">
        <v>502</v>
      </c>
      <c r="B53" s="1192"/>
      <c r="C53" s="1057">
        <v>180</v>
      </c>
      <c r="D53" s="1058">
        <v>4.05</v>
      </c>
      <c r="E53" s="1193"/>
      <c r="F53" s="1186"/>
      <c r="G53" s="1187">
        <f t="shared" si="3"/>
        <v>0</v>
      </c>
      <c r="H53" s="1196"/>
      <c r="I53" s="1194">
        <f t="shared" si="4"/>
        <v>0</v>
      </c>
      <c r="J53" s="1196"/>
      <c r="K53" s="1194">
        <f t="shared" si="5"/>
        <v>0</v>
      </c>
      <c r="L53" s="1197"/>
      <c r="M53" s="1194">
        <f t="shared" si="6"/>
        <v>0</v>
      </c>
      <c r="N53" s="1189"/>
      <c r="O53" s="1098">
        <f t="shared" si="25"/>
        <v>0</v>
      </c>
      <c r="P53" s="1195"/>
      <c r="Q53" s="1196"/>
      <c r="R53" s="1194">
        <f t="shared" si="9"/>
        <v>0</v>
      </c>
      <c r="S53" s="1196"/>
      <c r="T53" s="1194">
        <f t="shared" si="10"/>
        <v>0</v>
      </c>
      <c r="U53" s="1196"/>
      <c r="V53" s="1194">
        <f t="shared" si="11"/>
        <v>0</v>
      </c>
      <c r="W53" s="1197"/>
      <c r="X53" s="1194">
        <f t="shared" si="12"/>
        <v>0</v>
      </c>
      <c r="Y53" s="1189"/>
      <c r="Z53" s="1098"/>
      <c r="AA53" s="1182"/>
      <c r="AB53" s="1101">
        <f t="shared" si="26"/>
        <v>0</v>
      </c>
    </row>
    <row r="54" spans="1:28">
      <c r="A54" s="1198" t="s">
        <v>28</v>
      </c>
      <c r="B54" s="1199">
        <f>SUM(B55:B56)</f>
        <v>0</v>
      </c>
      <c r="C54" s="1200"/>
      <c r="D54" s="1201"/>
      <c r="E54" s="1145"/>
      <c r="F54" s="1136">
        <f>SUM(F55:F56)</f>
        <v>0</v>
      </c>
      <c r="G54" s="1166">
        <f t="shared" si="3"/>
        <v>0</v>
      </c>
      <c r="H54" s="1136">
        <f>SUM(H55:H56)</f>
        <v>0</v>
      </c>
      <c r="I54" s="1139">
        <f t="shared" si="4"/>
        <v>0</v>
      </c>
      <c r="J54" s="1136">
        <f>SUM(J55:J56)</f>
        <v>0</v>
      </c>
      <c r="K54" s="1139">
        <f t="shared" si="5"/>
        <v>0</v>
      </c>
      <c r="L54" s="1138">
        <f>SUM(L55:L56)</f>
        <v>0</v>
      </c>
      <c r="M54" s="1139">
        <f t="shared" si="6"/>
        <v>0</v>
      </c>
      <c r="N54" s="1140">
        <f>F54+H54+J54+L54</f>
        <v>0</v>
      </c>
      <c r="O54" s="1141">
        <f t="shared" si="25"/>
        <v>0</v>
      </c>
      <c r="P54" s="1099"/>
      <c r="Q54" s="1136">
        <f>SUM(Q55:Q56)</f>
        <v>0</v>
      </c>
      <c r="R54" s="1139">
        <f t="shared" si="9"/>
        <v>0</v>
      </c>
      <c r="S54" s="1136">
        <f>SUM(S55:S56)</f>
        <v>0</v>
      </c>
      <c r="T54" s="1139">
        <f t="shared" si="10"/>
        <v>0</v>
      </c>
      <c r="U54" s="1136">
        <f>SUM(U55:U56)</f>
        <v>0</v>
      </c>
      <c r="V54" s="1139">
        <f t="shared" si="11"/>
        <v>0</v>
      </c>
      <c r="W54" s="1138">
        <f>SUM(W55:W56)</f>
        <v>0</v>
      </c>
      <c r="X54" s="1139">
        <f t="shared" si="12"/>
        <v>0</v>
      </c>
      <c r="Y54" s="1140">
        <f>Q54+S54+U54+W54</f>
        <v>0</v>
      </c>
      <c r="Z54" s="1141">
        <f>IF($Y$6=0,0,Y54/$Y$6)</f>
        <v>0</v>
      </c>
      <c r="AA54" s="1143">
        <f>N54+Y54</f>
        <v>0</v>
      </c>
      <c r="AB54" s="1202">
        <f t="shared" si="26"/>
        <v>0</v>
      </c>
    </row>
    <row r="55" spans="1:28">
      <c r="A55" s="1203" t="s">
        <v>29</v>
      </c>
      <c r="B55" s="1204"/>
      <c r="C55" s="1205"/>
      <c r="D55" s="1206">
        <v>1.7000000000000001E-2</v>
      </c>
      <c r="E55" s="1207"/>
      <c r="F55" s="1208"/>
      <c r="G55" s="1209">
        <f t="shared" si="3"/>
        <v>0</v>
      </c>
      <c r="H55" s="1208"/>
      <c r="I55" s="1006">
        <f t="shared" si="4"/>
        <v>0</v>
      </c>
      <c r="J55" s="1208"/>
      <c r="K55" s="1006">
        <f t="shared" si="5"/>
        <v>0</v>
      </c>
      <c r="L55" s="1208">
        <f>IF(L8="",0,L8*$D55*L6)</f>
        <v>0</v>
      </c>
      <c r="M55" s="1006">
        <f t="shared" si="6"/>
        <v>0</v>
      </c>
      <c r="N55" s="1097">
        <f>F55+H55+J55+L55</f>
        <v>0</v>
      </c>
      <c r="O55" s="1098">
        <f t="shared" si="25"/>
        <v>0</v>
      </c>
      <c r="P55" s="1099"/>
      <c r="Q55" s="1208"/>
      <c r="R55" s="1006">
        <f t="shared" si="9"/>
        <v>0</v>
      </c>
      <c r="S55" s="1208"/>
      <c r="T55" s="1006">
        <f t="shared" si="10"/>
        <v>0</v>
      </c>
      <c r="U55" s="1208"/>
      <c r="V55" s="1006">
        <f t="shared" si="11"/>
        <v>0</v>
      </c>
      <c r="W55" s="1208">
        <f>IF(W8="",0,W8*$D55*W6)</f>
        <v>0</v>
      </c>
      <c r="X55" s="1006">
        <f t="shared" si="12"/>
        <v>0</v>
      </c>
      <c r="Y55" s="1097">
        <f>Q55+S55+U55+W55</f>
        <v>0</v>
      </c>
      <c r="Z55" s="1098">
        <f>IF($Y$6=0,0,Y55/$Y$6)</f>
        <v>0</v>
      </c>
      <c r="AA55" s="1100">
        <f>N55+Y55</f>
        <v>0</v>
      </c>
      <c r="AB55" s="1101">
        <f t="shared" si="26"/>
        <v>0</v>
      </c>
    </row>
    <row r="56" spans="1:28">
      <c r="A56" s="1210" t="s">
        <v>30</v>
      </c>
      <c r="B56" s="1211"/>
      <c r="C56" s="973"/>
      <c r="D56" s="1212">
        <v>1519</v>
      </c>
      <c r="E56" s="1145"/>
      <c r="F56" s="1324">
        <f>(F6/27)*F62</f>
        <v>0</v>
      </c>
      <c r="G56" s="1325">
        <f t="shared" si="3"/>
        <v>0</v>
      </c>
      <c r="H56" s="1213">
        <f>(H57*H58-H60)*(H6/H59)</f>
        <v>0</v>
      </c>
      <c r="I56" s="1006">
        <f t="shared" si="4"/>
        <v>0</v>
      </c>
      <c r="J56" s="1213">
        <f>(J57*J58-J60)*(J6/J59)</f>
        <v>0</v>
      </c>
      <c r="K56" s="1006">
        <f t="shared" si="5"/>
        <v>0</v>
      </c>
      <c r="L56" s="1326">
        <f>(L6/27)*L62</f>
        <v>0</v>
      </c>
      <c r="M56" s="1214">
        <f t="shared" si="6"/>
        <v>0</v>
      </c>
      <c r="N56" s="1215">
        <f>F56+H56+J56+L56</f>
        <v>0</v>
      </c>
      <c r="O56" s="1216">
        <f t="shared" si="25"/>
        <v>0</v>
      </c>
      <c r="P56" s="1195"/>
      <c r="Q56" s="1213">
        <f>(Q6/27)*Q62</f>
        <v>0</v>
      </c>
      <c r="R56" s="1006">
        <f t="shared" si="9"/>
        <v>0</v>
      </c>
      <c r="S56" s="1213">
        <f>(S57*S58-S60)*(S6/S59)</f>
        <v>0</v>
      </c>
      <c r="T56" s="1006">
        <f t="shared" si="10"/>
        <v>0</v>
      </c>
      <c r="U56" s="1213">
        <f>(U57*U58-U60)*(U6/U59)</f>
        <v>0</v>
      </c>
      <c r="V56" s="1006">
        <f t="shared" si="11"/>
        <v>0</v>
      </c>
      <c r="W56" s="1326">
        <f>(W6/27)*W62</f>
        <v>0</v>
      </c>
      <c r="X56" s="1214">
        <f t="shared" si="12"/>
        <v>0</v>
      </c>
      <c r="Y56" s="1215">
        <f>Q56+S56+U56+W56</f>
        <v>0</v>
      </c>
      <c r="Z56" s="1216">
        <f>IF($Y$6=0,0,Y56/$Y$6)</f>
        <v>0</v>
      </c>
      <c r="AA56" s="1217">
        <f>N56+Y56</f>
        <v>0</v>
      </c>
      <c r="AB56" s="1218">
        <f t="shared" si="26"/>
        <v>0</v>
      </c>
    </row>
    <row r="57" spans="1:28" s="1232" customFormat="1" outlineLevel="1">
      <c r="A57" s="1219" t="s">
        <v>503</v>
      </c>
      <c r="B57" s="1219"/>
      <c r="C57" s="1220"/>
      <c r="D57" s="1221"/>
      <c r="E57" s="1327"/>
      <c r="F57" s="1328">
        <v>1000</v>
      </c>
      <c r="G57" s="1329"/>
      <c r="H57" s="1222">
        <v>1370</v>
      </c>
      <c r="I57" s="1228"/>
      <c r="J57" s="1222">
        <v>750</v>
      </c>
      <c r="K57" s="1228"/>
      <c r="L57" s="1223"/>
      <c r="M57" s="1224"/>
      <c r="N57" s="1225"/>
      <c r="O57" s="1226"/>
      <c r="P57" s="1227"/>
      <c r="Q57" s="1222">
        <v>1000</v>
      </c>
      <c r="R57" s="1228"/>
      <c r="S57" s="1222">
        <v>1370</v>
      </c>
      <c r="T57" s="1228"/>
      <c r="U57" s="1222">
        <v>750</v>
      </c>
      <c r="V57" s="1228"/>
      <c r="W57" s="1223"/>
      <c r="X57" s="1224"/>
      <c r="Y57" s="1225"/>
      <c r="Z57" s="1229"/>
      <c r="AA57" s="1230"/>
      <c r="AB57" s="1231"/>
    </row>
    <row r="58" spans="1:28" s="1248" customFormat="1" outlineLevel="1">
      <c r="A58" s="1233" t="s">
        <v>504</v>
      </c>
      <c r="B58" s="1233"/>
      <c r="C58" s="1234"/>
      <c r="D58" s="1235"/>
      <c r="E58" s="1236"/>
      <c r="F58" s="1237">
        <v>25</v>
      </c>
      <c r="G58" s="1238"/>
      <c r="H58" s="1237">
        <v>25</v>
      </c>
      <c r="I58" s="1244"/>
      <c r="J58" s="1237">
        <v>25</v>
      </c>
      <c r="K58" s="1244"/>
      <c r="L58" s="1239"/>
      <c r="M58" s="1240"/>
      <c r="N58" s="1241"/>
      <c r="O58" s="1242"/>
      <c r="P58" s="1243"/>
      <c r="Q58" s="1237">
        <v>25</v>
      </c>
      <c r="R58" s="1244"/>
      <c r="S58" s="1237">
        <v>25</v>
      </c>
      <c r="T58" s="1244"/>
      <c r="U58" s="1237">
        <v>25</v>
      </c>
      <c r="V58" s="1244"/>
      <c r="W58" s="1239"/>
      <c r="X58" s="1240"/>
      <c r="Y58" s="1241"/>
      <c r="Z58" s="1245"/>
      <c r="AA58" s="1246"/>
      <c r="AB58" s="1247"/>
    </row>
    <row r="59" spans="1:28" s="1248" customFormat="1" ht="33.75" outlineLevel="1">
      <c r="A59" s="1249" t="s">
        <v>505</v>
      </c>
      <c r="B59" s="1249"/>
      <c r="C59" s="1250"/>
      <c r="D59" s="1251"/>
      <c r="E59" s="1236"/>
      <c r="F59" s="1252">
        <v>21</v>
      </c>
      <c r="G59" s="1253"/>
      <c r="H59" s="1252">
        <v>25</v>
      </c>
      <c r="I59" s="1259"/>
      <c r="J59" s="1252">
        <v>25</v>
      </c>
      <c r="K59" s="1259"/>
      <c r="L59" s="1254">
        <v>27</v>
      </c>
      <c r="M59" s="1255"/>
      <c r="N59" s="1256"/>
      <c r="O59" s="1257"/>
      <c r="P59" s="1258"/>
      <c r="Q59" s="1252">
        <v>21</v>
      </c>
      <c r="R59" s="1259"/>
      <c r="S59" s="1252">
        <v>25</v>
      </c>
      <c r="T59" s="1259"/>
      <c r="U59" s="1252">
        <v>25</v>
      </c>
      <c r="V59" s="1259"/>
      <c r="W59" s="1254">
        <v>27</v>
      </c>
      <c r="X59" s="1255"/>
      <c r="Y59" s="1256"/>
      <c r="Z59" s="1260"/>
      <c r="AA59" s="1261"/>
      <c r="AB59" s="1262"/>
    </row>
    <row r="60" spans="1:28" s="1277" customFormat="1" outlineLevel="1">
      <c r="A60" s="1263" t="s">
        <v>506</v>
      </c>
      <c r="B60" s="1263"/>
      <c r="C60" s="1264"/>
      <c r="D60" s="1265"/>
      <c r="E60" s="1278"/>
      <c r="F60" s="1266">
        <v>15000</v>
      </c>
      <c r="G60" s="1267"/>
      <c r="H60" s="1266">
        <v>10500</v>
      </c>
      <c r="I60" s="1273"/>
      <c r="J60" s="1266">
        <v>10500</v>
      </c>
      <c r="K60" s="1273"/>
      <c r="L60" s="1268"/>
      <c r="M60" s="1269"/>
      <c r="N60" s="1270"/>
      <c r="O60" s="1271"/>
      <c r="P60" s="1272"/>
      <c r="Q60" s="1266">
        <v>15000</v>
      </c>
      <c r="R60" s="1273"/>
      <c r="S60" s="1266">
        <v>10500</v>
      </c>
      <c r="T60" s="1273"/>
      <c r="U60" s="1266">
        <v>10500</v>
      </c>
      <c r="V60" s="1273"/>
      <c r="W60" s="1268"/>
      <c r="X60" s="1269"/>
      <c r="Y60" s="1270"/>
      <c r="Z60" s="1274"/>
      <c r="AA60" s="1275"/>
      <c r="AB60" s="1276"/>
    </row>
    <row r="61" spans="1:28" s="1277" customFormat="1" outlineLevel="1">
      <c r="A61" s="1249" t="s">
        <v>507</v>
      </c>
      <c r="B61" s="1249"/>
      <c r="C61" s="1250"/>
      <c r="D61" s="1251"/>
      <c r="E61" s="1236"/>
      <c r="F61" s="1252"/>
      <c r="G61" s="1253"/>
      <c r="H61" s="1252"/>
      <c r="I61" s="1259"/>
      <c r="J61" s="1252"/>
      <c r="K61" s="1259"/>
      <c r="L61" s="1254">
        <f>ROUND(L6/L59,0)</f>
        <v>0</v>
      </c>
      <c r="M61" s="1255"/>
      <c r="N61" s="1256"/>
      <c r="O61" s="1257"/>
      <c r="P61" s="1258"/>
      <c r="Q61" s="1252"/>
      <c r="R61" s="1259"/>
      <c r="S61" s="1252"/>
      <c r="T61" s="1259"/>
      <c r="U61" s="1252"/>
      <c r="V61" s="1259"/>
      <c r="W61" s="1254">
        <f>ROUND(W6/W59,0)</f>
        <v>0</v>
      </c>
      <c r="X61" s="1255"/>
      <c r="Y61" s="1256"/>
      <c r="Z61" s="1260"/>
      <c r="AA61" s="1261"/>
      <c r="AB61" s="1262"/>
    </row>
    <row r="62" spans="1:28" s="1277" customFormat="1" outlineLevel="1">
      <c r="A62" s="1263" t="s">
        <v>508</v>
      </c>
      <c r="B62" s="1263"/>
      <c r="C62" s="1264"/>
      <c r="D62" s="1265">
        <v>39400</v>
      </c>
      <c r="E62" s="1278"/>
      <c r="F62" s="1266">
        <f>D62</f>
        <v>39400</v>
      </c>
      <c r="G62" s="1267"/>
      <c r="H62" s="1266"/>
      <c r="I62" s="1273"/>
      <c r="J62" s="1266"/>
      <c r="K62" s="1273"/>
      <c r="L62" s="1268">
        <f>D62</f>
        <v>39400</v>
      </c>
      <c r="M62" s="1269"/>
      <c r="N62" s="1270"/>
      <c r="O62" s="1271"/>
      <c r="P62" s="1272"/>
      <c r="Q62" s="1266">
        <f>D62</f>
        <v>39400</v>
      </c>
      <c r="R62" s="1273"/>
      <c r="S62" s="1266"/>
      <c r="T62" s="1273"/>
      <c r="U62" s="1266"/>
      <c r="V62" s="1273"/>
      <c r="W62" s="1268">
        <f>D62</f>
        <v>39400</v>
      </c>
      <c r="X62" s="1269"/>
      <c r="Y62" s="1270"/>
      <c r="Z62" s="1274"/>
      <c r="AA62" s="1275"/>
      <c r="AB62" s="1276"/>
    </row>
    <row r="63" spans="1:28" s="1087" customFormat="1">
      <c r="A63" s="1146" t="s">
        <v>509</v>
      </c>
      <c r="B63" s="1147"/>
      <c r="C63" s="1279"/>
      <c r="D63" s="1280"/>
      <c r="E63" s="1150"/>
      <c r="F63" s="1158">
        <f>F44-F45</f>
        <v>0</v>
      </c>
      <c r="G63" s="1281">
        <f>IF($F$6=0,0,F63/$F$6)</f>
        <v>0</v>
      </c>
      <c r="H63" s="1158">
        <f>H44-H45</f>
        <v>0</v>
      </c>
      <c r="I63" s="1154">
        <f>IF($H$6=0,0,H63/$H$6)</f>
        <v>0</v>
      </c>
      <c r="J63" s="1158">
        <f>J44-J45</f>
        <v>0</v>
      </c>
      <c r="K63" s="1154">
        <f>IF($J$6=0,0,J63/$J$6)</f>
        <v>0</v>
      </c>
      <c r="L63" s="1153">
        <f>L44-L45</f>
        <v>0</v>
      </c>
      <c r="M63" s="1154">
        <f>IF($L$6=0,0,L63/$L$6)</f>
        <v>0</v>
      </c>
      <c r="N63" s="1155">
        <f>F63+H63+J63+L63</f>
        <v>0</v>
      </c>
      <c r="O63" s="1156">
        <f>IF($N$6=0,0,N63/$N$6)</f>
        <v>0</v>
      </c>
      <c r="P63" s="1157"/>
      <c r="Q63" s="1158">
        <f>Q44-Q45</f>
        <v>0</v>
      </c>
      <c r="R63" s="1154">
        <f>IF($Q$6=0,0,Q63/$Q$6)</f>
        <v>0</v>
      </c>
      <c r="S63" s="1158">
        <f>S44-S45</f>
        <v>0</v>
      </c>
      <c r="T63" s="1154">
        <f>IF($S$6=0,0,S63/$S$6)</f>
        <v>0</v>
      </c>
      <c r="U63" s="1158">
        <f>U44-U45</f>
        <v>0</v>
      </c>
      <c r="V63" s="1154">
        <f>IF($U$6=0,0,U63/$U$6)</f>
        <v>0</v>
      </c>
      <c r="W63" s="1153">
        <f>W44-W45</f>
        <v>0</v>
      </c>
      <c r="X63" s="1154">
        <f>IF($W$6=0,0,W63/$W$6)</f>
        <v>0</v>
      </c>
      <c r="Y63" s="1155">
        <f>Q63+S63+U63+W63</f>
        <v>0</v>
      </c>
      <c r="Z63" s="1156">
        <f>IF($Y$6=0,0,Y63/$Y$6)</f>
        <v>0</v>
      </c>
      <c r="AA63" s="1159">
        <f>N63+Y63</f>
        <v>0</v>
      </c>
      <c r="AB63" s="1160">
        <f>IF($AA$6=0,0,AA63/$AA$6)</f>
        <v>0</v>
      </c>
    </row>
    <row r="64" spans="1:28" s="1087" customFormat="1">
      <c r="A64" s="1282" t="s">
        <v>510</v>
      </c>
      <c r="B64" s="1283"/>
      <c r="C64" s="1284"/>
      <c r="D64" s="1285"/>
      <c r="E64" s="1150"/>
      <c r="F64" s="1286"/>
      <c r="G64" s="1287"/>
      <c r="H64" s="1286"/>
      <c r="I64" s="1289"/>
      <c r="J64" s="1286"/>
      <c r="K64" s="1289"/>
      <c r="L64" s="1288"/>
      <c r="M64" s="1289"/>
      <c r="N64" s="1290"/>
      <c r="O64" s="1291"/>
      <c r="P64" s="1292"/>
      <c r="Q64" s="1286"/>
      <c r="R64" s="1289"/>
      <c r="S64" s="1286"/>
      <c r="T64" s="1289"/>
      <c r="U64" s="1286"/>
      <c r="V64" s="1289"/>
      <c r="W64" s="1288"/>
      <c r="X64" s="1289"/>
      <c r="Y64" s="1290"/>
      <c r="Z64" s="1293"/>
      <c r="AA64" s="1294"/>
      <c r="AB64" s="1295"/>
    </row>
    <row r="65" spans="1:28" s="1310" customFormat="1">
      <c r="A65" s="1296" t="s">
        <v>511</v>
      </c>
      <c r="B65" s="1333" t="s">
        <v>520</v>
      </c>
      <c r="C65" s="1334">
        <v>3</v>
      </c>
      <c r="D65" s="1299"/>
      <c r="E65" s="1300"/>
      <c r="F65" s="1301" t="e">
        <f>IF($Y$6=0,F6/$N$6,F6/$AA$6)</f>
        <v>#DIV/0!</v>
      </c>
      <c r="G65" s="1302"/>
      <c r="H65" s="1301" t="e">
        <f>IF($Y$6=0,H6/$N$6,H6/$AA$6)</f>
        <v>#DIV/0!</v>
      </c>
      <c r="I65" s="1304"/>
      <c r="J65" s="1301" t="e">
        <f>IF($Y$6=0,J6/$N$6,J6/$AA$6)</f>
        <v>#DIV/0!</v>
      </c>
      <c r="K65" s="1304"/>
      <c r="L65" s="1303" t="e">
        <f>IF($Y$6=0,L6/$N$6,L6/$AA$6)</f>
        <v>#DIV/0!</v>
      </c>
      <c r="M65" s="1304"/>
      <c r="N65" s="1305" t="e">
        <f>F65+H65+J65+L65</f>
        <v>#DIV/0!</v>
      </c>
      <c r="O65" s="1306"/>
      <c r="P65" s="1307"/>
      <c r="Q65" s="1301">
        <f>IF($Y$6=0,0,Q6/$AA$6)</f>
        <v>0</v>
      </c>
      <c r="R65" s="1304"/>
      <c r="S65" s="1301">
        <f>IF($Y$6=0,0,S6/$AA$6)</f>
        <v>0</v>
      </c>
      <c r="T65" s="1304"/>
      <c r="U65" s="1301">
        <f>IF($Y$6=0,0,U6/$AA$6)</f>
        <v>0</v>
      </c>
      <c r="V65" s="1304"/>
      <c r="W65" s="1303">
        <f>IF($Y$6=0,0,W6/$AA$6)</f>
        <v>0</v>
      </c>
      <c r="X65" s="1304"/>
      <c r="Y65" s="1305">
        <f>Q65+S65+U65+W65</f>
        <v>0</v>
      </c>
      <c r="Z65" s="1306"/>
      <c r="AA65" s="1308" t="e">
        <f>N65+Y65</f>
        <v>#DIV/0!</v>
      </c>
      <c r="AB65" s="1309"/>
    </row>
    <row r="66" spans="1:28" s="1087" customFormat="1">
      <c r="A66" s="1118" t="s">
        <v>512</v>
      </c>
      <c r="B66" s="1311">
        <f>'Расходы помесячно (План-Факт)'!M85</f>
        <v>2256305.44</v>
      </c>
      <c r="C66" s="1120"/>
      <c r="D66" s="1121"/>
      <c r="E66" s="1122"/>
      <c r="F66" s="1123">
        <f>IF(AA6=0,B66,ROUND($B66*F$65,0))</f>
        <v>2256305.44</v>
      </c>
      <c r="G66" s="1124">
        <f>IF($F$6=0,0,F66/$F$6)</f>
        <v>0</v>
      </c>
      <c r="H66" s="1123" t="e">
        <f>ROUND($B66*H$65,0)</f>
        <v>#DIV/0!</v>
      </c>
      <c r="I66" s="1126">
        <f>IF($H$6=0,0,H66/$H$6)</f>
        <v>0</v>
      </c>
      <c r="J66" s="1123" t="e">
        <f>ROUND($B66*J$65,0)</f>
        <v>#DIV/0!</v>
      </c>
      <c r="K66" s="1126">
        <f>IF($J$6=0,0,J66/$J$6)</f>
        <v>0</v>
      </c>
      <c r="L66" s="1125" t="e">
        <f>ROUND($B66*L$65,0)</f>
        <v>#DIV/0!</v>
      </c>
      <c r="M66" s="1126">
        <f>IF($L$6=0,0,L66/$L$6)</f>
        <v>0</v>
      </c>
      <c r="N66" s="1127">
        <f>IF(AA6=0,F66,F66+H66+J66+L66)</f>
        <v>2256305.44</v>
      </c>
      <c r="O66" s="1128">
        <f>IF($N$6=0,0,N66/$N$6)</f>
        <v>0</v>
      </c>
      <c r="P66" s="1084"/>
      <c r="Q66" s="1123">
        <f>ROUND($B66*Q$65,0)</f>
        <v>0</v>
      </c>
      <c r="R66" s="1126">
        <f>IF($Q$6=0,0,Q66/$Q$6)</f>
        <v>0</v>
      </c>
      <c r="S66" s="1123">
        <f>ROUND($B66*S$65,0)</f>
        <v>0</v>
      </c>
      <c r="T66" s="1126">
        <f>IF($S$6=0,0,S66/$S$6)</f>
        <v>0</v>
      </c>
      <c r="U66" s="1123">
        <f>ROUND($B66*U$65,0)</f>
        <v>0</v>
      </c>
      <c r="V66" s="1126">
        <f>IF($U$6=0,0,U66/$U$6)</f>
        <v>0</v>
      </c>
      <c r="W66" s="1125">
        <f>ROUND($B66*W$65,0)</f>
        <v>0</v>
      </c>
      <c r="X66" s="1126">
        <f>IF($W$6=0,0,W66/$W$6)</f>
        <v>0</v>
      </c>
      <c r="Y66" s="1127">
        <f>Q66+S66+U66+W66</f>
        <v>0</v>
      </c>
      <c r="Z66" s="1128">
        <f>IF($Y$6=0,0,Y66/$Y$6)</f>
        <v>0</v>
      </c>
      <c r="AA66" s="1129">
        <f>N66+Y66</f>
        <v>2256305.44</v>
      </c>
      <c r="AB66" s="1130">
        <f>IF($AA$6=0,0,AA66/$AA$6)</f>
        <v>0</v>
      </c>
    </row>
    <row r="67" spans="1:28" s="1087" customFormat="1">
      <c r="A67" s="1146" t="s">
        <v>513</v>
      </c>
      <c r="B67" s="1147"/>
      <c r="C67" s="1312"/>
      <c r="D67" s="1313"/>
      <c r="E67" s="1314"/>
      <c r="F67" s="1158">
        <f>F63-F66</f>
        <v>-2256305.44</v>
      </c>
      <c r="G67" s="1281">
        <f>IF($F$6=0,0,F67/$F$6)</f>
        <v>0</v>
      </c>
      <c r="H67" s="1158" t="e">
        <f>H63-H66</f>
        <v>#DIV/0!</v>
      </c>
      <c r="I67" s="1154">
        <f>IF($H$6=0,0,H67/$H$6)</f>
        <v>0</v>
      </c>
      <c r="J67" s="1158" t="e">
        <f>J63-J66</f>
        <v>#DIV/0!</v>
      </c>
      <c r="K67" s="1154">
        <f>IF($J$6=0,0,J67/$J$6)</f>
        <v>0</v>
      </c>
      <c r="L67" s="1153" t="e">
        <f>L63-L66</f>
        <v>#DIV/0!</v>
      </c>
      <c r="M67" s="1154">
        <f>IF($L$6=0,0,L67/$L$6)</f>
        <v>0</v>
      </c>
      <c r="N67" s="1155">
        <f>IF(AA6=0,N63-N66,F67+H67+J67+L67)</f>
        <v>-2256305.44</v>
      </c>
      <c r="O67" s="1315">
        <f>IF($N$6=0,0,N67/$N$6)</f>
        <v>0</v>
      </c>
      <c r="P67" s="1316"/>
      <c r="Q67" s="1158">
        <f>Q63-Q66</f>
        <v>0</v>
      </c>
      <c r="R67" s="1154">
        <f>IF($Q$6=0,0,Q67/$Q$6)</f>
        <v>0</v>
      </c>
      <c r="S67" s="1158">
        <f>S63-S66</f>
        <v>0</v>
      </c>
      <c r="T67" s="1154">
        <f>IF($S$6=0,0,S67/$S$6)</f>
        <v>0</v>
      </c>
      <c r="U67" s="1158">
        <f>U63-U66</f>
        <v>0</v>
      </c>
      <c r="V67" s="1154">
        <f>IF($U$6=0,0,U67/$U$6)</f>
        <v>0</v>
      </c>
      <c r="W67" s="1153">
        <f>W63-W66</f>
        <v>0</v>
      </c>
      <c r="X67" s="1154">
        <f>IF($W$6=0,0,W67/$W$6)</f>
        <v>0</v>
      </c>
      <c r="Y67" s="1155">
        <f>Q67+S67+U67+W67</f>
        <v>0</v>
      </c>
      <c r="Z67" s="1315">
        <f>IF($Y$6=0,0,Y67/$Y$6)</f>
        <v>0</v>
      </c>
      <c r="AA67" s="1317">
        <f>N67+Y67</f>
        <v>-2256305.44</v>
      </c>
      <c r="AB67" s="1318">
        <f>IF($AA$6=0,0,AA67/$AA$6)</f>
        <v>0</v>
      </c>
    </row>
    <row r="68" spans="1:28">
      <c r="A68" s="1118" t="s">
        <v>514</v>
      </c>
      <c r="B68" s="1311">
        <f>'Расходы помесячно (План-Факт)'!M132</f>
        <v>1478855.35</v>
      </c>
      <c r="C68" s="1120"/>
      <c r="D68" s="1121"/>
      <c r="E68" s="1122"/>
      <c r="F68" s="1123">
        <f>IF(AA6=0,B68,ROUND($B68*F$65,0))</f>
        <v>1478855.35</v>
      </c>
      <c r="G68" s="1124">
        <f>IF($F$6=0,0,F68/$F$6)</f>
        <v>0</v>
      </c>
      <c r="H68" s="1123" t="e">
        <f>ROUND($B68*H$65,0)</f>
        <v>#DIV/0!</v>
      </c>
      <c r="I68" s="1126">
        <f>IF($H$6=0,0,H68/$H$6)</f>
        <v>0</v>
      </c>
      <c r="J68" s="1123" t="e">
        <f>ROUND($B68*J$65,0)</f>
        <v>#DIV/0!</v>
      </c>
      <c r="K68" s="1126">
        <f>IF($J$6=0,0,J68/$J$6)</f>
        <v>0</v>
      </c>
      <c r="L68" s="1125" t="e">
        <f>ROUND($B68*L$65,0)</f>
        <v>#DIV/0!</v>
      </c>
      <c r="M68" s="1126">
        <f>IF($L$6=0,0,L68/$L$6)</f>
        <v>0</v>
      </c>
      <c r="N68" s="1127">
        <f>IF(AA6=0,F68,F68+H68+J68+L68)</f>
        <v>1478855.35</v>
      </c>
      <c r="O68" s="1128">
        <f>IF($N$6=0,0,N68/$N$6)</f>
        <v>0</v>
      </c>
      <c r="P68" s="1084"/>
      <c r="Q68" s="1123">
        <f>ROUND($B68*Q$65,0)</f>
        <v>0</v>
      </c>
      <c r="R68" s="1126">
        <f>IF($Q$6=0,0,Q68/$Q$6)</f>
        <v>0</v>
      </c>
      <c r="S68" s="1123">
        <f>ROUND($B68*S$65,0)</f>
        <v>0</v>
      </c>
      <c r="T68" s="1126">
        <f>IF($S$6=0,0,S68/$S$6)</f>
        <v>0</v>
      </c>
      <c r="U68" s="1123">
        <f>ROUND($B68*U$65,0)</f>
        <v>0</v>
      </c>
      <c r="V68" s="1126">
        <f>IF($U$6=0,0,U68/$U$6)</f>
        <v>0</v>
      </c>
      <c r="W68" s="1125">
        <f>ROUND($B68*W$65,0)</f>
        <v>0</v>
      </c>
      <c r="X68" s="1126">
        <f>IF($W$6=0,0,W68/$W$6)</f>
        <v>0</v>
      </c>
      <c r="Y68" s="1127">
        <f>Q68+S68+U68+W68</f>
        <v>0</v>
      </c>
      <c r="Z68" s="1128">
        <f>IF($Y$6=0,0,Y68/$Y$6)</f>
        <v>0</v>
      </c>
      <c r="AA68" s="1129">
        <f>N68+Y68</f>
        <v>1478855.35</v>
      </c>
      <c r="AB68" s="1130">
        <f>IF($AA$6=0,0,AA68/$AA$6)</f>
        <v>0</v>
      </c>
    </row>
    <row r="69" spans="1:28">
      <c r="A69" s="1146" t="s">
        <v>515</v>
      </c>
      <c r="B69" s="1147"/>
      <c r="C69" s="1312"/>
      <c r="D69" s="1313"/>
      <c r="E69" s="1314"/>
      <c r="F69" s="1158">
        <f>F67-F68</f>
        <v>-3735160.79</v>
      </c>
      <c r="G69" s="1281">
        <f>IF($F$6=0,0,F69/$F$6)</f>
        <v>0</v>
      </c>
      <c r="H69" s="1158" t="e">
        <f>H67-H68</f>
        <v>#DIV/0!</v>
      </c>
      <c r="I69" s="1154">
        <f>IF($H$6=0,0,H69/$H$6)</f>
        <v>0</v>
      </c>
      <c r="J69" s="1158" t="e">
        <f>J67-J68</f>
        <v>#DIV/0!</v>
      </c>
      <c r="K69" s="1154">
        <f>IF($J$6=0,0,J69/$J$6)</f>
        <v>0</v>
      </c>
      <c r="L69" s="1158" t="e">
        <f>L67-L68</f>
        <v>#DIV/0!</v>
      </c>
      <c r="M69" s="1154">
        <f>IF($L$6=0,0,L69/$L$6)</f>
        <v>0</v>
      </c>
      <c r="N69" s="1158">
        <f>N67-N68</f>
        <v>-3735160.79</v>
      </c>
      <c r="O69" s="1315">
        <f>IF($N$6=0,0,N69/$N$6)</f>
        <v>0</v>
      </c>
      <c r="P69" s="1316"/>
      <c r="Q69" s="1158">
        <f>Q67-Q68</f>
        <v>0</v>
      </c>
      <c r="R69" s="1154">
        <f>IF($Q$6=0,0,Q69/$Q$6)</f>
        <v>0</v>
      </c>
      <c r="S69" s="1158">
        <f>S67-S68</f>
        <v>0</v>
      </c>
      <c r="T69" s="1154">
        <f>IF($S$6=0,0,S69/$S$6)</f>
        <v>0</v>
      </c>
      <c r="U69" s="1158">
        <f>U67-U68</f>
        <v>0</v>
      </c>
      <c r="V69" s="1154">
        <f>IF($U$6=0,0,U69/$U$6)</f>
        <v>0</v>
      </c>
      <c r="W69" s="1158">
        <f>W67-W68</f>
        <v>0</v>
      </c>
      <c r="X69" s="1154">
        <f>IF($W$6=0,0,W69/$W$6)</f>
        <v>0</v>
      </c>
      <c r="Y69" s="1158">
        <f>Y67-Y68</f>
        <v>0</v>
      </c>
      <c r="Z69" s="1315">
        <f>IF($Y$6=0,0,Y69/$Y$6)</f>
        <v>0</v>
      </c>
      <c r="AA69" s="1317">
        <f>N69+Y69</f>
        <v>-3735160.79</v>
      </c>
      <c r="AB69" s="1318">
        <f>IF($AA$6=0,0,AA69/$AA$6)</f>
        <v>0</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sheetPr enableFormatConditionsCalculation="0">
    <tabColor indexed="39"/>
  </sheetPr>
  <dimension ref="A1:AB76"/>
  <sheetViews>
    <sheetView zoomScale="90" zoomScaleNormal="90" workbookViewId="0">
      <pane xSplit="5" ySplit="9" topLeftCell="F10" activePane="bottomRight" state="frozen"/>
      <selection pane="topRight" activeCell="F1" sqref="F1"/>
      <selection pane="bottomLeft" activeCell="A10" sqref="A10"/>
      <selection pane="bottomRight" activeCell="Y74" sqref="Y74"/>
    </sheetView>
  </sheetViews>
  <sheetFormatPr defaultRowHeight="12.75" outlineLevelRow="2" outlineLevelCol="2"/>
  <cols>
    <col min="1" max="1" width="36.28515625" style="888" customWidth="1"/>
    <col min="2" max="2" width="13.5703125" style="889" customWidth="1" outlineLevel="1"/>
    <col min="3" max="3" width="6" style="889" customWidth="1"/>
    <col min="4" max="4" width="10" style="889" customWidth="1"/>
    <col min="5" max="5" width="0.85546875" style="889" customWidth="1" outlineLevel="1"/>
    <col min="6" max="6" width="11.5703125" style="889" customWidth="1" outlineLevel="1"/>
    <col min="7" max="7" width="0" style="890" hidden="1" customWidth="1" outlineLevel="2"/>
    <col min="8" max="8" width="11.85546875" style="889" customWidth="1" outlineLevel="1" collapsed="1"/>
    <col min="9" max="9" width="0" style="891" hidden="1" customWidth="1" outlineLevel="2"/>
    <col min="10" max="10" width="12" style="889" customWidth="1" outlineLevel="1" collapsed="1"/>
    <col min="11" max="11" width="0" style="891" hidden="1" customWidth="1" outlineLevel="2"/>
    <col min="12" max="12" width="12.28515625" style="889" customWidth="1" outlineLevel="1" collapsed="1"/>
    <col min="13" max="13" width="0" style="891" hidden="1" customWidth="1" outlineLevel="2"/>
    <col min="14" max="14" width="13.42578125" style="889" customWidth="1" collapsed="1"/>
    <col min="15" max="15" width="0" style="892" hidden="1" customWidth="1" outlineLevel="1"/>
    <col min="16" max="16" width="0.7109375" style="892" customWidth="1"/>
    <col min="17" max="17" width="11.85546875" style="889" customWidth="1" outlineLevel="1"/>
    <col min="18" max="18" width="0" style="889" hidden="1" customWidth="1" outlineLevel="2"/>
    <col min="19" max="19" width="12" style="889" customWidth="1" outlineLevel="1" collapsed="1"/>
    <col min="20" max="20" width="0" style="889" hidden="1" customWidth="1" outlineLevel="2"/>
    <col min="21" max="21" width="11.42578125" style="889" customWidth="1" outlineLevel="1" collapsed="1"/>
    <col min="22" max="22" width="0" style="889" hidden="1" customWidth="1" outlineLevel="2"/>
    <col min="23" max="23" width="12.42578125" style="889" customWidth="1" outlineLevel="1" collapsed="1"/>
    <col min="24" max="24" width="0" style="889" hidden="1" customWidth="1" outlineLevel="2"/>
    <col min="25" max="25" width="12.42578125" style="889" customWidth="1" collapsed="1"/>
    <col min="26" max="26" width="0" style="892" hidden="1" customWidth="1" outlineLevel="1"/>
    <col min="27" max="27" width="12" style="889" customWidth="1"/>
    <col min="28" max="28" width="9.5703125" style="892" customWidth="1"/>
    <col min="29" max="16384" width="9.140625" style="889"/>
  </cols>
  <sheetData>
    <row r="1" spans="1:28" ht="15">
      <c r="A1" s="893" t="s">
        <v>521</v>
      </c>
      <c r="B1" s="894"/>
    </row>
    <row r="2" spans="1:28">
      <c r="A2" s="895"/>
      <c r="B2" s="896" t="s">
        <v>453</v>
      </c>
      <c r="C2" s="897"/>
      <c r="D2" s="898"/>
      <c r="E2" s="899"/>
      <c r="F2" s="900"/>
      <c r="G2" s="901"/>
      <c r="H2" s="902"/>
      <c r="I2" s="903"/>
      <c r="J2" s="902"/>
      <c r="K2" s="903"/>
      <c r="L2" s="902"/>
      <c r="M2" s="903" t="s">
        <v>454</v>
      </c>
      <c r="N2" s="904"/>
      <c r="O2" s="905"/>
      <c r="P2" s="905"/>
      <c r="Q2" s="906"/>
      <c r="R2" s="906"/>
      <c r="S2" s="906"/>
      <c r="T2" s="906"/>
      <c r="U2" s="906"/>
      <c r="V2" s="906"/>
      <c r="W2" s="906"/>
      <c r="X2" s="906"/>
      <c r="Y2" s="907"/>
      <c r="Z2" s="908"/>
      <c r="AA2" s="904"/>
      <c r="AB2" s="909"/>
    </row>
    <row r="3" spans="1:28">
      <c r="A3" s="910"/>
      <c r="B3" s="911" t="s">
        <v>455</v>
      </c>
      <c r="C3" s="912"/>
      <c r="D3" s="913"/>
      <c r="E3" s="914"/>
      <c r="F3" s="915" t="s">
        <v>456</v>
      </c>
      <c r="G3" s="916"/>
      <c r="H3" s="917"/>
      <c r="I3" s="918"/>
      <c r="J3" s="917"/>
      <c r="K3" s="918"/>
      <c r="L3" s="917"/>
      <c r="M3" s="918"/>
      <c r="N3" s="919" t="s">
        <v>457</v>
      </c>
      <c r="O3" s="920" t="s">
        <v>458</v>
      </c>
      <c r="P3" s="921"/>
      <c r="Q3" s="915" t="s">
        <v>459</v>
      </c>
      <c r="R3" s="916"/>
      <c r="S3" s="917"/>
      <c r="T3" s="918"/>
      <c r="U3" s="917"/>
      <c r="V3" s="918"/>
      <c r="W3" s="917"/>
      <c r="X3" s="918"/>
      <c r="Y3" s="919" t="s">
        <v>457</v>
      </c>
      <c r="Z3" s="920" t="s">
        <v>458</v>
      </c>
      <c r="AA3" s="922"/>
      <c r="AB3" s="923" t="s">
        <v>458</v>
      </c>
    </row>
    <row r="4" spans="1:28">
      <c r="A4" s="924" t="s">
        <v>460</v>
      </c>
      <c r="B4" s="911" t="s">
        <v>461</v>
      </c>
      <c r="C4" s="925"/>
      <c r="D4" s="926"/>
      <c r="E4" s="927"/>
      <c r="F4" s="928" t="s">
        <v>517</v>
      </c>
      <c r="G4" s="929"/>
      <c r="H4" s="928" t="s">
        <v>518</v>
      </c>
      <c r="I4" s="931"/>
      <c r="J4" s="928" t="s">
        <v>519</v>
      </c>
      <c r="K4" s="931"/>
      <c r="L4" s="930" t="s">
        <v>517</v>
      </c>
      <c r="M4" s="931"/>
      <c r="N4" s="932" t="s">
        <v>462</v>
      </c>
      <c r="O4" s="933" t="s">
        <v>463</v>
      </c>
      <c r="P4" s="934"/>
      <c r="Q4" s="928" t="s">
        <v>517</v>
      </c>
      <c r="R4" s="931"/>
      <c r="S4" s="928" t="s">
        <v>518</v>
      </c>
      <c r="T4" s="931"/>
      <c r="U4" s="928" t="s">
        <v>519</v>
      </c>
      <c r="V4" s="931"/>
      <c r="W4" s="930" t="s">
        <v>517</v>
      </c>
      <c r="X4" s="931"/>
      <c r="Y4" s="932" t="s">
        <v>464</v>
      </c>
      <c r="Z4" s="933" t="s">
        <v>463</v>
      </c>
      <c r="AA4" s="935" t="s">
        <v>191</v>
      </c>
      <c r="AB4" s="936" t="s">
        <v>463</v>
      </c>
    </row>
    <row r="5" spans="1:28">
      <c r="A5" s="924"/>
      <c r="B5" s="911" t="s">
        <v>465</v>
      </c>
      <c r="C5" s="925"/>
      <c r="D5" s="926"/>
      <c r="E5" s="927"/>
      <c r="F5" s="937" t="s">
        <v>13</v>
      </c>
      <c r="G5" s="938" t="s">
        <v>466</v>
      </c>
      <c r="H5" s="937" t="s">
        <v>13</v>
      </c>
      <c r="I5" s="940" t="s">
        <v>466</v>
      </c>
      <c r="J5" s="937" t="s">
        <v>13</v>
      </c>
      <c r="K5" s="940" t="s">
        <v>466</v>
      </c>
      <c r="L5" s="939" t="s">
        <v>13</v>
      </c>
      <c r="M5" s="940" t="s">
        <v>466</v>
      </c>
      <c r="N5" s="941" t="s">
        <v>13</v>
      </c>
      <c r="O5" s="942" t="s">
        <v>467</v>
      </c>
      <c r="P5" s="943"/>
      <c r="Q5" s="937" t="s">
        <v>13</v>
      </c>
      <c r="R5" s="940" t="s">
        <v>466</v>
      </c>
      <c r="S5" s="937" t="s">
        <v>13</v>
      </c>
      <c r="T5" s="940" t="s">
        <v>466</v>
      </c>
      <c r="U5" s="937" t="s">
        <v>13</v>
      </c>
      <c r="V5" s="940" t="s">
        <v>466</v>
      </c>
      <c r="W5" s="939" t="s">
        <v>13</v>
      </c>
      <c r="X5" s="940" t="s">
        <v>466</v>
      </c>
      <c r="Y5" s="941" t="s">
        <v>13</v>
      </c>
      <c r="Z5" s="942" t="s">
        <v>467</v>
      </c>
      <c r="AA5" s="944" t="s">
        <v>13</v>
      </c>
      <c r="AB5" s="945" t="s">
        <v>468</v>
      </c>
    </row>
    <row r="6" spans="1:28">
      <c r="A6" s="946" t="s">
        <v>469</v>
      </c>
      <c r="B6" s="947"/>
      <c r="C6" s="948"/>
      <c r="D6" s="949"/>
      <c r="E6" s="927"/>
      <c r="F6" s="950">
        <v>450</v>
      </c>
      <c r="G6" s="951"/>
      <c r="H6" s="950"/>
      <c r="I6" s="952"/>
      <c r="J6" s="950"/>
      <c r="K6" s="952"/>
      <c r="L6" s="950"/>
      <c r="M6" s="952"/>
      <c r="N6" s="953">
        <f>SUM(F6:L6)</f>
        <v>450</v>
      </c>
      <c r="O6" s="954"/>
      <c r="P6" s="943"/>
      <c r="Q6" s="950"/>
      <c r="R6" s="952"/>
      <c r="S6" s="950"/>
      <c r="T6" s="952"/>
      <c r="U6" s="950"/>
      <c r="V6" s="952"/>
      <c r="W6" s="950">
        <v>0</v>
      </c>
      <c r="X6" s="952"/>
      <c r="Y6" s="953">
        <f>SUM(Q6:W6)</f>
        <v>0</v>
      </c>
      <c r="Z6" s="954"/>
      <c r="AA6" s="955">
        <f>N6+Y6</f>
        <v>450</v>
      </c>
      <c r="AB6" s="956"/>
    </row>
    <row r="7" spans="1:28" s="970" customFormat="1">
      <c r="A7" s="957" t="s">
        <v>470</v>
      </c>
      <c r="B7" s="958"/>
      <c r="C7" s="959" t="s">
        <v>471</v>
      </c>
      <c r="D7" s="960">
        <v>71</v>
      </c>
      <c r="E7" s="961"/>
      <c r="F7" s="962">
        <v>1390</v>
      </c>
      <c r="G7" s="963"/>
      <c r="H7" s="962"/>
      <c r="I7" s="964"/>
      <c r="J7" s="962"/>
      <c r="K7" s="964"/>
      <c r="L7" s="1332">
        <v>1500</v>
      </c>
      <c r="M7" s="964"/>
      <c r="N7" s="965"/>
      <c r="O7" s="966"/>
      <c r="P7" s="967"/>
      <c r="Q7" s="962">
        <v>1500</v>
      </c>
      <c r="R7" s="963"/>
      <c r="S7" s="962"/>
      <c r="T7" s="964"/>
      <c r="U7" s="962"/>
      <c r="V7" s="964"/>
      <c r="W7" s="1332">
        <v>1500</v>
      </c>
      <c r="X7" s="964"/>
      <c r="Y7" s="965"/>
      <c r="Z7" s="966"/>
      <c r="AA7" s="968"/>
      <c r="AB7" s="969"/>
    </row>
    <row r="8" spans="1:28" s="970" customFormat="1">
      <c r="A8" s="971" t="s">
        <v>472</v>
      </c>
      <c r="B8" s="972"/>
      <c r="C8" s="973" t="s">
        <v>473</v>
      </c>
      <c r="D8" s="974">
        <v>5.2499999999999998E-2</v>
      </c>
      <c r="E8" s="975"/>
      <c r="F8" s="976">
        <f>(F7*$D7)+(F7*$D7*D8)</f>
        <v>103871.22500000001</v>
      </c>
      <c r="G8" s="977"/>
      <c r="H8" s="1323">
        <v>71000</v>
      </c>
      <c r="I8" s="979"/>
      <c r="J8" s="1323">
        <v>57276</v>
      </c>
      <c r="K8" s="979"/>
      <c r="L8" s="978">
        <f>L7*D7</f>
        <v>106500</v>
      </c>
      <c r="M8" s="979"/>
      <c r="N8" s="980"/>
      <c r="O8" s="981"/>
      <c r="P8" s="982"/>
      <c r="Q8" s="976">
        <f>(Q7*$D7)+(Q7*$D7*$D$8)</f>
        <v>112091.25</v>
      </c>
      <c r="R8" s="979"/>
      <c r="S8" s="1323">
        <v>71500</v>
      </c>
      <c r="T8" s="979"/>
      <c r="U8" s="1323">
        <v>62529</v>
      </c>
      <c r="V8" s="979"/>
      <c r="W8" s="978">
        <f>W7*D7</f>
        <v>106500</v>
      </c>
      <c r="X8" s="979"/>
      <c r="Y8" s="980"/>
      <c r="Z8" s="981"/>
      <c r="AA8" s="983"/>
      <c r="AB8" s="984"/>
    </row>
    <row r="9" spans="1:28" s="970" customFormat="1">
      <c r="A9" s="985" t="s">
        <v>474</v>
      </c>
      <c r="B9" s="986"/>
      <c r="C9" s="987"/>
      <c r="D9" s="988"/>
      <c r="E9" s="989"/>
      <c r="F9" s="1335"/>
      <c r="G9" s="991"/>
      <c r="H9" s="990"/>
      <c r="I9" s="993"/>
      <c r="J9" s="990"/>
      <c r="K9" s="993"/>
      <c r="L9" s="992"/>
      <c r="M9" s="993"/>
      <c r="N9" s="994"/>
      <c r="O9" s="966"/>
      <c r="P9" s="995"/>
      <c r="Q9" s="1335"/>
      <c r="R9" s="993"/>
      <c r="S9" s="990"/>
      <c r="T9" s="993"/>
      <c r="U9" s="990"/>
      <c r="V9" s="993"/>
      <c r="W9" s="996"/>
      <c r="X9" s="993"/>
      <c r="Y9" s="994"/>
      <c r="Z9" s="966"/>
      <c r="AA9" s="997"/>
      <c r="AB9" s="969"/>
    </row>
    <row r="10" spans="1:28" ht="14.25" outlineLevel="1">
      <c r="A10" s="998" t="s">
        <v>321</v>
      </c>
      <c r="B10" s="999"/>
      <c r="C10" s="1000"/>
      <c r="D10" s="1001">
        <v>1.1499999999999999</v>
      </c>
      <c r="E10" s="1002"/>
      <c r="F10" s="1003">
        <f>D10*D7*1000</f>
        <v>81649.999999999985</v>
      </c>
      <c r="G10" s="1003">
        <f>$F$9</f>
        <v>0</v>
      </c>
      <c r="H10" s="1003">
        <f>$F$10</f>
        <v>81649.999999999985</v>
      </c>
      <c r="I10" s="1003">
        <f>$F$9</f>
        <v>0</v>
      </c>
      <c r="J10" s="1003">
        <f t="shared" ref="J10:L11" si="0">$F$10</f>
        <v>81649.999999999985</v>
      </c>
      <c r="K10" s="1003">
        <f t="shared" si="0"/>
        <v>81649.999999999985</v>
      </c>
      <c r="L10" s="1003">
        <f t="shared" si="0"/>
        <v>81649.999999999985</v>
      </c>
      <c r="M10" s="1006"/>
      <c r="N10" s="1007"/>
      <c r="O10" s="1008"/>
      <c r="P10" s="1009"/>
      <c r="Q10" s="1003">
        <f t="shared" ref="Q10:W11" si="1">$F$10</f>
        <v>81649.999999999985</v>
      </c>
      <c r="R10" s="1003">
        <f t="shared" si="1"/>
        <v>81649.999999999985</v>
      </c>
      <c r="S10" s="1003">
        <f t="shared" si="1"/>
        <v>81649.999999999985</v>
      </c>
      <c r="T10" s="1003">
        <f t="shared" si="1"/>
        <v>81649.999999999985</v>
      </c>
      <c r="U10" s="1003">
        <f t="shared" si="1"/>
        <v>81649.999999999985</v>
      </c>
      <c r="V10" s="1003">
        <f t="shared" si="1"/>
        <v>81649.999999999985</v>
      </c>
      <c r="W10" s="1003">
        <f t="shared" si="1"/>
        <v>81649.999999999985</v>
      </c>
      <c r="X10" s="1006"/>
      <c r="Y10" s="1007"/>
      <c r="Z10" s="1008"/>
      <c r="AA10" s="1011"/>
      <c r="AB10" s="1012"/>
    </row>
    <row r="11" spans="1:28" ht="14.25" outlineLevel="1">
      <c r="A11" s="998" t="s">
        <v>475</v>
      </c>
      <c r="B11" s="999"/>
      <c r="C11" s="1000"/>
      <c r="D11" s="1013"/>
      <c r="E11" s="1002"/>
      <c r="F11" s="1003">
        <f>$F$10</f>
        <v>81649.999999999985</v>
      </c>
      <c r="G11" s="1003">
        <f>$F$10</f>
        <v>81649.999999999985</v>
      </c>
      <c r="H11" s="1003">
        <f>$F$10</f>
        <v>81649.999999999985</v>
      </c>
      <c r="I11" s="1003">
        <f>$F$10</f>
        <v>81649.999999999985</v>
      </c>
      <c r="J11" s="1003">
        <f t="shared" si="0"/>
        <v>81649.999999999985</v>
      </c>
      <c r="K11" s="1003">
        <f t="shared" si="0"/>
        <v>81649.999999999985</v>
      </c>
      <c r="L11" s="1003">
        <f t="shared" si="0"/>
        <v>81649.999999999985</v>
      </c>
      <c r="M11" s="1006"/>
      <c r="N11" s="1007"/>
      <c r="O11" s="1008"/>
      <c r="P11" s="1009"/>
      <c r="Q11" s="1003">
        <f t="shared" si="1"/>
        <v>81649.999999999985</v>
      </c>
      <c r="R11" s="1003">
        <f t="shared" si="1"/>
        <v>81649.999999999985</v>
      </c>
      <c r="S11" s="1003">
        <f t="shared" si="1"/>
        <v>81649.999999999985</v>
      </c>
      <c r="T11" s="1003">
        <f t="shared" si="1"/>
        <v>81649.999999999985</v>
      </c>
      <c r="U11" s="1003">
        <f t="shared" si="1"/>
        <v>81649.999999999985</v>
      </c>
      <c r="V11" s="1003">
        <f t="shared" si="1"/>
        <v>81649.999999999985</v>
      </c>
      <c r="W11" s="1003">
        <f t="shared" si="1"/>
        <v>81649.999999999985</v>
      </c>
      <c r="X11" s="1006"/>
      <c r="Y11" s="1007"/>
      <c r="Z11" s="1008"/>
      <c r="AA11" s="1011"/>
      <c r="AB11" s="1012"/>
    </row>
    <row r="12" spans="1:28" ht="14.25" hidden="1" outlineLevel="2">
      <c r="A12" s="998" t="s">
        <v>476</v>
      </c>
      <c r="B12" s="999"/>
      <c r="C12" s="1000"/>
      <c r="D12" s="1013"/>
      <c r="E12" s="1002"/>
      <c r="F12" s="1003"/>
      <c r="G12" s="1004"/>
      <c r="H12" s="1003"/>
      <c r="I12" s="1006"/>
      <c r="J12" s="1003"/>
      <c r="K12" s="1006"/>
      <c r="L12" s="1010"/>
      <c r="M12" s="1006"/>
      <c r="N12" s="1007"/>
      <c r="O12" s="1008"/>
      <c r="P12" s="1009"/>
      <c r="Q12" s="1003"/>
      <c r="R12" s="1006"/>
      <c r="S12" s="1003"/>
      <c r="T12" s="1006"/>
      <c r="U12" s="1003"/>
      <c r="V12" s="1006"/>
      <c r="W12" s="1010"/>
      <c r="X12" s="1006"/>
      <c r="Y12" s="1007"/>
      <c r="Z12" s="1008"/>
      <c r="AA12" s="1011"/>
      <c r="AB12" s="1012"/>
    </row>
    <row r="13" spans="1:28" ht="14.25" hidden="1" outlineLevel="2">
      <c r="A13" s="998" t="s">
        <v>477</v>
      </c>
      <c r="B13" s="999"/>
      <c r="C13" s="1000"/>
      <c r="D13" s="1013"/>
      <c r="E13" s="1002"/>
      <c r="F13" s="1003"/>
      <c r="G13" s="1004"/>
      <c r="H13" s="1003"/>
      <c r="I13" s="1006"/>
      <c r="J13" s="1003"/>
      <c r="K13" s="1006"/>
      <c r="L13" s="1010"/>
      <c r="M13" s="1006"/>
      <c r="N13" s="1007"/>
      <c r="O13" s="1008"/>
      <c r="P13" s="1009"/>
      <c r="Q13" s="1003"/>
      <c r="R13" s="1006"/>
      <c r="S13" s="1003"/>
      <c r="T13" s="1006"/>
      <c r="U13" s="1003"/>
      <c r="V13" s="1006"/>
      <c r="W13" s="1010"/>
      <c r="X13" s="1006"/>
      <c r="Y13" s="1007"/>
      <c r="Z13" s="1008"/>
      <c r="AA13" s="1011"/>
      <c r="AB13" s="1012"/>
    </row>
    <row r="14" spans="1:28" ht="14.25" hidden="1" outlineLevel="2">
      <c r="A14" s="998" t="s">
        <v>478</v>
      </c>
      <c r="B14" s="999"/>
      <c r="C14" s="1000"/>
      <c r="D14" s="1013"/>
      <c r="E14" s="1002"/>
      <c r="F14" s="1003"/>
      <c r="G14" s="1004"/>
      <c r="H14" s="1003"/>
      <c r="I14" s="1006"/>
      <c r="J14" s="1003"/>
      <c r="K14" s="1006"/>
      <c r="L14" s="1010"/>
      <c r="M14" s="1006"/>
      <c r="N14" s="1007"/>
      <c r="O14" s="1008"/>
      <c r="P14" s="1009"/>
      <c r="Q14" s="1003"/>
      <c r="R14" s="1006"/>
      <c r="S14" s="1003"/>
      <c r="T14" s="1006"/>
      <c r="U14" s="1003"/>
      <c r="V14" s="1006"/>
      <c r="W14" s="1010"/>
      <c r="X14" s="1006"/>
      <c r="Y14" s="1007"/>
      <c r="Z14" s="1008"/>
      <c r="AA14" s="1011"/>
      <c r="AB14" s="1012"/>
    </row>
    <row r="15" spans="1:28" ht="14.25" hidden="1" outlineLevel="2">
      <c r="A15" s="998" t="s">
        <v>479</v>
      </c>
      <c r="B15" s="999"/>
      <c r="C15" s="1000"/>
      <c r="D15" s="1013"/>
      <c r="E15" s="1002"/>
      <c r="F15" s="1003"/>
      <c r="G15" s="1004"/>
      <c r="H15" s="1003"/>
      <c r="I15" s="1006"/>
      <c r="J15" s="1003"/>
      <c r="K15" s="1006"/>
      <c r="L15" s="1010"/>
      <c r="M15" s="1006"/>
      <c r="N15" s="1007"/>
      <c r="O15" s="1008"/>
      <c r="P15" s="1009"/>
      <c r="Q15" s="1003"/>
      <c r="R15" s="1006"/>
      <c r="S15" s="1003"/>
      <c r="T15" s="1006"/>
      <c r="U15" s="1003"/>
      <c r="V15" s="1006"/>
      <c r="W15" s="1010"/>
      <c r="X15" s="1006"/>
      <c r="Y15" s="1007"/>
      <c r="Z15" s="1008"/>
      <c r="AA15" s="1011"/>
      <c r="AB15" s="1012"/>
    </row>
    <row r="16" spans="1:28" ht="14.25" outlineLevel="1" collapsed="1">
      <c r="A16" s="998" t="s">
        <v>480</v>
      </c>
      <c r="B16" s="999"/>
      <c r="C16" s="1000"/>
      <c r="D16" s="1013"/>
      <c r="E16" s="1002"/>
      <c r="F16" s="1003">
        <v>90000</v>
      </c>
      <c r="G16" s="1004"/>
      <c r="H16" s="1003">
        <v>90000</v>
      </c>
      <c r="I16" s="1006"/>
      <c r="J16" s="1003">
        <v>90000</v>
      </c>
      <c r="K16" s="1006"/>
      <c r="L16" s="1010">
        <v>90000</v>
      </c>
      <c r="M16" s="1006"/>
      <c r="N16" s="1007"/>
      <c r="O16" s="1008"/>
      <c r="P16" s="1009"/>
      <c r="Q16" s="1003">
        <v>90000</v>
      </c>
      <c r="R16" s="1006"/>
      <c r="S16" s="1003">
        <v>90000</v>
      </c>
      <c r="T16" s="1006"/>
      <c r="U16" s="1003">
        <v>90000</v>
      </c>
      <c r="V16" s="1006"/>
      <c r="W16" s="1010">
        <v>90000</v>
      </c>
      <c r="X16" s="1006"/>
      <c r="Y16" s="1007"/>
      <c r="Z16" s="1008"/>
      <c r="AA16" s="1011"/>
      <c r="AB16" s="1012"/>
    </row>
    <row r="17" spans="1:28" ht="14.25" outlineLevel="1">
      <c r="A17" s="1014" t="s">
        <v>481</v>
      </c>
      <c r="B17" s="1015"/>
      <c r="C17" s="1016"/>
      <c r="D17" s="1017"/>
      <c r="E17" s="1018"/>
      <c r="F17" s="1019">
        <v>210000</v>
      </c>
      <c r="G17" s="1020"/>
      <c r="H17" s="1019">
        <v>210000</v>
      </c>
      <c r="I17" s="1022"/>
      <c r="J17" s="1019">
        <v>210000</v>
      </c>
      <c r="K17" s="1022"/>
      <c r="L17" s="1021">
        <v>210000</v>
      </c>
      <c r="M17" s="1022"/>
      <c r="N17" s="1023"/>
      <c r="O17" s="1024"/>
      <c r="P17" s="1025"/>
      <c r="Q17" s="1019">
        <v>210000</v>
      </c>
      <c r="R17" s="1022"/>
      <c r="S17" s="1019">
        <v>210000</v>
      </c>
      <c r="T17" s="1022"/>
      <c r="U17" s="1019">
        <v>210000</v>
      </c>
      <c r="V17" s="1022"/>
      <c r="W17" s="1021">
        <v>210000</v>
      </c>
      <c r="X17" s="1022"/>
      <c r="Y17" s="1023"/>
      <c r="Z17" s="1024"/>
      <c r="AA17" s="1026"/>
      <c r="AB17" s="1027"/>
    </row>
    <row r="18" spans="1:28">
      <c r="A18" s="1028" t="s">
        <v>482</v>
      </c>
      <c r="B18" s="1029"/>
      <c r="C18" s="987"/>
      <c r="D18" s="988"/>
      <c r="E18" s="989"/>
      <c r="F18" s="1336">
        <v>0.89</v>
      </c>
      <c r="G18" s="991"/>
      <c r="H18" s="1030">
        <v>0.87</v>
      </c>
      <c r="I18" s="993"/>
      <c r="J18" s="1337">
        <v>0.87</v>
      </c>
      <c r="K18" s="993"/>
      <c r="L18" s="1338">
        <v>0.89</v>
      </c>
      <c r="M18" s="993"/>
      <c r="N18" s="994"/>
      <c r="O18" s="966"/>
      <c r="P18" s="995"/>
      <c r="Q18" s="1030">
        <v>0.88</v>
      </c>
      <c r="R18" s="993"/>
      <c r="S18" s="1030">
        <v>0.87</v>
      </c>
      <c r="T18" s="993"/>
      <c r="U18" s="1030">
        <v>0.86</v>
      </c>
      <c r="V18" s="993"/>
      <c r="W18" s="1031">
        <v>0.88</v>
      </c>
      <c r="X18" s="993"/>
      <c r="Y18" s="994"/>
      <c r="Z18" s="966"/>
      <c r="AA18" s="997"/>
      <c r="AB18" s="969"/>
    </row>
    <row r="19" spans="1:28">
      <c r="A19" s="1032" t="s">
        <v>483</v>
      </c>
      <c r="B19" s="1033"/>
      <c r="C19" s="1034"/>
      <c r="D19" s="1035"/>
      <c r="E19" s="1036"/>
      <c r="F19" s="1037">
        <f>1/F18</f>
        <v>1.1235955056179776</v>
      </c>
      <c r="G19" s="1038"/>
      <c r="H19" s="1037">
        <f>1/H18</f>
        <v>1.1494252873563218</v>
      </c>
      <c r="I19" s="1040"/>
      <c r="J19" s="1037">
        <f>1/J18</f>
        <v>1.1494252873563218</v>
      </c>
      <c r="K19" s="1040"/>
      <c r="L19" s="1039">
        <f>1/L18</f>
        <v>1.1235955056179776</v>
      </c>
      <c r="M19" s="1040"/>
      <c r="N19" s="1041"/>
      <c r="O19" s="981"/>
      <c r="P19" s="1042"/>
      <c r="Q19" s="1037">
        <f>1/Q18</f>
        <v>1.1363636363636365</v>
      </c>
      <c r="R19" s="1040"/>
      <c r="S19" s="1037">
        <f>1/S18</f>
        <v>1.1494252873563218</v>
      </c>
      <c r="T19" s="1040"/>
      <c r="U19" s="1037">
        <f>1/U18</f>
        <v>1.1627906976744187</v>
      </c>
      <c r="V19" s="1040"/>
      <c r="W19" s="1039">
        <f>1/W18</f>
        <v>1.1363636363636365</v>
      </c>
      <c r="X19" s="1040"/>
      <c r="Y19" s="1041"/>
      <c r="Z19" s="981"/>
      <c r="AA19" s="1043"/>
      <c r="AB19" s="984"/>
    </row>
    <row r="20" spans="1:28" s="1055" customFormat="1">
      <c r="A20" s="1044" t="s">
        <v>484</v>
      </c>
      <c r="B20" s="1045"/>
      <c r="C20" s="1046"/>
      <c r="D20" s="1047"/>
      <c r="E20" s="1048"/>
      <c r="F20" s="1049">
        <f>SUM(F21:F28)</f>
        <v>505.61797752808991</v>
      </c>
      <c r="G20" s="991"/>
      <c r="H20" s="1049">
        <f>SUM(H21:H28)</f>
        <v>0</v>
      </c>
      <c r="I20" s="993"/>
      <c r="J20" s="1049">
        <f>SUM(J21:J28)</f>
        <v>0</v>
      </c>
      <c r="K20" s="993"/>
      <c r="L20" s="1049">
        <f>SUM(L21:L28)</f>
        <v>0</v>
      </c>
      <c r="M20" s="993"/>
      <c r="N20" s="1050">
        <f t="shared" ref="N20:N28" si="2">F20+H20+J20+L20</f>
        <v>505.61797752808991</v>
      </c>
      <c r="O20" s="1051"/>
      <c r="P20" s="1052"/>
      <c r="Q20" s="1049">
        <f>SUM(Q21:Q28)</f>
        <v>0</v>
      </c>
      <c r="R20" s="993"/>
      <c r="S20" s="1049">
        <f>SUM(S21:S28)</f>
        <v>0</v>
      </c>
      <c r="T20" s="993"/>
      <c r="U20" s="1049">
        <f>SUM(U21:U28)</f>
        <v>0</v>
      </c>
      <c r="V20" s="993"/>
      <c r="W20" s="1049">
        <f>SUM(W21:W28)</f>
        <v>0</v>
      </c>
      <c r="X20" s="993"/>
      <c r="Y20" s="1050">
        <f t="shared" ref="Y20:Y28" si="3">Q20+S20+U20+W20</f>
        <v>0</v>
      </c>
      <c r="Z20" s="1051"/>
      <c r="AA20" s="1053">
        <f t="shared" ref="AA20:AA28" si="4">N20+Y20</f>
        <v>505.61797752808991</v>
      </c>
      <c r="AB20" s="1054"/>
    </row>
    <row r="21" spans="1:28" outlineLevel="1">
      <c r="A21" s="1056" t="s">
        <v>321</v>
      </c>
      <c r="B21" s="999"/>
      <c r="C21" s="1057"/>
      <c r="D21" s="1058"/>
      <c r="E21" s="1059"/>
      <c r="F21" s="1060">
        <f>(F19*0.62)*F6</f>
        <v>313.48314606741576</v>
      </c>
      <c r="G21" s="1004"/>
      <c r="H21" s="1060"/>
      <c r="I21" s="1006"/>
      <c r="J21" s="1060">
        <f>(J19*0.7)*J6</f>
        <v>0</v>
      </c>
      <c r="K21" s="1006"/>
      <c r="L21" s="1060">
        <f>(L19*0.62)*L6</f>
        <v>0</v>
      </c>
      <c r="M21" s="1006"/>
      <c r="N21" s="1061">
        <f t="shared" si="2"/>
        <v>313.48314606741576</v>
      </c>
      <c r="O21" s="1062"/>
      <c r="P21" s="1063"/>
      <c r="Q21" s="1060">
        <f>(Q19*0.62)*Q6</f>
        <v>0</v>
      </c>
      <c r="R21" s="1006"/>
      <c r="S21" s="1060"/>
      <c r="T21" s="1006"/>
      <c r="U21" s="1060">
        <f>(U19*0.7)*U6</f>
        <v>0</v>
      </c>
      <c r="V21" s="1006"/>
      <c r="W21" s="1060">
        <f>(W19*0.62)*W6</f>
        <v>0</v>
      </c>
      <c r="X21" s="1006"/>
      <c r="Y21" s="1061">
        <f t="shared" si="3"/>
        <v>0</v>
      </c>
      <c r="Z21" s="1062"/>
      <c r="AA21" s="1064">
        <f t="shared" si="4"/>
        <v>313.48314606741576</v>
      </c>
      <c r="AB21" s="1065"/>
    </row>
    <row r="22" spans="1:28" outlineLevel="1">
      <c r="A22" s="1056" t="s">
        <v>475</v>
      </c>
      <c r="B22" s="999"/>
      <c r="C22" s="1057"/>
      <c r="D22" s="1058"/>
      <c r="E22" s="1059"/>
      <c r="F22" s="1060">
        <f>(F19*0.38)*F6</f>
        <v>192.13483146067418</v>
      </c>
      <c r="G22" s="1004"/>
      <c r="H22" s="1060">
        <f>H19*H6</f>
        <v>0</v>
      </c>
      <c r="I22" s="1006"/>
      <c r="J22" s="1060">
        <f>(J19*0.3)*J6</f>
        <v>0</v>
      </c>
      <c r="K22" s="1006"/>
      <c r="L22" s="1060">
        <f>(L19*0.38)*L6</f>
        <v>0</v>
      </c>
      <c r="M22" s="1006"/>
      <c r="N22" s="1061">
        <f t="shared" si="2"/>
        <v>192.13483146067418</v>
      </c>
      <c r="O22" s="1062"/>
      <c r="P22" s="1063"/>
      <c r="Q22" s="1060">
        <f>(Q19*0.38)*Q6</f>
        <v>0</v>
      </c>
      <c r="R22" s="1006"/>
      <c r="S22" s="1060">
        <f>S19*S6</f>
        <v>0</v>
      </c>
      <c r="T22" s="1006"/>
      <c r="U22" s="1060">
        <f>(U19*0.3)*U6</f>
        <v>0</v>
      </c>
      <c r="V22" s="1006"/>
      <c r="W22" s="1060">
        <f>(W19*0.38)*W6</f>
        <v>0</v>
      </c>
      <c r="X22" s="1006"/>
      <c r="Y22" s="1061">
        <f t="shared" si="3"/>
        <v>0</v>
      </c>
      <c r="Z22" s="1062"/>
      <c r="AA22" s="1064">
        <f t="shared" si="4"/>
        <v>192.13483146067418</v>
      </c>
      <c r="AB22" s="1065"/>
    </row>
    <row r="23" spans="1:28" hidden="1" outlineLevel="2">
      <c r="A23" s="1056" t="s">
        <v>476</v>
      </c>
      <c r="B23" s="999"/>
      <c r="C23" s="1057"/>
      <c r="D23" s="1058"/>
      <c r="E23" s="1059"/>
      <c r="F23" s="1060"/>
      <c r="G23" s="1004"/>
      <c r="H23" s="1060"/>
      <c r="I23" s="1006"/>
      <c r="J23" s="1060"/>
      <c r="K23" s="1006"/>
      <c r="L23" s="1060"/>
      <c r="M23" s="1006"/>
      <c r="N23" s="1061">
        <f t="shared" si="2"/>
        <v>0</v>
      </c>
      <c r="O23" s="1062"/>
      <c r="P23" s="1063"/>
      <c r="Q23" s="1060"/>
      <c r="R23" s="1006"/>
      <c r="S23" s="1060"/>
      <c r="T23" s="1006"/>
      <c r="U23" s="1060"/>
      <c r="V23" s="1006"/>
      <c r="W23" s="1060"/>
      <c r="X23" s="1006"/>
      <c r="Y23" s="1061">
        <f t="shared" si="3"/>
        <v>0</v>
      </c>
      <c r="Z23" s="1062"/>
      <c r="AA23" s="1064">
        <f t="shared" si="4"/>
        <v>0</v>
      </c>
      <c r="AB23" s="1065"/>
    </row>
    <row r="24" spans="1:28" hidden="1" outlineLevel="2">
      <c r="A24" s="1056" t="s">
        <v>477</v>
      </c>
      <c r="B24" s="999"/>
      <c r="C24" s="1057"/>
      <c r="D24" s="1058"/>
      <c r="E24" s="1059"/>
      <c r="F24" s="1060"/>
      <c r="G24" s="1004"/>
      <c r="H24" s="1060"/>
      <c r="I24" s="1006"/>
      <c r="J24" s="1060"/>
      <c r="K24" s="1006"/>
      <c r="L24" s="1060"/>
      <c r="M24" s="1006"/>
      <c r="N24" s="1061">
        <f t="shared" si="2"/>
        <v>0</v>
      </c>
      <c r="O24" s="1062"/>
      <c r="P24" s="1063"/>
      <c r="Q24" s="1060"/>
      <c r="R24" s="1006"/>
      <c r="S24" s="1060"/>
      <c r="T24" s="1006"/>
      <c r="U24" s="1060"/>
      <c r="V24" s="1006"/>
      <c r="W24" s="1060"/>
      <c r="X24" s="1006"/>
      <c r="Y24" s="1061">
        <f t="shared" si="3"/>
        <v>0</v>
      </c>
      <c r="Z24" s="1062"/>
      <c r="AA24" s="1064">
        <f t="shared" si="4"/>
        <v>0</v>
      </c>
      <c r="AB24" s="1065"/>
    </row>
    <row r="25" spans="1:28" hidden="1" outlineLevel="2">
      <c r="A25" s="1056" t="s">
        <v>478</v>
      </c>
      <c r="B25" s="999"/>
      <c r="C25" s="1057"/>
      <c r="D25" s="1058"/>
      <c r="E25" s="1059"/>
      <c r="F25" s="1060"/>
      <c r="G25" s="1004"/>
      <c r="H25" s="1060"/>
      <c r="I25" s="1006"/>
      <c r="J25" s="1060"/>
      <c r="K25" s="1006"/>
      <c r="L25" s="1060"/>
      <c r="M25" s="1006"/>
      <c r="N25" s="1061">
        <f t="shared" si="2"/>
        <v>0</v>
      </c>
      <c r="O25" s="1062"/>
      <c r="P25" s="1063"/>
      <c r="Q25" s="1060"/>
      <c r="R25" s="1006"/>
      <c r="S25" s="1060"/>
      <c r="T25" s="1006"/>
      <c r="U25" s="1060"/>
      <c r="V25" s="1006"/>
      <c r="W25" s="1060"/>
      <c r="X25" s="1006"/>
      <c r="Y25" s="1061">
        <f t="shared" si="3"/>
        <v>0</v>
      </c>
      <c r="Z25" s="1062"/>
      <c r="AA25" s="1064">
        <f t="shared" si="4"/>
        <v>0</v>
      </c>
      <c r="AB25" s="1065"/>
    </row>
    <row r="26" spans="1:28" hidden="1" outlineLevel="2">
      <c r="A26" s="1056" t="s">
        <v>479</v>
      </c>
      <c r="B26" s="999"/>
      <c r="C26" s="1057"/>
      <c r="D26" s="1058"/>
      <c r="E26" s="1059"/>
      <c r="F26" s="1060"/>
      <c r="G26" s="1004"/>
      <c r="H26" s="1060"/>
      <c r="I26" s="1006"/>
      <c r="J26" s="1060"/>
      <c r="K26" s="1006"/>
      <c r="L26" s="1060"/>
      <c r="M26" s="1006"/>
      <c r="N26" s="1061">
        <f t="shared" si="2"/>
        <v>0</v>
      </c>
      <c r="O26" s="1062"/>
      <c r="P26" s="1063"/>
      <c r="Q26" s="1060"/>
      <c r="R26" s="1006"/>
      <c r="S26" s="1060"/>
      <c r="T26" s="1006"/>
      <c r="U26" s="1060"/>
      <c r="V26" s="1006"/>
      <c r="W26" s="1060"/>
      <c r="X26" s="1006"/>
      <c r="Y26" s="1061">
        <f t="shared" si="3"/>
        <v>0</v>
      </c>
      <c r="Z26" s="1062"/>
      <c r="AA26" s="1064">
        <f t="shared" si="4"/>
        <v>0</v>
      </c>
      <c r="AB26" s="1065"/>
    </row>
    <row r="27" spans="1:28" outlineLevel="1" collapsed="1">
      <c r="A27" s="1056" t="s">
        <v>480</v>
      </c>
      <c r="B27" s="999"/>
      <c r="C27" s="1066"/>
      <c r="D27" s="1067"/>
      <c r="E27" s="1059"/>
      <c r="F27" s="1060"/>
      <c r="G27" s="1004"/>
      <c r="H27" s="1060">
        <f>0.041*H6</f>
        <v>0</v>
      </c>
      <c r="I27" s="1006"/>
      <c r="J27" s="1060"/>
      <c r="K27" s="1006"/>
      <c r="L27" s="1060"/>
      <c r="M27" s="1006"/>
      <c r="N27" s="1061">
        <f t="shared" si="2"/>
        <v>0</v>
      </c>
      <c r="O27" s="1062"/>
      <c r="P27" s="1063"/>
      <c r="Q27" s="1060"/>
      <c r="R27" s="1006"/>
      <c r="S27" s="1060">
        <f>0.041*S6</f>
        <v>0</v>
      </c>
      <c r="T27" s="1006"/>
      <c r="U27" s="1060"/>
      <c r="V27" s="1006"/>
      <c r="W27" s="1060"/>
      <c r="X27" s="1006"/>
      <c r="Y27" s="1061">
        <f t="shared" si="3"/>
        <v>0</v>
      </c>
      <c r="Z27" s="1062"/>
      <c r="AA27" s="1064">
        <f t="shared" si="4"/>
        <v>0</v>
      </c>
      <c r="AB27" s="1065"/>
    </row>
    <row r="28" spans="1:28" outlineLevel="1">
      <c r="A28" s="1056" t="s">
        <v>481</v>
      </c>
      <c r="B28" s="999"/>
      <c r="C28" s="1066"/>
      <c r="D28" s="1067"/>
      <c r="E28" s="1059"/>
      <c r="F28" s="1060"/>
      <c r="G28" s="1004"/>
      <c r="H28" s="1060">
        <f>0.004*H6</f>
        <v>0</v>
      </c>
      <c r="I28" s="1006"/>
      <c r="J28" s="1060"/>
      <c r="K28" s="1006"/>
      <c r="L28" s="1060"/>
      <c r="M28" s="1006"/>
      <c r="N28" s="1061">
        <f t="shared" si="2"/>
        <v>0</v>
      </c>
      <c r="O28" s="1062"/>
      <c r="P28" s="1063"/>
      <c r="Q28" s="1060"/>
      <c r="R28" s="1006"/>
      <c r="S28" s="1060">
        <f>0.004*S6</f>
        <v>0</v>
      </c>
      <c r="T28" s="1006"/>
      <c r="U28" s="1060"/>
      <c r="V28" s="1006"/>
      <c r="W28" s="1060"/>
      <c r="X28" s="1006"/>
      <c r="Y28" s="1061">
        <f t="shared" si="3"/>
        <v>0</v>
      </c>
      <c r="Z28" s="1062"/>
      <c r="AA28" s="1064">
        <f t="shared" si="4"/>
        <v>0</v>
      </c>
      <c r="AB28" s="1065"/>
    </row>
    <row r="29" spans="1:28" outlineLevel="1">
      <c r="A29" s="1068"/>
      <c r="B29" s="1015"/>
      <c r="C29" s="1069"/>
      <c r="D29" s="1070"/>
      <c r="E29" s="1071"/>
      <c r="F29" s="1072"/>
      <c r="G29" s="1020"/>
      <c r="H29" s="1072"/>
      <c r="I29" s="1022"/>
      <c r="J29" s="1072"/>
      <c r="K29" s="1022"/>
      <c r="L29" s="1072"/>
      <c r="M29" s="1022"/>
      <c r="N29" s="1041"/>
      <c r="O29" s="981"/>
      <c r="P29" s="1042"/>
      <c r="Q29" s="1072"/>
      <c r="R29" s="1022"/>
      <c r="S29" s="1072"/>
      <c r="T29" s="1022"/>
      <c r="U29" s="1072"/>
      <c r="V29" s="1022"/>
      <c r="W29" s="1072"/>
      <c r="X29" s="1022"/>
      <c r="Y29" s="1041"/>
      <c r="Z29" s="981"/>
      <c r="AA29" s="1043"/>
      <c r="AB29" s="984"/>
    </row>
    <row r="30" spans="1:28" s="1087" customFormat="1">
      <c r="A30" s="1073" t="s">
        <v>485</v>
      </c>
      <c r="B30" s="1074"/>
      <c r="C30" s="1075" t="s">
        <v>486</v>
      </c>
      <c r="D30" s="1076" t="s">
        <v>487</v>
      </c>
      <c r="E30" s="1077"/>
      <c r="F30" s="1078">
        <f>SUM(F31:F33)</f>
        <v>47767430.25</v>
      </c>
      <c r="G30" s="1079">
        <f t="shared" ref="G30:G56" si="5">IF($F$6=0,0,F30/$F$6)</f>
        <v>106149.845</v>
      </c>
      <c r="H30" s="1078">
        <f>SUM(H31:H33)</f>
        <v>0</v>
      </c>
      <c r="I30" s="1081">
        <f t="shared" ref="I30:I56" si="6">IF($H$6=0,0,H30/$H$6)</f>
        <v>0</v>
      </c>
      <c r="J30" s="1078">
        <f>SUM(J31:J33)</f>
        <v>0</v>
      </c>
      <c r="K30" s="1081">
        <f t="shared" ref="K30:K56" si="7">IF($J$6=0,0,J30/$J$6)</f>
        <v>0</v>
      </c>
      <c r="L30" s="1080">
        <f>SUM(L31:L33)</f>
        <v>0</v>
      </c>
      <c r="M30" s="1081">
        <f t="shared" ref="M30:M56" si="8">IF($L$6=0,0,L30/$L$6)</f>
        <v>0</v>
      </c>
      <c r="N30" s="1082">
        <f t="shared" ref="N30:N48" si="9">F30+H30+J30+L30</f>
        <v>47767430.25</v>
      </c>
      <c r="O30" s="1083">
        <f t="shared" ref="O30:O49" si="10">IF($N$6=0,0,N30/$N$6)</f>
        <v>106149.845</v>
      </c>
      <c r="P30" s="1084"/>
      <c r="Q30" s="1078">
        <f>SUM(Q31:Q33)</f>
        <v>0</v>
      </c>
      <c r="R30" s="1081">
        <f t="shared" ref="R30:R56" si="11">IF($Q$6=0,0,Q30/$Q$6)</f>
        <v>0</v>
      </c>
      <c r="S30" s="1078">
        <f>SUM(S31:S33)</f>
        <v>0</v>
      </c>
      <c r="T30" s="1081">
        <f t="shared" ref="T30:T56" si="12">IF($S$6=0,0,S30/$S$6)</f>
        <v>0</v>
      </c>
      <c r="U30" s="1078">
        <f>SUM(U31:U33)</f>
        <v>0</v>
      </c>
      <c r="V30" s="1081">
        <f t="shared" ref="V30:V56" si="13">IF($U$6=0,0,U30/$U$6)</f>
        <v>0</v>
      </c>
      <c r="W30" s="1080">
        <f>SUM(W31:W33)</f>
        <v>0</v>
      </c>
      <c r="X30" s="1081">
        <f t="shared" ref="X30:X56" si="14">IF($W$6=0,0,W30/$W$6)</f>
        <v>0</v>
      </c>
      <c r="Y30" s="1082">
        <f t="shared" ref="Y30:Y48" si="15">Q30+S30+U30+W30</f>
        <v>0</v>
      </c>
      <c r="Z30" s="1083">
        <f t="shared" ref="Z30:Z47" si="16">IF($Y$6=0,0,Y30/$Y$6)</f>
        <v>0</v>
      </c>
      <c r="AA30" s="1085">
        <f t="shared" ref="AA30:AA47" si="17">N30+Y30</f>
        <v>47767430.25</v>
      </c>
      <c r="AB30" s="1086">
        <f t="shared" ref="AB30:AB49" si="18">IF($AA$6=0,0,AA30/$AA$6)</f>
        <v>106149.845</v>
      </c>
    </row>
    <row r="31" spans="1:28" outlineLevel="1">
      <c r="A31" s="1088" t="s">
        <v>488</v>
      </c>
      <c r="B31" s="1089"/>
      <c r="C31" s="1090"/>
      <c r="D31" s="1091"/>
      <c r="E31" s="1092"/>
      <c r="F31" s="1093">
        <f>F6*F8</f>
        <v>46742051.25</v>
      </c>
      <c r="G31" s="1094">
        <f t="shared" si="5"/>
        <v>103871.22500000001</v>
      </c>
      <c r="H31" s="1093">
        <f>H6*H8</f>
        <v>0</v>
      </c>
      <c r="I31" s="1096">
        <f t="shared" si="6"/>
        <v>0</v>
      </c>
      <c r="J31" s="1093">
        <f>J6*J8</f>
        <v>0</v>
      </c>
      <c r="K31" s="1096">
        <f t="shared" si="7"/>
        <v>0</v>
      </c>
      <c r="L31" s="1095">
        <f>L6*L8</f>
        <v>0</v>
      </c>
      <c r="M31" s="1096">
        <f t="shared" si="8"/>
        <v>0</v>
      </c>
      <c r="N31" s="1097">
        <f t="shared" si="9"/>
        <v>46742051.25</v>
      </c>
      <c r="O31" s="1098">
        <f t="shared" si="10"/>
        <v>103871.22500000001</v>
      </c>
      <c r="P31" s="1099"/>
      <c r="Q31" s="1093">
        <f>Q6*Q8</f>
        <v>0</v>
      </c>
      <c r="R31" s="1096">
        <f t="shared" si="11"/>
        <v>0</v>
      </c>
      <c r="S31" s="1093">
        <f>S6*S8</f>
        <v>0</v>
      </c>
      <c r="T31" s="1096">
        <f t="shared" si="12"/>
        <v>0</v>
      </c>
      <c r="U31" s="1093">
        <f>U6*U8</f>
        <v>0</v>
      </c>
      <c r="V31" s="1096">
        <f t="shared" si="13"/>
        <v>0</v>
      </c>
      <c r="W31" s="1095">
        <f>W6*W8</f>
        <v>0</v>
      </c>
      <c r="X31" s="1096">
        <f t="shared" si="14"/>
        <v>0</v>
      </c>
      <c r="Y31" s="1097">
        <f t="shared" si="15"/>
        <v>0</v>
      </c>
      <c r="Z31" s="1098">
        <f t="shared" si="16"/>
        <v>0</v>
      </c>
      <c r="AA31" s="1100">
        <f t="shared" si="17"/>
        <v>46742051.25</v>
      </c>
      <c r="AB31" s="1101">
        <f t="shared" si="18"/>
        <v>103871.22500000001</v>
      </c>
    </row>
    <row r="32" spans="1:28" outlineLevel="1">
      <c r="A32" s="1088" t="s">
        <v>489</v>
      </c>
      <c r="B32" s="1089"/>
      <c r="C32" s="1102">
        <v>6.2000000000000006E-2</v>
      </c>
      <c r="D32" s="1103">
        <v>33500</v>
      </c>
      <c r="E32" s="1092"/>
      <c r="F32" s="1093">
        <f>F6*$C32*$D32</f>
        <v>934650.00000000012</v>
      </c>
      <c r="G32" s="1094">
        <f t="shared" si="5"/>
        <v>2077.0000000000005</v>
      </c>
      <c r="H32" s="1093">
        <f>H6*$C32*$D32</f>
        <v>0</v>
      </c>
      <c r="I32" s="1096">
        <f t="shared" si="6"/>
        <v>0</v>
      </c>
      <c r="J32" s="1093">
        <f>J6*$C32*$D32</f>
        <v>0</v>
      </c>
      <c r="K32" s="1096">
        <f t="shared" si="7"/>
        <v>0</v>
      </c>
      <c r="L32" s="1095">
        <f>L6*$C32*$D32</f>
        <v>0</v>
      </c>
      <c r="M32" s="1096">
        <f t="shared" si="8"/>
        <v>0</v>
      </c>
      <c r="N32" s="1097">
        <f t="shared" si="9"/>
        <v>934650.00000000012</v>
      </c>
      <c r="O32" s="1098">
        <f t="shared" si="10"/>
        <v>2077.0000000000005</v>
      </c>
      <c r="P32" s="1099"/>
      <c r="Q32" s="1093">
        <f>Q6*$C32*$D32</f>
        <v>0</v>
      </c>
      <c r="R32" s="1096">
        <f t="shared" si="11"/>
        <v>0</v>
      </c>
      <c r="S32" s="1093">
        <f>S6*$C32*$D32</f>
        <v>0</v>
      </c>
      <c r="T32" s="1096">
        <f t="shared" si="12"/>
        <v>0</v>
      </c>
      <c r="U32" s="1093">
        <f>U6*$C32*$D32</f>
        <v>0</v>
      </c>
      <c r="V32" s="1096">
        <f t="shared" si="13"/>
        <v>0</v>
      </c>
      <c r="W32" s="1095">
        <f>W6*$C32*$D32</f>
        <v>0</v>
      </c>
      <c r="X32" s="1096">
        <f t="shared" si="14"/>
        <v>0</v>
      </c>
      <c r="Y32" s="1097">
        <f t="shared" si="15"/>
        <v>0</v>
      </c>
      <c r="Z32" s="1098">
        <f t="shared" si="16"/>
        <v>0</v>
      </c>
      <c r="AA32" s="1100">
        <f t="shared" si="17"/>
        <v>934650.00000000012</v>
      </c>
      <c r="AB32" s="1101">
        <f t="shared" si="18"/>
        <v>2077.0000000000005</v>
      </c>
    </row>
    <row r="33" spans="1:28" outlineLevel="1">
      <c r="A33" s="1104" t="s">
        <v>320</v>
      </c>
      <c r="B33" s="1105"/>
      <c r="C33" s="1106">
        <v>3.4000000000000002E-2</v>
      </c>
      <c r="D33" s="1107">
        <v>5930</v>
      </c>
      <c r="E33" s="1108"/>
      <c r="F33" s="1109">
        <f>F6*$C33*$D33</f>
        <v>90729</v>
      </c>
      <c r="G33" s="1110">
        <f t="shared" si="5"/>
        <v>201.62</v>
      </c>
      <c r="H33" s="1109">
        <f>H6*$C33*$D33</f>
        <v>0</v>
      </c>
      <c r="I33" s="1112">
        <f t="shared" si="6"/>
        <v>0</v>
      </c>
      <c r="J33" s="1109">
        <f>J6*$C33*$D33</f>
        <v>0</v>
      </c>
      <c r="K33" s="1112">
        <f t="shared" si="7"/>
        <v>0</v>
      </c>
      <c r="L33" s="1111">
        <f>L6*$C33*$D33</f>
        <v>0</v>
      </c>
      <c r="M33" s="1112">
        <f t="shared" si="8"/>
        <v>0</v>
      </c>
      <c r="N33" s="1113">
        <f t="shared" si="9"/>
        <v>90729</v>
      </c>
      <c r="O33" s="1114">
        <f t="shared" si="10"/>
        <v>201.62</v>
      </c>
      <c r="P33" s="1115"/>
      <c r="Q33" s="1109">
        <f>Q6*$C33*$D33</f>
        <v>0</v>
      </c>
      <c r="R33" s="1112">
        <f t="shared" si="11"/>
        <v>0</v>
      </c>
      <c r="S33" s="1109">
        <f>S6*$C33*$D33</f>
        <v>0</v>
      </c>
      <c r="T33" s="1112">
        <f t="shared" si="12"/>
        <v>0</v>
      </c>
      <c r="U33" s="1109">
        <f>U6*$C33*$D33</f>
        <v>0</v>
      </c>
      <c r="V33" s="1112">
        <f t="shared" si="13"/>
        <v>0</v>
      </c>
      <c r="W33" s="1111">
        <f>W6*$C33*$D33</f>
        <v>0</v>
      </c>
      <c r="X33" s="1112">
        <f t="shared" si="14"/>
        <v>0</v>
      </c>
      <c r="Y33" s="1113">
        <f t="shared" si="15"/>
        <v>0</v>
      </c>
      <c r="Z33" s="1114">
        <f t="shared" si="16"/>
        <v>0</v>
      </c>
      <c r="AA33" s="1116">
        <f t="shared" si="17"/>
        <v>90729</v>
      </c>
      <c r="AB33" s="1117">
        <f t="shared" si="18"/>
        <v>201.62</v>
      </c>
    </row>
    <row r="34" spans="1:28" s="1087" customFormat="1">
      <c r="A34" s="1118" t="s">
        <v>490</v>
      </c>
      <c r="B34" s="1119"/>
      <c r="C34" s="1120"/>
      <c r="D34" s="1121"/>
      <c r="E34" s="1122"/>
      <c r="F34" s="1123">
        <f>F35</f>
        <v>41283707.865168542</v>
      </c>
      <c r="G34" s="1124">
        <f t="shared" si="5"/>
        <v>91741.573033707871</v>
      </c>
      <c r="H34" s="1123">
        <f>H35</f>
        <v>0</v>
      </c>
      <c r="I34" s="1126">
        <f t="shared" si="6"/>
        <v>0</v>
      </c>
      <c r="J34" s="1123">
        <f>J35</f>
        <v>0</v>
      </c>
      <c r="K34" s="1126">
        <f t="shared" si="7"/>
        <v>0</v>
      </c>
      <c r="L34" s="1125">
        <f>L35</f>
        <v>0</v>
      </c>
      <c r="M34" s="1126">
        <f t="shared" si="8"/>
        <v>0</v>
      </c>
      <c r="N34" s="1127">
        <f t="shared" si="9"/>
        <v>41283707.865168542</v>
      </c>
      <c r="O34" s="1128">
        <f t="shared" si="10"/>
        <v>91741.573033707871</v>
      </c>
      <c r="P34" s="1084"/>
      <c r="Q34" s="1123">
        <f>Q35</f>
        <v>0</v>
      </c>
      <c r="R34" s="1126">
        <f t="shared" si="11"/>
        <v>0</v>
      </c>
      <c r="S34" s="1123">
        <f>S35</f>
        <v>0</v>
      </c>
      <c r="T34" s="1126">
        <f t="shared" si="12"/>
        <v>0</v>
      </c>
      <c r="U34" s="1123">
        <f>U35</f>
        <v>0</v>
      </c>
      <c r="V34" s="1126">
        <f t="shared" si="13"/>
        <v>0</v>
      </c>
      <c r="W34" s="1125">
        <f>W35</f>
        <v>0</v>
      </c>
      <c r="X34" s="1126">
        <f t="shared" si="14"/>
        <v>0</v>
      </c>
      <c r="Y34" s="1127">
        <f t="shared" si="15"/>
        <v>0</v>
      </c>
      <c r="Z34" s="1128">
        <f t="shared" si="16"/>
        <v>0</v>
      </c>
      <c r="AA34" s="1129">
        <f t="shared" si="17"/>
        <v>41283707.865168542</v>
      </c>
      <c r="AB34" s="1130">
        <f t="shared" si="18"/>
        <v>91741.573033707871</v>
      </c>
    </row>
    <row r="35" spans="1:28" s="1087" customFormat="1">
      <c r="A35" s="1131" t="s">
        <v>491</v>
      </c>
      <c r="B35" s="1132"/>
      <c r="C35" s="1133"/>
      <c r="D35" s="1134"/>
      <c r="E35" s="1135"/>
      <c r="F35" s="1136">
        <f>SUM(F36:F43)</f>
        <v>41283707.865168542</v>
      </c>
      <c r="G35" s="1137">
        <f t="shared" si="5"/>
        <v>91741.573033707871</v>
      </c>
      <c r="H35" s="1136">
        <f>SUM(H36:H43)</f>
        <v>0</v>
      </c>
      <c r="I35" s="1139">
        <f t="shared" si="6"/>
        <v>0</v>
      </c>
      <c r="J35" s="1136">
        <f>SUM(J36:J43)</f>
        <v>0</v>
      </c>
      <c r="K35" s="1139">
        <f t="shared" si="7"/>
        <v>0</v>
      </c>
      <c r="L35" s="1138">
        <f>SUM(L36:L43)</f>
        <v>0</v>
      </c>
      <c r="M35" s="1139">
        <f t="shared" si="8"/>
        <v>0</v>
      </c>
      <c r="N35" s="1140">
        <f t="shared" si="9"/>
        <v>41283707.865168542</v>
      </c>
      <c r="O35" s="1141">
        <f t="shared" si="10"/>
        <v>91741.573033707871</v>
      </c>
      <c r="P35" s="1142"/>
      <c r="Q35" s="1136">
        <f>SUM(Q36:Q43)</f>
        <v>0</v>
      </c>
      <c r="R35" s="1139">
        <f t="shared" si="11"/>
        <v>0</v>
      </c>
      <c r="S35" s="1136">
        <f>SUM(S36:S43)</f>
        <v>0</v>
      </c>
      <c r="T35" s="1139">
        <f t="shared" si="12"/>
        <v>0</v>
      </c>
      <c r="U35" s="1136">
        <f>SUM(U36:U43)</f>
        <v>0</v>
      </c>
      <c r="V35" s="1139">
        <f t="shared" si="13"/>
        <v>0</v>
      </c>
      <c r="W35" s="1138">
        <f>SUM(W36:W43)</f>
        <v>0</v>
      </c>
      <c r="X35" s="1139">
        <f t="shared" si="14"/>
        <v>0</v>
      </c>
      <c r="Y35" s="1140">
        <f t="shared" si="15"/>
        <v>0</v>
      </c>
      <c r="Z35" s="1141">
        <f t="shared" si="16"/>
        <v>0</v>
      </c>
      <c r="AA35" s="1143">
        <f t="shared" si="17"/>
        <v>41283707.865168542</v>
      </c>
      <c r="AB35" s="1144">
        <f t="shared" si="18"/>
        <v>91741.573033707871</v>
      </c>
    </row>
    <row r="36" spans="1:28" hidden="1" outlineLevel="1">
      <c r="A36" s="1056" t="s">
        <v>321</v>
      </c>
      <c r="B36" s="999"/>
      <c r="C36" s="1057"/>
      <c r="D36" s="1058"/>
      <c r="E36" s="1145"/>
      <c r="F36" s="1093">
        <f t="shared" ref="F36:F43" si="19">F10*F21</f>
        <v>25595898.876404494</v>
      </c>
      <c r="G36" s="1094">
        <f t="shared" si="5"/>
        <v>56879.775280898873</v>
      </c>
      <c r="H36" s="1093">
        <f t="shared" ref="H36:H43" si="20">H10*H21</f>
        <v>0</v>
      </c>
      <c r="I36" s="1096">
        <f t="shared" si="6"/>
        <v>0</v>
      </c>
      <c r="J36" s="1093">
        <f t="shared" ref="J36:J43" si="21">J10*J21</f>
        <v>0</v>
      </c>
      <c r="K36" s="1096">
        <f t="shared" si="7"/>
        <v>0</v>
      </c>
      <c r="L36" s="1095">
        <f t="shared" ref="L36:L43" si="22">L10*L21</f>
        <v>0</v>
      </c>
      <c r="M36" s="1096">
        <f t="shared" si="8"/>
        <v>0</v>
      </c>
      <c r="N36" s="1097">
        <f t="shared" si="9"/>
        <v>25595898.876404494</v>
      </c>
      <c r="O36" s="1098">
        <f t="shared" si="10"/>
        <v>56879.775280898873</v>
      </c>
      <c r="P36" s="1099"/>
      <c r="Q36" s="1093">
        <f t="shared" ref="Q36:Q43" si="23">Q10*Q21</f>
        <v>0</v>
      </c>
      <c r="R36" s="1096">
        <f t="shared" si="11"/>
        <v>0</v>
      </c>
      <c r="S36" s="1093">
        <f t="shared" ref="S36:S43" si="24">S10*S21</f>
        <v>0</v>
      </c>
      <c r="T36" s="1096">
        <f t="shared" si="12"/>
        <v>0</v>
      </c>
      <c r="U36" s="1093">
        <f t="shared" ref="U36:U43" si="25">U10*U21</f>
        <v>0</v>
      </c>
      <c r="V36" s="1096">
        <f t="shared" si="13"/>
        <v>0</v>
      </c>
      <c r="W36" s="1095">
        <f t="shared" ref="W36:W43" si="26">W10*W21</f>
        <v>0</v>
      </c>
      <c r="X36" s="1096">
        <f t="shared" si="14"/>
        <v>0</v>
      </c>
      <c r="Y36" s="1097">
        <f t="shared" si="15"/>
        <v>0</v>
      </c>
      <c r="Z36" s="1098">
        <f t="shared" si="16"/>
        <v>0</v>
      </c>
      <c r="AA36" s="1100">
        <f t="shared" si="17"/>
        <v>25595898.876404494</v>
      </c>
      <c r="AB36" s="1101">
        <f t="shared" si="18"/>
        <v>56879.775280898873</v>
      </c>
    </row>
    <row r="37" spans="1:28" hidden="1" outlineLevel="1">
      <c r="A37" s="1056" t="s">
        <v>475</v>
      </c>
      <c r="B37" s="999"/>
      <c r="C37" s="1057"/>
      <c r="D37" s="1058"/>
      <c r="E37" s="1145"/>
      <c r="F37" s="1093">
        <f t="shared" si="19"/>
        <v>15687808.988764044</v>
      </c>
      <c r="G37" s="1094">
        <f t="shared" si="5"/>
        <v>34861.797752808983</v>
      </c>
      <c r="H37" s="1093">
        <f t="shared" si="20"/>
        <v>0</v>
      </c>
      <c r="I37" s="1096">
        <f t="shared" si="6"/>
        <v>0</v>
      </c>
      <c r="J37" s="1093">
        <f t="shared" si="21"/>
        <v>0</v>
      </c>
      <c r="K37" s="1096">
        <f t="shared" si="7"/>
        <v>0</v>
      </c>
      <c r="L37" s="1095">
        <f t="shared" si="22"/>
        <v>0</v>
      </c>
      <c r="M37" s="1096">
        <f t="shared" si="8"/>
        <v>0</v>
      </c>
      <c r="N37" s="1097">
        <f t="shared" si="9"/>
        <v>15687808.988764044</v>
      </c>
      <c r="O37" s="1098">
        <f t="shared" si="10"/>
        <v>34861.797752808983</v>
      </c>
      <c r="P37" s="1099"/>
      <c r="Q37" s="1093">
        <f t="shared" si="23"/>
        <v>0</v>
      </c>
      <c r="R37" s="1096">
        <f t="shared" si="11"/>
        <v>0</v>
      </c>
      <c r="S37" s="1093">
        <f t="shared" si="24"/>
        <v>0</v>
      </c>
      <c r="T37" s="1096">
        <f t="shared" si="12"/>
        <v>0</v>
      </c>
      <c r="U37" s="1093">
        <f t="shared" si="25"/>
        <v>0</v>
      </c>
      <c r="V37" s="1096">
        <f t="shared" si="13"/>
        <v>0</v>
      </c>
      <c r="W37" s="1095">
        <f t="shared" si="26"/>
        <v>0</v>
      </c>
      <c r="X37" s="1096">
        <f t="shared" si="14"/>
        <v>0</v>
      </c>
      <c r="Y37" s="1097">
        <f t="shared" si="15"/>
        <v>0</v>
      </c>
      <c r="Z37" s="1098">
        <f t="shared" si="16"/>
        <v>0</v>
      </c>
      <c r="AA37" s="1100">
        <f t="shared" si="17"/>
        <v>15687808.988764044</v>
      </c>
      <c r="AB37" s="1101">
        <f t="shared" si="18"/>
        <v>34861.797752808983</v>
      </c>
    </row>
    <row r="38" spans="1:28" hidden="1" outlineLevel="2">
      <c r="A38" s="1056" t="s">
        <v>476</v>
      </c>
      <c r="B38" s="999"/>
      <c r="C38" s="1057"/>
      <c r="D38" s="1058"/>
      <c r="E38" s="1145"/>
      <c r="F38" s="1093">
        <f t="shared" si="19"/>
        <v>0</v>
      </c>
      <c r="G38" s="1094">
        <f t="shared" si="5"/>
        <v>0</v>
      </c>
      <c r="H38" s="1093">
        <f t="shared" si="20"/>
        <v>0</v>
      </c>
      <c r="I38" s="1096">
        <f t="shared" si="6"/>
        <v>0</v>
      </c>
      <c r="J38" s="1093">
        <f t="shared" si="21"/>
        <v>0</v>
      </c>
      <c r="K38" s="1096">
        <f t="shared" si="7"/>
        <v>0</v>
      </c>
      <c r="L38" s="1095">
        <f t="shared" si="22"/>
        <v>0</v>
      </c>
      <c r="M38" s="1096">
        <f t="shared" si="8"/>
        <v>0</v>
      </c>
      <c r="N38" s="1097">
        <f t="shared" si="9"/>
        <v>0</v>
      </c>
      <c r="O38" s="1098">
        <f t="shared" si="10"/>
        <v>0</v>
      </c>
      <c r="P38" s="1099"/>
      <c r="Q38" s="1093">
        <f t="shared" si="23"/>
        <v>0</v>
      </c>
      <c r="R38" s="1096">
        <f t="shared" si="11"/>
        <v>0</v>
      </c>
      <c r="S38" s="1093">
        <f t="shared" si="24"/>
        <v>0</v>
      </c>
      <c r="T38" s="1096">
        <f t="shared" si="12"/>
        <v>0</v>
      </c>
      <c r="U38" s="1093">
        <f t="shared" si="25"/>
        <v>0</v>
      </c>
      <c r="V38" s="1096">
        <f t="shared" si="13"/>
        <v>0</v>
      </c>
      <c r="W38" s="1095">
        <f t="shared" si="26"/>
        <v>0</v>
      </c>
      <c r="X38" s="1096">
        <f t="shared" si="14"/>
        <v>0</v>
      </c>
      <c r="Y38" s="1097">
        <f t="shared" si="15"/>
        <v>0</v>
      </c>
      <c r="Z38" s="1098">
        <f t="shared" si="16"/>
        <v>0</v>
      </c>
      <c r="AA38" s="1100">
        <f t="shared" si="17"/>
        <v>0</v>
      </c>
      <c r="AB38" s="1101">
        <f t="shared" si="18"/>
        <v>0</v>
      </c>
    </row>
    <row r="39" spans="1:28" hidden="1" outlineLevel="2">
      <c r="A39" s="1056" t="s">
        <v>477</v>
      </c>
      <c r="B39" s="999"/>
      <c r="C39" s="1057"/>
      <c r="D39" s="1058"/>
      <c r="E39" s="1145"/>
      <c r="F39" s="1093">
        <f t="shared" si="19"/>
        <v>0</v>
      </c>
      <c r="G39" s="1094">
        <f t="shared" si="5"/>
        <v>0</v>
      </c>
      <c r="H39" s="1093">
        <f t="shared" si="20"/>
        <v>0</v>
      </c>
      <c r="I39" s="1096">
        <f t="shared" si="6"/>
        <v>0</v>
      </c>
      <c r="J39" s="1093">
        <f t="shared" si="21"/>
        <v>0</v>
      </c>
      <c r="K39" s="1096">
        <f t="shared" si="7"/>
        <v>0</v>
      </c>
      <c r="L39" s="1095">
        <f t="shared" si="22"/>
        <v>0</v>
      </c>
      <c r="M39" s="1096">
        <f t="shared" si="8"/>
        <v>0</v>
      </c>
      <c r="N39" s="1097">
        <f t="shared" si="9"/>
        <v>0</v>
      </c>
      <c r="O39" s="1098">
        <f t="shared" si="10"/>
        <v>0</v>
      </c>
      <c r="P39" s="1099"/>
      <c r="Q39" s="1093">
        <f t="shared" si="23"/>
        <v>0</v>
      </c>
      <c r="R39" s="1096">
        <f t="shared" si="11"/>
        <v>0</v>
      </c>
      <c r="S39" s="1093">
        <f t="shared" si="24"/>
        <v>0</v>
      </c>
      <c r="T39" s="1096">
        <f t="shared" si="12"/>
        <v>0</v>
      </c>
      <c r="U39" s="1093">
        <f t="shared" si="25"/>
        <v>0</v>
      </c>
      <c r="V39" s="1096">
        <f t="shared" si="13"/>
        <v>0</v>
      </c>
      <c r="W39" s="1095">
        <f t="shared" si="26"/>
        <v>0</v>
      </c>
      <c r="X39" s="1096">
        <f t="shared" si="14"/>
        <v>0</v>
      </c>
      <c r="Y39" s="1097">
        <f t="shared" si="15"/>
        <v>0</v>
      </c>
      <c r="Z39" s="1098">
        <f t="shared" si="16"/>
        <v>0</v>
      </c>
      <c r="AA39" s="1100">
        <f t="shared" si="17"/>
        <v>0</v>
      </c>
      <c r="AB39" s="1101">
        <f t="shared" si="18"/>
        <v>0</v>
      </c>
    </row>
    <row r="40" spans="1:28" hidden="1" outlineLevel="2">
      <c r="A40" s="1056" t="s">
        <v>478</v>
      </c>
      <c r="B40" s="999"/>
      <c r="C40" s="1057"/>
      <c r="D40" s="1058"/>
      <c r="E40" s="1145"/>
      <c r="F40" s="1093">
        <f t="shared" si="19"/>
        <v>0</v>
      </c>
      <c r="G40" s="1094">
        <f t="shared" si="5"/>
        <v>0</v>
      </c>
      <c r="H40" s="1093">
        <f t="shared" si="20"/>
        <v>0</v>
      </c>
      <c r="I40" s="1096">
        <f t="shared" si="6"/>
        <v>0</v>
      </c>
      <c r="J40" s="1093">
        <f t="shared" si="21"/>
        <v>0</v>
      </c>
      <c r="K40" s="1096">
        <f t="shared" si="7"/>
        <v>0</v>
      </c>
      <c r="L40" s="1095">
        <f t="shared" si="22"/>
        <v>0</v>
      </c>
      <c r="M40" s="1096">
        <f t="shared" si="8"/>
        <v>0</v>
      </c>
      <c r="N40" s="1097">
        <f t="shared" si="9"/>
        <v>0</v>
      </c>
      <c r="O40" s="1098">
        <f t="shared" si="10"/>
        <v>0</v>
      </c>
      <c r="P40" s="1099"/>
      <c r="Q40" s="1093">
        <f t="shared" si="23"/>
        <v>0</v>
      </c>
      <c r="R40" s="1096">
        <f t="shared" si="11"/>
        <v>0</v>
      </c>
      <c r="S40" s="1093">
        <f t="shared" si="24"/>
        <v>0</v>
      </c>
      <c r="T40" s="1096">
        <f t="shared" si="12"/>
        <v>0</v>
      </c>
      <c r="U40" s="1093">
        <f t="shared" si="25"/>
        <v>0</v>
      </c>
      <c r="V40" s="1096">
        <f t="shared" si="13"/>
        <v>0</v>
      </c>
      <c r="W40" s="1095">
        <f t="shared" si="26"/>
        <v>0</v>
      </c>
      <c r="X40" s="1096">
        <f t="shared" si="14"/>
        <v>0</v>
      </c>
      <c r="Y40" s="1097">
        <f t="shared" si="15"/>
        <v>0</v>
      </c>
      <c r="Z40" s="1098">
        <f t="shared" si="16"/>
        <v>0</v>
      </c>
      <c r="AA40" s="1100">
        <f t="shared" si="17"/>
        <v>0</v>
      </c>
      <c r="AB40" s="1101">
        <f t="shared" si="18"/>
        <v>0</v>
      </c>
    </row>
    <row r="41" spans="1:28" hidden="1" outlineLevel="2">
      <c r="A41" s="1056" t="s">
        <v>479</v>
      </c>
      <c r="B41" s="999"/>
      <c r="C41" s="1057"/>
      <c r="D41" s="1058"/>
      <c r="E41" s="1145"/>
      <c r="F41" s="1093">
        <f t="shared" si="19"/>
        <v>0</v>
      </c>
      <c r="G41" s="1094">
        <f t="shared" si="5"/>
        <v>0</v>
      </c>
      <c r="H41" s="1093">
        <f t="shared" si="20"/>
        <v>0</v>
      </c>
      <c r="I41" s="1096">
        <f t="shared" si="6"/>
        <v>0</v>
      </c>
      <c r="J41" s="1093">
        <f t="shared" si="21"/>
        <v>0</v>
      </c>
      <c r="K41" s="1096">
        <f t="shared" si="7"/>
        <v>0</v>
      </c>
      <c r="L41" s="1095">
        <f t="shared" si="22"/>
        <v>0</v>
      </c>
      <c r="M41" s="1096">
        <f t="shared" si="8"/>
        <v>0</v>
      </c>
      <c r="N41" s="1097">
        <f t="shared" si="9"/>
        <v>0</v>
      </c>
      <c r="O41" s="1098">
        <f t="shared" si="10"/>
        <v>0</v>
      </c>
      <c r="P41" s="1099"/>
      <c r="Q41" s="1093">
        <f t="shared" si="23"/>
        <v>0</v>
      </c>
      <c r="R41" s="1096">
        <f t="shared" si="11"/>
        <v>0</v>
      </c>
      <c r="S41" s="1093">
        <f t="shared" si="24"/>
        <v>0</v>
      </c>
      <c r="T41" s="1096">
        <f t="shared" si="12"/>
        <v>0</v>
      </c>
      <c r="U41" s="1093">
        <f t="shared" si="25"/>
        <v>0</v>
      </c>
      <c r="V41" s="1096">
        <f t="shared" si="13"/>
        <v>0</v>
      </c>
      <c r="W41" s="1095">
        <f t="shared" si="26"/>
        <v>0</v>
      </c>
      <c r="X41" s="1096">
        <f t="shared" si="14"/>
        <v>0</v>
      </c>
      <c r="Y41" s="1097">
        <f t="shared" si="15"/>
        <v>0</v>
      </c>
      <c r="Z41" s="1098">
        <f t="shared" si="16"/>
        <v>0</v>
      </c>
      <c r="AA41" s="1100">
        <f t="shared" si="17"/>
        <v>0</v>
      </c>
      <c r="AB41" s="1101">
        <f t="shared" si="18"/>
        <v>0</v>
      </c>
    </row>
    <row r="42" spans="1:28" hidden="1" outlineLevel="1">
      <c r="A42" s="1056" t="s">
        <v>480</v>
      </c>
      <c r="B42" s="999"/>
      <c r="C42" s="1057"/>
      <c r="D42" s="1058"/>
      <c r="E42" s="1145"/>
      <c r="F42" s="1093">
        <f t="shared" si="19"/>
        <v>0</v>
      </c>
      <c r="G42" s="1094">
        <f t="shared" si="5"/>
        <v>0</v>
      </c>
      <c r="H42" s="1093">
        <f t="shared" si="20"/>
        <v>0</v>
      </c>
      <c r="I42" s="1096">
        <f t="shared" si="6"/>
        <v>0</v>
      </c>
      <c r="J42" s="1093">
        <f t="shared" si="21"/>
        <v>0</v>
      </c>
      <c r="K42" s="1096">
        <f t="shared" si="7"/>
        <v>0</v>
      </c>
      <c r="L42" s="1095">
        <f t="shared" si="22"/>
        <v>0</v>
      </c>
      <c r="M42" s="1096">
        <f t="shared" si="8"/>
        <v>0</v>
      </c>
      <c r="N42" s="1097">
        <f t="shared" si="9"/>
        <v>0</v>
      </c>
      <c r="O42" s="1098">
        <f t="shared" si="10"/>
        <v>0</v>
      </c>
      <c r="P42" s="1099"/>
      <c r="Q42" s="1093">
        <f t="shared" si="23"/>
        <v>0</v>
      </c>
      <c r="R42" s="1096">
        <f t="shared" si="11"/>
        <v>0</v>
      </c>
      <c r="S42" s="1093">
        <f t="shared" si="24"/>
        <v>0</v>
      </c>
      <c r="T42" s="1096">
        <f t="shared" si="12"/>
        <v>0</v>
      </c>
      <c r="U42" s="1093">
        <f t="shared" si="25"/>
        <v>0</v>
      </c>
      <c r="V42" s="1096">
        <f t="shared" si="13"/>
        <v>0</v>
      </c>
      <c r="W42" s="1095">
        <f t="shared" si="26"/>
        <v>0</v>
      </c>
      <c r="X42" s="1096">
        <f t="shared" si="14"/>
        <v>0</v>
      </c>
      <c r="Y42" s="1097">
        <f t="shared" si="15"/>
        <v>0</v>
      </c>
      <c r="Z42" s="1098">
        <f t="shared" si="16"/>
        <v>0</v>
      </c>
      <c r="AA42" s="1100">
        <f t="shared" si="17"/>
        <v>0</v>
      </c>
      <c r="AB42" s="1101">
        <f t="shared" si="18"/>
        <v>0</v>
      </c>
    </row>
    <row r="43" spans="1:28" hidden="1" outlineLevel="1">
      <c r="A43" s="1056" t="s">
        <v>481</v>
      </c>
      <c r="B43" s="999"/>
      <c r="C43" s="1057"/>
      <c r="D43" s="1058"/>
      <c r="E43" s="1145"/>
      <c r="F43" s="1093">
        <f t="shared" si="19"/>
        <v>0</v>
      </c>
      <c r="G43" s="1094">
        <f t="shared" si="5"/>
        <v>0</v>
      </c>
      <c r="H43" s="1093">
        <f t="shared" si="20"/>
        <v>0</v>
      </c>
      <c r="I43" s="1096">
        <f t="shared" si="6"/>
        <v>0</v>
      </c>
      <c r="J43" s="1093">
        <f t="shared" si="21"/>
        <v>0</v>
      </c>
      <c r="K43" s="1096">
        <f t="shared" si="7"/>
        <v>0</v>
      </c>
      <c r="L43" s="1095">
        <f t="shared" si="22"/>
        <v>0</v>
      </c>
      <c r="M43" s="1096">
        <f t="shared" si="8"/>
        <v>0</v>
      </c>
      <c r="N43" s="1097">
        <f t="shared" si="9"/>
        <v>0</v>
      </c>
      <c r="O43" s="1098">
        <f t="shared" si="10"/>
        <v>0</v>
      </c>
      <c r="P43" s="1099"/>
      <c r="Q43" s="1093">
        <f t="shared" si="23"/>
        <v>0</v>
      </c>
      <c r="R43" s="1096">
        <f t="shared" si="11"/>
        <v>0</v>
      </c>
      <c r="S43" s="1093">
        <f t="shared" si="24"/>
        <v>0</v>
      </c>
      <c r="T43" s="1096">
        <f t="shared" si="12"/>
        <v>0</v>
      </c>
      <c r="U43" s="1093">
        <f t="shared" si="25"/>
        <v>0</v>
      </c>
      <c r="V43" s="1096">
        <f t="shared" si="13"/>
        <v>0</v>
      </c>
      <c r="W43" s="1095">
        <f t="shared" si="26"/>
        <v>0</v>
      </c>
      <c r="X43" s="1096">
        <f t="shared" si="14"/>
        <v>0</v>
      </c>
      <c r="Y43" s="1097">
        <f t="shared" si="15"/>
        <v>0</v>
      </c>
      <c r="Z43" s="1098">
        <f t="shared" si="16"/>
        <v>0</v>
      </c>
      <c r="AA43" s="1100">
        <f t="shared" si="17"/>
        <v>0</v>
      </c>
      <c r="AB43" s="1101">
        <f t="shared" si="18"/>
        <v>0</v>
      </c>
    </row>
    <row r="44" spans="1:28" s="1087" customFormat="1">
      <c r="A44" s="1146" t="s">
        <v>492</v>
      </c>
      <c r="B44" s="1147"/>
      <c r="C44" s="1148"/>
      <c r="D44" s="1149"/>
      <c r="E44" s="1150"/>
      <c r="F44" s="1151">
        <f>F30-F34</f>
        <v>6483722.3848314583</v>
      </c>
      <c r="G44" s="1152">
        <f t="shared" si="5"/>
        <v>14408.27196629213</v>
      </c>
      <c r="H44" s="1158">
        <f>H30-H34</f>
        <v>0</v>
      </c>
      <c r="I44" s="1154">
        <f t="shared" si="6"/>
        <v>0</v>
      </c>
      <c r="J44" s="1158">
        <f>J30-J34</f>
        <v>0</v>
      </c>
      <c r="K44" s="1154">
        <f t="shared" si="7"/>
        <v>0</v>
      </c>
      <c r="L44" s="1153">
        <f>L30-L34</f>
        <v>0</v>
      </c>
      <c r="M44" s="1154">
        <f t="shared" si="8"/>
        <v>0</v>
      </c>
      <c r="N44" s="1155">
        <f t="shared" si="9"/>
        <v>6483722.3848314583</v>
      </c>
      <c r="O44" s="1156">
        <f t="shared" si="10"/>
        <v>14408.27196629213</v>
      </c>
      <c r="P44" s="1157"/>
      <c r="Q44" s="1158">
        <f>Q30-Q34</f>
        <v>0</v>
      </c>
      <c r="R44" s="1154">
        <f t="shared" si="11"/>
        <v>0</v>
      </c>
      <c r="S44" s="1158">
        <f>S30-S34</f>
        <v>0</v>
      </c>
      <c r="T44" s="1154">
        <f t="shared" si="12"/>
        <v>0</v>
      </c>
      <c r="U44" s="1158">
        <f>U30-U34</f>
        <v>0</v>
      </c>
      <c r="V44" s="1154">
        <f t="shared" si="13"/>
        <v>0</v>
      </c>
      <c r="W44" s="1153">
        <f>W30-W34</f>
        <v>0</v>
      </c>
      <c r="X44" s="1154">
        <f t="shared" si="14"/>
        <v>0</v>
      </c>
      <c r="Y44" s="1155">
        <f t="shared" si="15"/>
        <v>0</v>
      </c>
      <c r="Z44" s="1156">
        <f t="shared" si="16"/>
        <v>0</v>
      </c>
      <c r="AA44" s="1159">
        <f t="shared" si="17"/>
        <v>6483722.3848314583</v>
      </c>
      <c r="AB44" s="1160">
        <f t="shared" si="18"/>
        <v>14408.27196629213</v>
      </c>
    </row>
    <row r="45" spans="1:28" s="1087" customFormat="1">
      <c r="A45" s="1118" t="s">
        <v>493</v>
      </c>
      <c r="B45" s="1119"/>
      <c r="C45" s="1120"/>
      <c r="D45" s="1121"/>
      <c r="E45" s="1122"/>
      <c r="F45" s="1123">
        <f>F46+F54</f>
        <v>1216691.6666666667</v>
      </c>
      <c r="G45" s="1161">
        <f t="shared" si="5"/>
        <v>2703.7592592592596</v>
      </c>
      <c r="H45" s="1123">
        <f>H46+H54</f>
        <v>0</v>
      </c>
      <c r="I45" s="1126">
        <f t="shared" si="6"/>
        <v>0</v>
      </c>
      <c r="J45" s="1123">
        <f>J46+J54</f>
        <v>0</v>
      </c>
      <c r="K45" s="1126">
        <f t="shared" si="7"/>
        <v>0</v>
      </c>
      <c r="L45" s="1125">
        <f>L46+L54</f>
        <v>0</v>
      </c>
      <c r="M45" s="1126">
        <f t="shared" si="8"/>
        <v>0</v>
      </c>
      <c r="N45" s="1127">
        <f t="shared" si="9"/>
        <v>1216691.6666666667</v>
      </c>
      <c r="O45" s="1128">
        <f t="shared" si="10"/>
        <v>2703.7592592592596</v>
      </c>
      <c r="P45" s="1084"/>
      <c r="Q45" s="1123">
        <f>Q46+Q54</f>
        <v>0</v>
      </c>
      <c r="R45" s="1126">
        <f t="shared" si="11"/>
        <v>0</v>
      </c>
      <c r="S45" s="1123">
        <f>S46+S54</f>
        <v>0</v>
      </c>
      <c r="T45" s="1126">
        <f t="shared" si="12"/>
        <v>0</v>
      </c>
      <c r="U45" s="1123">
        <f>U46+U54</f>
        <v>0</v>
      </c>
      <c r="V45" s="1126">
        <f t="shared" si="13"/>
        <v>0</v>
      </c>
      <c r="W45" s="1125">
        <f>W46+W54</f>
        <v>0</v>
      </c>
      <c r="X45" s="1126">
        <f t="shared" si="14"/>
        <v>0</v>
      </c>
      <c r="Y45" s="1127">
        <f t="shared" si="15"/>
        <v>0</v>
      </c>
      <c r="Z45" s="1128">
        <f t="shared" si="16"/>
        <v>0</v>
      </c>
      <c r="AA45" s="1129">
        <f t="shared" si="17"/>
        <v>1216691.6666666667</v>
      </c>
      <c r="AB45" s="1130">
        <f t="shared" si="18"/>
        <v>2703.7592592592596</v>
      </c>
    </row>
    <row r="46" spans="1:28" s="1087" customFormat="1">
      <c r="A46" s="1162" t="s">
        <v>494</v>
      </c>
      <c r="B46" s="1163"/>
      <c r="C46" s="1164" t="s">
        <v>495</v>
      </c>
      <c r="D46" s="1165" t="s">
        <v>496</v>
      </c>
      <c r="E46" s="1135"/>
      <c r="F46" s="1136">
        <f>F47+F51</f>
        <v>560025</v>
      </c>
      <c r="G46" s="1166">
        <f t="shared" si="5"/>
        <v>1244.5</v>
      </c>
      <c r="H46" s="1136">
        <f>H47+H51</f>
        <v>0</v>
      </c>
      <c r="I46" s="1139">
        <f t="shared" si="6"/>
        <v>0</v>
      </c>
      <c r="J46" s="1136">
        <f>J47+J51</f>
        <v>0</v>
      </c>
      <c r="K46" s="1139">
        <f t="shared" si="7"/>
        <v>0</v>
      </c>
      <c r="L46" s="1138">
        <f>L47+L51</f>
        <v>0</v>
      </c>
      <c r="M46" s="1139">
        <f t="shared" si="8"/>
        <v>0</v>
      </c>
      <c r="N46" s="1167">
        <f t="shared" si="9"/>
        <v>560025</v>
      </c>
      <c r="O46" s="1168">
        <f t="shared" si="10"/>
        <v>1244.5</v>
      </c>
      <c r="P46" s="1169"/>
      <c r="Q46" s="1136">
        <f>Q47+Q51</f>
        <v>0</v>
      </c>
      <c r="R46" s="1139">
        <f t="shared" si="11"/>
        <v>0</v>
      </c>
      <c r="S46" s="1136">
        <f>S47+S51</f>
        <v>0</v>
      </c>
      <c r="T46" s="1139">
        <f t="shared" si="12"/>
        <v>0</v>
      </c>
      <c r="U46" s="1136">
        <f>U47+U51</f>
        <v>0</v>
      </c>
      <c r="V46" s="1139">
        <f t="shared" si="13"/>
        <v>0</v>
      </c>
      <c r="W46" s="1138">
        <f>W47+W51</f>
        <v>0</v>
      </c>
      <c r="X46" s="1139">
        <f t="shared" si="14"/>
        <v>0</v>
      </c>
      <c r="Y46" s="1167">
        <f t="shared" si="15"/>
        <v>0</v>
      </c>
      <c r="Z46" s="1168">
        <f t="shared" si="16"/>
        <v>0</v>
      </c>
      <c r="AA46" s="1170">
        <f t="shared" si="17"/>
        <v>560025</v>
      </c>
      <c r="AB46" s="1171">
        <f t="shared" si="18"/>
        <v>1244.5</v>
      </c>
    </row>
    <row r="47" spans="1:28">
      <c r="A47" s="1172" t="s">
        <v>497</v>
      </c>
      <c r="B47" s="1173"/>
      <c r="C47" s="1174"/>
      <c r="D47" s="1175"/>
      <c r="E47" s="1176"/>
      <c r="F47" s="1177">
        <f>SUM(F48:F50)</f>
        <v>396000</v>
      </c>
      <c r="G47" s="1178">
        <f t="shared" si="5"/>
        <v>880</v>
      </c>
      <c r="H47" s="1177">
        <f>SUM(H48:H50)</f>
        <v>0</v>
      </c>
      <c r="I47" s="1180">
        <f t="shared" si="6"/>
        <v>0</v>
      </c>
      <c r="J47" s="1177">
        <f>SUM(J48:J50)</f>
        <v>0</v>
      </c>
      <c r="K47" s="1180">
        <f t="shared" si="7"/>
        <v>0</v>
      </c>
      <c r="L47" s="1179">
        <f>SUM(L48:L50)</f>
        <v>0</v>
      </c>
      <c r="M47" s="1180">
        <f t="shared" si="8"/>
        <v>0</v>
      </c>
      <c r="N47" s="1181">
        <f t="shared" si="9"/>
        <v>396000</v>
      </c>
      <c r="O47" s="1098">
        <f t="shared" si="10"/>
        <v>880</v>
      </c>
      <c r="P47" s="1099"/>
      <c r="Q47" s="1177">
        <f>SUM(Q48:Q50)</f>
        <v>0</v>
      </c>
      <c r="R47" s="1180">
        <f t="shared" si="11"/>
        <v>0</v>
      </c>
      <c r="S47" s="1177">
        <f>SUM(S48:S50)</f>
        <v>0</v>
      </c>
      <c r="T47" s="1180">
        <f t="shared" si="12"/>
        <v>0</v>
      </c>
      <c r="U47" s="1177">
        <f>SUM(U48:U50)</f>
        <v>0</v>
      </c>
      <c r="V47" s="1180">
        <f t="shared" si="13"/>
        <v>0</v>
      </c>
      <c r="W47" s="1179">
        <f>SUM(W48:W50)</f>
        <v>0</v>
      </c>
      <c r="X47" s="1180">
        <f t="shared" si="14"/>
        <v>0</v>
      </c>
      <c r="Y47" s="1181">
        <f t="shared" si="15"/>
        <v>0</v>
      </c>
      <c r="Z47" s="1098">
        <f t="shared" si="16"/>
        <v>0</v>
      </c>
      <c r="AA47" s="1182">
        <f t="shared" si="17"/>
        <v>396000</v>
      </c>
      <c r="AB47" s="1101">
        <f t="shared" si="18"/>
        <v>880</v>
      </c>
    </row>
    <row r="48" spans="1:28" hidden="1" outlineLevel="1">
      <c r="A48" s="1183" t="s">
        <v>498</v>
      </c>
      <c r="B48" s="1184"/>
      <c r="C48" s="1057">
        <v>1050</v>
      </c>
      <c r="D48" s="1058">
        <v>800</v>
      </c>
      <c r="E48" s="1185"/>
      <c r="F48" s="1186">
        <f>IF(F$6=0,0,F6*$D$48)</f>
        <v>360000</v>
      </c>
      <c r="G48" s="1187">
        <f t="shared" si="5"/>
        <v>800</v>
      </c>
      <c r="H48" s="1186">
        <f>IF(H$6=0,0,H6*$C$48)</f>
        <v>0</v>
      </c>
      <c r="I48" s="1096">
        <f t="shared" si="6"/>
        <v>0</v>
      </c>
      <c r="J48" s="1186">
        <f>IF(J$6=0,0,J6*$C$48)</f>
        <v>0</v>
      </c>
      <c r="K48" s="1096">
        <f t="shared" si="7"/>
        <v>0</v>
      </c>
      <c r="L48" s="1188">
        <f>IF(L$6=0,0,L6*$C$48)</f>
        <v>0</v>
      </c>
      <c r="M48" s="1096">
        <f t="shared" si="8"/>
        <v>0</v>
      </c>
      <c r="N48" s="1189">
        <f t="shared" si="9"/>
        <v>360000</v>
      </c>
      <c r="O48" s="1098">
        <f t="shared" si="10"/>
        <v>800</v>
      </c>
      <c r="P48" s="1099"/>
      <c r="Q48" s="1186"/>
      <c r="R48" s="1096">
        <f t="shared" si="11"/>
        <v>0</v>
      </c>
      <c r="S48" s="1186"/>
      <c r="T48" s="1096">
        <f t="shared" si="12"/>
        <v>0</v>
      </c>
      <c r="U48" s="1186"/>
      <c r="V48" s="1096">
        <f t="shared" si="13"/>
        <v>0</v>
      </c>
      <c r="W48" s="1188"/>
      <c r="X48" s="1096">
        <f t="shared" si="14"/>
        <v>0</v>
      </c>
      <c r="Y48" s="1189">
        <f t="shared" si="15"/>
        <v>0</v>
      </c>
      <c r="Z48" s="1098"/>
      <c r="AA48" s="1182"/>
      <c r="AB48" s="1101">
        <f t="shared" si="18"/>
        <v>0</v>
      </c>
    </row>
    <row r="49" spans="1:28" hidden="1" outlineLevel="1">
      <c r="A49" s="1183" t="s">
        <v>499</v>
      </c>
      <c r="B49" s="1184"/>
      <c r="C49" s="1057">
        <v>1050</v>
      </c>
      <c r="D49" s="1058">
        <v>800</v>
      </c>
      <c r="E49" s="1185"/>
      <c r="F49" s="1186"/>
      <c r="G49" s="1187">
        <f t="shared" si="5"/>
        <v>0</v>
      </c>
      <c r="H49" s="1186"/>
      <c r="I49" s="1096">
        <f t="shared" si="6"/>
        <v>0</v>
      </c>
      <c r="J49" s="1186"/>
      <c r="K49" s="1096">
        <f t="shared" si="7"/>
        <v>0</v>
      </c>
      <c r="L49" s="1188"/>
      <c r="M49" s="1096">
        <f t="shared" si="8"/>
        <v>0</v>
      </c>
      <c r="N49" s="1189"/>
      <c r="O49" s="1098">
        <f t="shared" si="10"/>
        <v>0</v>
      </c>
      <c r="P49" s="1099"/>
      <c r="Q49" s="1186">
        <f>IF(Q$6=0,0,Q6*$D$49)</f>
        <v>0</v>
      </c>
      <c r="R49" s="1096">
        <f t="shared" si="11"/>
        <v>0</v>
      </c>
      <c r="S49" s="1186">
        <f>IF(S$6=0,0,S6*$C$49)</f>
        <v>0</v>
      </c>
      <c r="T49" s="1096">
        <f t="shared" si="12"/>
        <v>0</v>
      </c>
      <c r="U49" s="1186">
        <f>IF(U$6=0,0,U6*$C$49)</f>
        <v>0</v>
      </c>
      <c r="V49" s="1096">
        <f t="shared" si="13"/>
        <v>0</v>
      </c>
      <c r="W49" s="1188">
        <f>IF(W$6=0,0,W6*$C$49)</f>
        <v>0</v>
      </c>
      <c r="X49" s="1096">
        <f t="shared" si="14"/>
        <v>0</v>
      </c>
      <c r="Y49" s="1189"/>
      <c r="Z49" s="1098"/>
      <c r="AA49" s="1182"/>
      <c r="AB49" s="1101">
        <f t="shared" si="18"/>
        <v>0</v>
      </c>
    </row>
    <row r="50" spans="1:28" hidden="1" outlineLevel="1">
      <c r="A50" s="1183" t="s">
        <v>500</v>
      </c>
      <c r="B50" s="1184"/>
      <c r="C50" s="1190">
        <v>0.1</v>
      </c>
      <c r="D50" s="1058"/>
      <c r="E50" s="1185"/>
      <c r="F50" s="1186">
        <f>(F48+F49)*$C$50</f>
        <v>36000</v>
      </c>
      <c r="G50" s="1187">
        <f t="shared" si="5"/>
        <v>80</v>
      </c>
      <c r="H50" s="1186">
        <f>(H48+H49)*$C$50</f>
        <v>0</v>
      </c>
      <c r="I50" s="1096">
        <f t="shared" si="6"/>
        <v>0</v>
      </c>
      <c r="J50" s="1186">
        <f>(J48+J49)*$C$50</f>
        <v>0</v>
      </c>
      <c r="K50" s="1096">
        <f t="shared" si="7"/>
        <v>0</v>
      </c>
      <c r="L50" s="1188">
        <f>(L48+L49)*$C$50</f>
        <v>0</v>
      </c>
      <c r="M50" s="1096">
        <f t="shared" si="8"/>
        <v>0</v>
      </c>
      <c r="N50" s="1189">
        <f>F50+H50+J50+L50</f>
        <v>36000</v>
      </c>
      <c r="O50" s="1098"/>
      <c r="P50" s="1099"/>
      <c r="Q50" s="1186">
        <f>(Q48+Q49)*$C$50</f>
        <v>0</v>
      </c>
      <c r="R50" s="1096">
        <f t="shared" si="11"/>
        <v>0</v>
      </c>
      <c r="S50" s="1186">
        <f>(S48+S49)*$C$50</f>
        <v>0</v>
      </c>
      <c r="T50" s="1096">
        <f t="shared" si="12"/>
        <v>0</v>
      </c>
      <c r="U50" s="1186">
        <f>(U48+U49)*$C$50</f>
        <v>0</v>
      </c>
      <c r="V50" s="1096">
        <f t="shared" si="13"/>
        <v>0</v>
      </c>
      <c r="W50" s="1188">
        <f>(W48+W49)*$C$50</f>
        <v>0</v>
      </c>
      <c r="X50" s="1096">
        <f t="shared" si="14"/>
        <v>0</v>
      </c>
      <c r="Y50" s="1189">
        <f>Q50+S50+U50+W50</f>
        <v>0</v>
      </c>
      <c r="Z50" s="1098"/>
      <c r="AA50" s="1182"/>
      <c r="AB50" s="1101"/>
    </row>
    <row r="51" spans="1:28">
      <c r="A51" s="1172" t="s">
        <v>26</v>
      </c>
      <c r="B51" s="1191"/>
      <c r="C51" s="1174"/>
      <c r="D51" s="1175"/>
      <c r="E51" s="1176"/>
      <c r="F51" s="1177">
        <f>F6*$D$52*$C$52</f>
        <v>164025</v>
      </c>
      <c r="G51" s="1178">
        <f t="shared" si="5"/>
        <v>364.5</v>
      </c>
      <c r="H51" s="1177">
        <f>H6*$D$52*$C$52</f>
        <v>0</v>
      </c>
      <c r="I51" s="1180">
        <f t="shared" si="6"/>
        <v>0</v>
      </c>
      <c r="J51" s="1177">
        <f>J6*$D$52*$C$52</f>
        <v>0</v>
      </c>
      <c r="K51" s="1180">
        <f t="shared" si="7"/>
        <v>0</v>
      </c>
      <c r="L51" s="1179">
        <f>L6*$D$52*$C$52</f>
        <v>0</v>
      </c>
      <c r="M51" s="1180">
        <f t="shared" si="8"/>
        <v>0</v>
      </c>
      <c r="N51" s="1181">
        <f>F51+H51+J51+L51</f>
        <v>164025</v>
      </c>
      <c r="O51" s="1098">
        <f t="shared" ref="O51:O56" si="27">IF($N$6=0,0,N51/$N$6)</f>
        <v>364.5</v>
      </c>
      <c r="P51" s="1099"/>
      <c r="Q51" s="1177">
        <f>Q6*$D$53*$C$53</f>
        <v>0</v>
      </c>
      <c r="R51" s="1180">
        <f t="shared" si="11"/>
        <v>0</v>
      </c>
      <c r="S51" s="1177">
        <f>S6*$D$53*$C$53</f>
        <v>0</v>
      </c>
      <c r="T51" s="1180">
        <f t="shared" si="12"/>
        <v>0</v>
      </c>
      <c r="U51" s="1177">
        <f>U6*$D$53*$C$53</f>
        <v>0</v>
      </c>
      <c r="V51" s="1180">
        <f t="shared" si="13"/>
        <v>0</v>
      </c>
      <c r="W51" s="1179">
        <f>W6*$D$53*$C$53</f>
        <v>0</v>
      </c>
      <c r="X51" s="1180">
        <f t="shared" si="14"/>
        <v>0</v>
      </c>
      <c r="Y51" s="1181">
        <f>Q51+S51+U51+W51</f>
        <v>0</v>
      </c>
      <c r="Z51" s="1098">
        <f>IF($Y$6=0,0,Y51/$Y$6)</f>
        <v>0</v>
      </c>
      <c r="AA51" s="1182">
        <f>N51+Y51</f>
        <v>164025</v>
      </c>
      <c r="AB51" s="1101">
        <f t="shared" ref="AB51:AB56" si="28">IF($AA$6=0,0,AA51/$AA$6)</f>
        <v>364.5</v>
      </c>
    </row>
    <row r="52" spans="1:28" hidden="1" outlineLevel="1">
      <c r="A52" s="1183" t="s">
        <v>501</v>
      </c>
      <c r="B52" s="1192"/>
      <c r="C52" s="1057">
        <v>90</v>
      </c>
      <c r="D52" s="1058">
        <v>4.05</v>
      </c>
      <c r="E52" s="1193"/>
      <c r="F52" s="1186"/>
      <c r="G52" s="1187">
        <f t="shared" si="5"/>
        <v>0</v>
      </c>
      <c r="H52" s="1186"/>
      <c r="I52" s="1194">
        <f t="shared" si="6"/>
        <v>0</v>
      </c>
      <c r="J52" s="1186"/>
      <c r="K52" s="1194">
        <f t="shared" si="7"/>
        <v>0</v>
      </c>
      <c r="L52" s="1188"/>
      <c r="M52" s="1194">
        <f t="shared" si="8"/>
        <v>0</v>
      </c>
      <c r="N52" s="1189"/>
      <c r="O52" s="1098">
        <f t="shared" si="27"/>
        <v>0</v>
      </c>
      <c r="P52" s="1195"/>
      <c r="Q52" s="1196"/>
      <c r="R52" s="1194">
        <f t="shared" si="11"/>
        <v>0</v>
      </c>
      <c r="S52" s="1196"/>
      <c r="T52" s="1194">
        <f t="shared" si="12"/>
        <v>0</v>
      </c>
      <c r="U52" s="1196"/>
      <c r="V52" s="1194">
        <f t="shared" si="13"/>
        <v>0</v>
      </c>
      <c r="W52" s="1197"/>
      <c r="X52" s="1194">
        <f t="shared" si="14"/>
        <v>0</v>
      </c>
      <c r="Y52" s="1189"/>
      <c r="Z52" s="1098"/>
      <c r="AA52" s="1182"/>
      <c r="AB52" s="1101">
        <f t="shared" si="28"/>
        <v>0</v>
      </c>
    </row>
    <row r="53" spans="1:28" hidden="1" outlineLevel="1">
      <c r="A53" s="1183" t="s">
        <v>502</v>
      </c>
      <c r="B53" s="1192"/>
      <c r="C53" s="1057">
        <v>180</v>
      </c>
      <c r="D53" s="1058">
        <v>4.05</v>
      </c>
      <c r="E53" s="1193"/>
      <c r="F53" s="1186"/>
      <c r="G53" s="1187">
        <f t="shared" si="5"/>
        <v>0</v>
      </c>
      <c r="H53" s="1196"/>
      <c r="I53" s="1194">
        <f t="shared" si="6"/>
        <v>0</v>
      </c>
      <c r="J53" s="1196"/>
      <c r="K53" s="1194">
        <f t="shared" si="7"/>
        <v>0</v>
      </c>
      <c r="L53" s="1197"/>
      <c r="M53" s="1194">
        <f t="shared" si="8"/>
        <v>0</v>
      </c>
      <c r="N53" s="1189"/>
      <c r="O53" s="1098">
        <f t="shared" si="27"/>
        <v>0</v>
      </c>
      <c r="P53" s="1195"/>
      <c r="Q53" s="1196"/>
      <c r="R53" s="1194">
        <f t="shared" si="11"/>
        <v>0</v>
      </c>
      <c r="S53" s="1196"/>
      <c r="T53" s="1194">
        <f t="shared" si="12"/>
        <v>0</v>
      </c>
      <c r="U53" s="1196"/>
      <c r="V53" s="1194">
        <f t="shared" si="13"/>
        <v>0</v>
      </c>
      <c r="W53" s="1197"/>
      <c r="X53" s="1194">
        <f t="shared" si="14"/>
        <v>0</v>
      </c>
      <c r="Y53" s="1189"/>
      <c r="Z53" s="1098"/>
      <c r="AA53" s="1182"/>
      <c r="AB53" s="1101">
        <f t="shared" si="28"/>
        <v>0</v>
      </c>
    </row>
    <row r="54" spans="1:28">
      <c r="A54" s="1198" t="s">
        <v>28</v>
      </c>
      <c r="B54" s="1199">
        <f>SUM(B55:B56)</f>
        <v>0</v>
      </c>
      <c r="C54" s="1200"/>
      <c r="D54" s="1201"/>
      <c r="E54" s="1145"/>
      <c r="F54" s="1136">
        <f>SUM(F55:F56)</f>
        <v>656666.66666666674</v>
      </c>
      <c r="G54" s="1166">
        <f t="shared" si="5"/>
        <v>1459.2592592592594</v>
      </c>
      <c r="H54" s="1136">
        <f>SUM(H55:H56)</f>
        <v>0</v>
      </c>
      <c r="I54" s="1139">
        <f t="shared" si="6"/>
        <v>0</v>
      </c>
      <c r="J54" s="1136">
        <f>SUM(J55:J56)</f>
        <v>0</v>
      </c>
      <c r="K54" s="1139">
        <f t="shared" si="7"/>
        <v>0</v>
      </c>
      <c r="L54" s="1138">
        <f>SUM(L55:L56)</f>
        <v>0</v>
      </c>
      <c r="M54" s="1139">
        <f t="shared" si="8"/>
        <v>0</v>
      </c>
      <c r="N54" s="1140">
        <f>F54+H54+J54+L54</f>
        <v>656666.66666666674</v>
      </c>
      <c r="O54" s="1141">
        <f t="shared" si="27"/>
        <v>1459.2592592592594</v>
      </c>
      <c r="P54" s="1099"/>
      <c r="Q54" s="1136">
        <f>SUM(Q55:Q56)</f>
        <v>0</v>
      </c>
      <c r="R54" s="1139">
        <f t="shared" si="11"/>
        <v>0</v>
      </c>
      <c r="S54" s="1136">
        <f>SUM(S55:S56)</f>
        <v>0</v>
      </c>
      <c r="T54" s="1139">
        <f t="shared" si="12"/>
        <v>0</v>
      </c>
      <c r="U54" s="1136">
        <f>SUM(U55:U56)</f>
        <v>0</v>
      </c>
      <c r="V54" s="1139">
        <f t="shared" si="13"/>
        <v>0</v>
      </c>
      <c r="W54" s="1138">
        <f>SUM(W55:W56)</f>
        <v>0</v>
      </c>
      <c r="X54" s="1139">
        <f t="shared" si="14"/>
        <v>0</v>
      </c>
      <c r="Y54" s="1140">
        <f>Q54+S54+U54+W54</f>
        <v>0</v>
      </c>
      <c r="Z54" s="1141">
        <f>IF($Y$6=0,0,Y54/$Y$6)</f>
        <v>0</v>
      </c>
      <c r="AA54" s="1143">
        <f>N54+Y54</f>
        <v>656666.66666666674</v>
      </c>
      <c r="AB54" s="1202">
        <f t="shared" si="28"/>
        <v>1459.2592592592594</v>
      </c>
    </row>
    <row r="55" spans="1:28">
      <c r="A55" s="1203" t="s">
        <v>29</v>
      </c>
      <c r="B55" s="1204"/>
      <c r="C55" s="1205"/>
      <c r="D55" s="1206">
        <v>1.6E-2</v>
      </c>
      <c r="E55" s="1207"/>
      <c r="F55" s="1208"/>
      <c r="G55" s="1209">
        <f t="shared" si="5"/>
        <v>0</v>
      </c>
      <c r="H55" s="1208"/>
      <c r="I55" s="1006">
        <f t="shared" si="6"/>
        <v>0</v>
      </c>
      <c r="J55" s="1208"/>
      <c r="K55" s="1006">
        <f t="shared" si="7"/>
        <v>0</v>
      </c>
      <c r="L55" s="1208">
        <f>IF(L8="",0,L8*$D55*L6)</f>
        <v>0</v>
      </c>
      <c r="M55" s="1006">
        <f t="shared" si="8"/>
        <v>0</v>
      </c>
      <c r="N55" s="1097">
        <f>F55+H55+J55+L55</f>
        <v>0</v>
      </c>
      <c r="O55" s="1098">
        <f t="shared" si="27"/>
        <v>0</v>
      </c>
      <c r="P55" s="1099"/>
      <c r="Q55" s="1208"/>
      <c r="R55" s="1006">
        <f t="shared" si="11"/>
        <v>0</v>
      </c>
      <c r="S55" s="1208"/>
      <c r="T55" s="1006">
        <f t="shared" si="12"/>
        <v>0</v>
      </c>
      <c r="U55" s="1208"/>
      <c r="V55" s="1006">
        <f t="shared" si="13"/>
        <v>0</v>
      </c>
      <c r="W55" s="1208">
        <f>IF(W8="",0,W8*$D55*W6)</f>
        <v>0</v>
      </c>
      <c r="X55" s="1006">
        <f t="shared" si="14"/>
        <v>0</v>
      </c>
      <c r="Y55" s="1097">
        <f>Q55+S55+U55+W55</f>
        <v>0</v>
      </c>
      <c r="Z55" s="1098">
        <f>IF($Y$6=0,0,Y55/$Y$6)</f>
        <v>0</v>
      </c>
      <c r="AA55" s="1100">
        <f>N55+Y55</f>
        <v>0</v>
      </c>
      <c r="AB55" s="1101">
        <f t="shared" si="28"/>
        <v>0</v>
      </c>
    </row>
    <row r="56" spans="1:28">
      <c r="A56" s="1210" t="s">
        <v>30</v>
      </c>
      <c r="B56" s="1211"/>
      <c r="C56" s="973"/>
      <c r="D56" s="1212">
        <v>1519</v>
      </c>
      <c r="E56" s="1145"/>
      <c r="F56" s="1324">
        <f>F6/27*F62</f>
        <v>656666.66666666674</v>
      </c>
      <c r="G56" s="1325">
        <f t="shared" si="5"/>
        <v>1459.2592592592594</v>
      </c>
      <c r="H56" s="1213">
        <f>(H57*H58-H60)*(H6/H59)</f>
        <v>0</v>
      </c>
      <c r="I56" s="1006">
        <f t="shared" si="6"/>
        <v>0</v>
      </c>
      <c r="J56" s="1213">
        <f>(J57*J58-J60)*(J6/J59)</f>
        <v>0</v>
      </c>
      <c r="K56" s="1006">
        <f t="shared" si="7"/>
        <v>0</v>
      </c>
      <c r="L56" s="1326">
        <f>L6/27*L62</f>
        <v>0</v>
      </c>
      <c r="M56" s="1214">
        <f t="shared" si="8"/>
        <v>0</v>
      </c>
      <c r="N56" s="1215">
        <f>F56+H56+J56+L56</f>
        <v>656666.66666666674</v>
      </c>
      <c r="O56" s="1216">
        <f t="shared" si="27"/>
        <v>1459.2592592592594</v>
      </c>
      <c r="P56" s="1195"/>
      <c r="Q56" s="1213">
        <f>Q6/27*Q62</f>
        <v>0</v>
      </c>
      <c r="R56" s="1006">
        <f t="shared" si="11"/>
        <v>0</v>
      </c>
      <c r="S56" s="1213">
        <f>(S57*S58-S60)*(S6/S59)</f>
        <v>0</v>
      </c>
      <c r="T56" s="1006">
        <f t="shared" si="12"/>
        <v>0</v>
      </c>
      <c r="U56" s="1213">
        <f>(U57*U58-U60)*(U6/U59)</f>
        <v>0</v>
      </c>
      <c r="V56" s="1006">
        <f t="shared" si="13"/>
        <v>0</v>
      </c>
      <c r="W56" s="1326">
        <f>W6/27*W62</f>
        <v>0</v>
      </c>
      <c r="X56" s="1214">
        <f t="shared" si="14"/>
        <v>0</v>
      </c>
      <c r="Y56" s="1215">
        <f>Q56+S56+U56+W56</f>
        <v>0</v>
      </c>
      <c r="Z56" s="1216">
        <f>IF($Y$6=0,0,Y56/$Y$6)</f>
        <v>0</v>
      </c>
      <c r="AA56" s="1217">
        <f>N56+Y56</f>
        <v>656666.66666666674</v>
      </c>
      <c r="AB56" s="1218">
        <f t="shared" si="28"/>
        <v>1459.2592592592594</v>
      </c>
    </row>
    <row r="57" spans="1:28" s="1232" customFormat="1" outlineLevel="1">
      <c r="A57" s="1219" t="s">
        <v>503</v>
      </c>
      <c r="B57" s="1219"/>
      <c r="C57" s="1220"/>
      <c r="D57" s="1221"/>
      <c r="E57" s="1327"/>
      <c r="F57" s="1328">
        <v>1000</v>
      </c>
      <c r="G57" s="1329"/>
      <c r="H57" s="1222">
        <v>1370</v>
      </c>
      <c r="I57" s="1228"/>
      <c r="J57" s="1222">
        <v>750</v>
      </c>
      <c r="K57" s="1228"/>
      <c r="L57" s="1223"/>
      <c r="M57" s="1224"/>
      <c r="N57" s="1225"/>
      <c r="O57" s="1226"/>
      <c r="P57" s="1227"/>
      <c r="Q57" s="1222">
        <v>1000</v>
      </c>
      <c r="R57" s="1228"/>
      <c r="S57" s="1222">
        <v>1370</v>
      </c>
      <c r="T57" s="1228"/>
      <c r="U57" s="1222">
        <v>750</v>
      </c>
      <c r="V57" s="1228"/>
      <c r="W57" s="1223"/>
      <c r="X57" s="1224"/>
      <c r="Y57" s="1225"/>
      <c r="Z57" s="1229"/>
      <c r="AA57" s="1230"/>
      <c r="AB57" s="1231"/>
    </row>
    <row r="58" spans="1:28" s="1248" customFormat="1" outlineLevel="1">
      <c r="A58" s="1233" t="s">
        <v>504</v>
      </c>
      <c r="B58" s="1233"/>
      <c r="C58" s="1234"/>
      <c r="D58" s="1235"/>
      <c r="E58" s="1236"/>
      <c r="F58" s="1237">
        <v>25</v>
      </c>
      <c r="G58" s="1238"/>
      <c r="H58" s="1237">
        <v>25</v>
      </c>
      <c r="I58" s="1244"/>
      <c r="J58" s="1237">
        <v>25</v>
      </c>
      <c r="K58" s="1244"/>
      <c r="L58" s="1239"/>
      <c r="M58" s="1240"/>
      <c r="N58" s="1241"/>
      <c r="O58" s="1242"/>
      <c r="P58" s="1243"/>
      <c r="Q58" s="1237">
        <v>25</v>
      </c>
      <c r="R58" s="1244"/>
      <c r="S58" s="1237">
        <v>25</v>
      </c>
      <c r="T58" s="1244"/>
      <c r="U58" s="1237">
        <v>25</v>
      </c>
      <c r="V58" s="1244"/>
      <c r="W58" s="1239"/>
      <c r="X58" s="1240"/>
      <c r="Y58" s="1241"/>
      <c r="Z58" s="1245"/>
      <c r="AA58" s="1246"/>
      <c r="AB58" s="1247"/>
    </row>
    <row r="59" spans="1:28" s="1248" customFormat="1" ht="33.75" outlineLevel="1">
      <c r="A59" s="1249" t="s">
        <v>505</v>
      </c>
      <c r="B59" s="1249"/>
      <c r="C59" s="1250"/>
      <c r="D59" s="1251"/>
      <c r="E59" s="1236"/>
      <c r="F59" s="1252">
        <v>21</v>
      </c>
      <c r="G59" s="1253"/>
      <c r="H59" s="1252">
        <v>25</v>
      </c>
      <c r="I59" s="1259"/>
      <c r="J59" s="1252">
        <v>25</v>
      </c>
      <c r="K59" s="1259"/>
      <c r="L59" s="1254">
        <v>27</v>
      </c>
      <c r="M59" s="1255"/>
      <c r="N59" s="1256"/>
      <c r="O59" s="1257"/>
      <c r="P59" s="1258"/>
      <c r="Q59" s="1252">
        <v>21</v>
      </c>
      <c r="R59" s="1259"/>
      <c r="S59" s="1252">
        <v>25</v>
      </c>
      <c r="T59" s="1259"/>
      <c r="U59" s="1252">
        <v>25</v>
      </c>
      <c r="V59" s="1259"/>
      <c r="W59" s="1254">
        <v>27</v>
      </c>
      <c r="X59" s="1255"/>
      <c r="Y59" s="1256"/>
      <c r="Z59" s="1260"/>
      <c r="AA59" s="1261"/>
      <c r="AB59" s="1262"/>
    </row>
    <row r="60" spans="1:28" s="1277" customFormat="1" outlineLevel="1">
      <c r="A60" s="1263" t="s">
        <v>506</v>
      </c>
      <c r="B60" s="1263"/>
      <c r="C60" s="1264"/>
      <c r="D60" s="1265"/>
      <c r="E60" s="1278"/>
      <c r="F60" s="1266">
        <v>15000</v>
      </c>
      <c r="G60" s="1267"/>
      <c r="H60" s="1266">
        <v>10500</v>
      </c>
      <c r="I60" s="1273"/>
      <c r="J60" s="1266">
        <v>10500</v>
      </c>
      <c r="K60" s="1273"/>
      <c r="L60" s="1268"/>
      <c r="M60" s="1269"/>
      <c r="N60" s="1270"/>
      <c r="O60" s="1271"/>
      <c r="P60" s="1272"/>
      <c r="Q60" s="1266">
        <v>15000</v>
      </c>
      <c r="R60" s="1273"/>
      <c r="S60" s="1266">
        <v>10500</v>
      </c>
      <c r="T60" s="1273"/>
      <c r="U60" s="1266">
        <v>10500</v>
      </c>
      <c r="V60" s="1273"/>
      <c r="W60" s="1268"/>
      <c r="X60" s="1269"/>
      <c r="Y60" s="1270"/>
      <c r="Z60" s="1274"/>
      <c r="AA60" s="1275"/>
      <c r="AB60" s="1276"/>
    </row>
    <row r="61" spans="1:28" s="1277" customFormat="1" outlineLevel="1">
      <c r="A61" s="1249" t="s">
        <v>507</v>
      </c>
      <c r="B61" s="1249"/>
      <c r="C61" s="1250"/>
      <c r="D61" s="1251"/>
      <c r="E61" s="1236"/>
      <c r="F61" s="1252"/>
      <c r="G61" s="1253"/>
      <c r="H61" s="1252"/>
      <c r="I61" s="1259"/>
      <c r="J61" s="1252"/>
      <c r="K61" s="1259"/>
      <c r="L61" s="1254">
        <f>ROUND(L6/L59,0)</f>
        <v>0</v>
      </c>
      <c r="M61" s="1255"/>
      <c r="N61" s="1256"/>
      <c r="O61" s="1257"/>
      <c r="P61" s="1258"/>
      <c r="Q61" s="1252"/>
      <c r="R61" s="1259"/>
      <c r="S61" s="1252"/>
      <c r="T61" s="1259"/>
      <c r="U61" s="1252"/>
      <c r="V61" s="1259"/>
      <c r="W61" s="1254">
        <f>ROUND(W6/W59,0)</f>
        <v>0</v>
      </c>
      <c r="X61" s="1255"/>
      <c r="Y61" s="1256"/>
      <c r="Z61" s="1260"/>
      <c r="AA61" s="1261"/>
      <c r="AB61" s="1262"/>
    </row>
    <row r="62" spans="1:28" s="1277" customFormat="1" outlineLevel="1">
      <c r="A62" s="1263" t="s">
        <v>508</v>
      </c>
      <c r="B62" s="1263"/>
      <c r="C62" s="1264"/>
      <c r="D62" s="1265">
        <v>39400</v>
      </c>
      <c r="E62" s="1278"/>
      <c r="F62" s="1266">
        <f>D62</f>
        <v>39400</v>
      </c>
      <c r="G62" s="1267"/>
      <c r="H62" s="1266"/>
      <c r="I62" s="1273"/>
      <c r="J62" s="1266"/>
      <c r="K62" s="1273"/>
      <c r="L62" s="1268">
        <f>D62</f>
        <v>39400</v>
      </c>
      <c r="M62" s="1269"/>
      <c r="N62" s="1270"/>
      <c r="O62" s="1271"/>
      <c r="P62" s="1272"/>
      <c r="Q62" s="1266">
        <f>D62</f>
        <v>39400</v>
      </c>
      <c r="R62" s="1273"/>
      <c r="S62" s="1266"/>
      <c r="T62" s="1273"/>
      <c r="U62" s="1266"/>
      <c r="V62" s="1273"/>
      <c r="W62" s="1268">
        <f>D62</f>
        <v>39400</v>
      </c>
      <c r="X62" s="1269"/>
      <c r="Y62" s="1270"/>
      <c r="Z62" s="1274"/>
      <c r="AA62" s="1275"/>
      <c r="AB62" s="1276"/>
    </row>
    <row r="63" spans="1:28" s="1087" customFormat="1">
      <c r="A63" s="1146" t="s">
        <v>509</v>
      </c>
      <c r="B63" s="1147"/>
      <c r="C63" s="1279"/>
      <c r="D63" s="1280"/>
      <c r="E63" s="1150"/>
      <c r="F63" s="1158">
        <f>F44-F45</f>
        <v>5267030.7181647914</v>
      </c>
      <c r="G63" s="1281">
        <f>IF($F$6=0,0,F63/$F$6)</f>
        <v>11704.512707032869</v>
      </c>
      <c r="H63" s="1158">
        <f>H44-H45</f>
        <v>0</v>
      </c>
      <c r="I63" s="1154">
        <f>IF($H$6=0,0,H63/$H$6)</f>
        <v>0</v>
      </c>
      <c r="J63" s="1158">
        <f>J44-J45</f>
        <v>0</v>
      </c>
      <c r="K63" s="1154">
        <f>IF($J$6=0,0,J63/$J$6)</f>
        <v>0</v>
      </c>
      <c r="L63" s="1153">
        <f>L44-L45</f>
        <v>0</v>
      </c>
      <c r="M63" s="1154">
        <f>IF($L$6=0,0,L63/$L$6)</f>
        <v>0</v>
      </c>
      <c r="N63" s="1155">
        <f>F63+H63+J63+L63</f>
        <v>5267030.7181647914</v>
      </c>
      <c r="O63" s="1156">
        <f>IF($N$6=0,0,N63/$N$6)</f>
        <v>11704.512707032869</v>
      </c>
      <c r="P63" s="1157"/>
      <c r="Q63" s="1158">
        <f>Q44-Q45</f>
        <v>0</v>
      </c>
      <c r="R63" s="1154">
        <f>IF($Q$6=0,0,Q63/$Q$6)</f>
        <v>0</v>
      </c>
      <c r="S63" s="1158">
        <f>S44-S45</f>
        <v>0</v>
      </c>
      <c r="T63" s="1154">
        <f>IF($S$6=0,0,S63/$S$6)</f>
        <v>0</v>
      </c>
      <c r="U63" s="1158">
        <f>U44-U45</f>
        <v>0</v>
      </c>
      <c r="V63" s="1154">
        <f>IF($U$6=0,0,U63/$U$6)</f>
        <v>0</v>
      </c>
      <c r="W63" s="1153">
        <f>W44-W45</f>
        <v>0</v>
      </c>
      <c r="X63" s="1154">
        <f>IF($W$6=0,0,W63/$W$6)</f>
        <v>0</v>
      </c>
      <c r="Y63" s="1155">
        <f>Q63+S63+U63+W63</f>
        <v>0</v>
      </c>
      <c r="Z63" s="1156">
        <f>IF($Y$6=0,0,Y63/$Y$6)</f>
        <v>0</v>
      </c>
      <c r="AA63" s="1159">
        <f>N63+Y63</f>
        <v>5267030.7181647914</v>
      </c>
      <c r="AB63" s="1160">
        <f>IF($AA$6=0,0,AA63/$AA$6)</f>
        <v>11704.512707032869</v>
      </c>
    </row>
    <row r="64" spans="1:28" s="1087" customFormat="1">
      <c r="A64" s="1282" t="s">
        <v>510</v>
      </c>
      <c r="B64" s="1283"/>
      <c r="C64" s="1284"/>
      <c r="D64" s="1285"/>
      <c r="E64" s="1150"/>
      <c r="F64" s="1286"/>
      <c r="G64" s="1287"/>
      <c r="H64" s="1286"/>
      <c r="I64" s="1289"/>
      <c r="J64" s="1286"/>
      <c r="K64" s="1289"/>
      <c r="L64" s="1288"/>
      <c r="M64" s="1289"/>
      <c r="N64" s="1290"/>
      <c r="O64" s="1291"/>
      <c r="P64" s="1292"/>
      <c r="Q64" s="1286"/>
      <c r="R64" s="1289"/>
      <c r="S64" s="1286"/>
      <c r="T64" s="1289"/>
      <c r="U64" s="1286"/>
      <c r="V64" s="1289"/>
      <c r="W64" s="1288"/>
      <c r="X64" s="1289"/>
      <c r="Y64" s="1290"/>
      <c r="Z64" s="1293"/>
      <c r="AA64" s="1294"/>
      <c r="AB64" s="1295"/>
    </row>
    <row r="65" spans="1:28" s="1310" customFormat="1">
      <c r="A65" s="1296" t="s">
        <v>511</v>
      </c>
      <c r="B65" s="1297"/>
      <c r="C65" s="1298"/>
      <c r="D65" s="1299"/>
      <c r="E65" s="1300"/>
      <c r="F65" s="1301">
        <f>F6/$N$6</f>
        <v>1</v>
      </c>
      <c r="G65" s="1302"/>
      <c r="H65" s="1301">
        <f>H6/$N$6</f>
        <v>0</v>
      </c>
      <c r="I65" s="1304"/>
      <c r="J65" s="1301">
        <f>J6/$N$6</f>
        <v>0</v>
      </c>
      <c r="K65" s="1304"/>
      <c r="L65" s="1303">
        <f>L6/$N$6</f>
        <v>0</v>
      </c>
      <c r="M65" s="1304"/>
      <c r="N65" s="1305">
        <f>F65+H65+J65+L65</f>
        <v>1</v>
      </c>
      <c r="O65" s="1306"/>
      <c r="P65" s="1307"/>
      <c r="Q65" s="1301">
        <v>0</v>
      </c>
      <c r="R65" s="1304"/>
      <c r="S65" s="1301">
        <v>0</v>
      </c>
      <c r="T65" s="1304"/>
      <c r="U65" s="1301">
        <v>0</v>
      </c>
      <c r="V65" s="1304"/>
      <c r="W65" s="1303">
        <v>0</v>
      </c>
      <c r="X65" s="1304"/>
      <c r="Y65" s="1305">
        <f>Q65+S65+U65+W65</f>
        <v>0</v>
      </c>
      <c r="Z65" s="1306"/>
      <c r="AA65" s="1308">
        <f>N65+Y65</f>
        <v>1</v>
      </c>
      <c r="AB65" s="1309"/>
    </row>
    <row r="66" spans="1:28" s="1087" customFormat="1">
      <c r="A66" s="1118" t="s">
        <v>512</v>
      </c>
      <c r="B66" s="1311">
        <f>'Расходы помесячно (План-Факт)'!BS85</f>
        <v>2226308.75</v>
      </c>
      <c r="C66" s="1120"/>
      <c r="D66" s="1121"/>
      <c r="E66" s="1122"/>
      <c r="F66" s="1123">
        <f>IF(AA6=0,B66,ROUND($B66*F$65,0))</f>
        <v>2226309</v>
      </c>
      <c r="G66" s="1124">
        <f>IF($F$6=0,0,F66/$F$6)</f>
        <v>4947.3533333333335</v>
      </c>
      <c r="H66" s="1123">
        <f>ROUND($B66*H$65,0)</f>
        <v>0</v>
      </c>
      <c r="I66" s="1126">
        <f>IF($H$6=0,0,H66/$H$6)</f>
        <v>0</v>
      </c>
      <c r="J66" s="1123">
        <f>ROUND($B66*J$65,0)</f>
        <v>0</v>
      </c>
      <c r="K66" s="1126">
        <f>IF($J$6=0,0,J66/$J$6)</f>
        <v>0</v>
      </c>
      <c r="L66" s="1125">
        <f>ROUND($B66*L$65,0)</f>
        <v>0</v>
      </c>
      <c r="M66" s="1126">
        <f>IF($L$6=0,0,L66/$L$6)</f>
        <v>0</v>
      </c>
      <c r="N66" s="1127">
        <f>IF(AA6=0,F66,F66+H66+J66+L66)</f>
        <v>2226309</v>
      </c>
      <c r="O66" s="1128">
        <f>IF($N$6=0,0,N66/$N$6)</f>
        <v>4947.3533333333335</v>
      </c>
      <c r="P66" s="1084"/>
      <c r="Q66" s="1123">
        <f>ROUND($B66*Q$65,0)</f>
        <v>0</v>
      </c>
      <c r="R66" s="1126">
        <f>IF($Q$6=0,0,Q66/$Q$6)</f>
        <v>0</v>
      </c>
      <c r="S66" s="1123">
        <f>ROUND($B66*S$65,0)</f>
        <v>0</v>
      </c>
      <c r="T66" s="1126">
        <f>IF($S$6=0,0,S66/$S$6)</f>
        <v>0</v>
      </c>
      <c r="U66" s="1123">
        <f>ROUND($B66*U$65,0)</f>
        <v>0</v>
      </c>
      <c r="V66" s="1126">
        <f>IF($U$6=0,0,U66/$U$6)</f>
        <v>0</v>
      </c>
      <c r="W66" s="1125">
        <f>ROUND($B66*W$65,0)</f>
        <v>0</v>
      </c>
      <c r="X66" s="1126">
        <f>IF($W$6=0,0,W66/$W$6)</f>
        <v>0</v>
      </c>
      <c r="Y66" s="1127">
        <f>Q66+S66+U66+W66</f>
        <v>0</v>
      </c>
      <c r="Z66" s="1128">
        <f>IF($Y$6=0,0,Y66/$Y$6)</f>
        <v>0</v>
      </c>
      <c r="AA66" s="1129">
        <f>N66+Y66</f>
        <v>2226309</v>
      </c>
      <c r="AB66" s="1130">
        <f>IF($AA$6=0,0,AA66/$AA$6)</f>
        <v>4947.3533333333335</v>
      </c>
    </row>
    <row r="67" spans="1:28" s="1087" customFormat="1">
      <c r="A67" s="1146" t="s">
        <v>513</v>
      </c>
      <c r="B67" s="1147"/>
      <c r="C67" s="1312"/>
      <c r="D67" s="1313"/>
      <c r="E67" s="1314"/>
      <c r="F67" s="1158">
        <f>F63-F66</f>
        <v>3040721.7181647914</v>
      </c>
      <c r="G67" s="1281">
        <f>IF($F$6=0,0,F67/$F$6)</f>
        <v>6757.1593736995364</v>
      </c>
      <c r="H67" s="1158">
        <f>H63-H66</f>
        <v>0</v>
      </c>
      <c r="I67" s="1154">
        <f>IF($H$6=0,0,H67/$H$6)</f>
        <v>0</v>
      </c>
      <c r="J67" s="1158">
        <f>J63-J66</f>
        <v>0</v>
      </c>
      <c r="K67" s="1154">
        <f>IF($J$6=0,0,J67/$J$6)</f>
        <v>0</v>
      </c>
      <c r="L67" s="1153">
        <f>L63-L66</f>
        <v>0</v>
      </c>
      <c r="M67" s="1154">
        <f>IF($L$6=0,0,L67/$L$6)</f>
        <v>0</v>
      </c>
      <c r="N67" s="1155">
        <f>IF(AA6=0,N63-N66,F67+H67+J67+L67)</f>
        <v>3040721.7181647914</v>
      </c>
      <c r="O67" s="1315">
        <f>IF($N$6=0,0,N67/$N$6)</f>
        <v>6757.1593736995364</v>
      </c>
      <c r="P67" s="1316"/>
      <c r="Q67" s="1158">
        <f>Q63-Q66</f>
        <v>0</v>
      </c>
      <c r="R67" s="1154">
        <f>IF($Q$6=0,0,Q67/$Q$6)</f>
        <v>0</v>
      </c>
      <c r="S67" s="1158">
        <f>S63-S66</f>
        <v>0</v>
      </c>
      <c r="T67" s="1154">
        <f>IF($S$6=0,0,S67/$S$6)</f>
        <v>0</v>
      </c>
      <c r="U67" s="1158">
        <f>U63-U66</f>
        <v>0</v>
      </c>
      <c r="V67" s="1154">
        <f>IF($U$6=0,0,U67/$U$6)</f>
        <v>0</v>
      </c>
      <c r="W67" s="1153">
        <f>W63-W66</f>
        <v>0</v>
      </c>
      <c r="X67" s="1154">
        <f>IF($W$6=0,0,W67/$W$6)</f>
        <v>0</v>
      </c>
      <c r="Y67" s="1155">
        <f>Q67+S67+U67+W67</f>
        <v>0</v>
      </c>
      <c r="Z67" s="1315">
        <f>IF($Y$6=0,0,Y67/$Y$6)</f>
        <v>0</v>
      </c>
      <c r="AA67" s="1317">
        <f>N67+Y67</f>
        <v>3040721.7181647914</v>
      </c>
      <c r="AB67" s="1318">
        <f>IF($AA$6=0,0,AA67/$AA$6)</f>
        <v>6757.1593736995364</v>
      </c>
    </row>
    <row r="68" spans="1:28">
      <c r="A68" s="1118" t="s">
        <v>514</v>
      </c>
      <c r="B68" s="1311">
        <f>'Расходы помесячно (План-Факт)'!BS132</f>
        <v>1299649.4571428571</v>
      </c>
      <c r="C68" s="1120"/>
      <c r="D68" s="1121"/>
      <c r="E68" s="1122"/>
      <c r="F68" s="1123">
        <f>IF(AA6=0,B68,ROUND($B68*F$65,0))</f>
        <v>1299649</v>
      </c>
      <c r="G68" s="1124">
        <f>IF($F$6=0,0,F68/$F$6)</f>
        <v>2888.1088888888889</v>
      </c>
      <c r="H68" s="1123">
        <f>ROUND($B68*H$65,0)</f>
        <v>0</v>
      </c>
      <c r="I68" s="1126">
        <f>IF($H$6=0,0,H68/$H$6)</f>
        <v>0</v>
      </c>
      <c r="J68" s="1123">
        <f>ROUND($B68*J$65,0)</f>
        <v>0</v>
      </c>
      <c r="K68" s="1126">
        <f>IF($J$6=0,0,J68/$J$6)</f>
        <v>0</v>
      </c>
      <c r="L68" s="1125">
        <f>ROUND($B68*L$65,0)</f>
        <v>0</v>
      </c>
      <c r="M68" s="1126">
        <f>IF($L$6=0,0,L68/$L$6)</f>
        <v>0</v>
      </c>
      <c r="N68" s="1127">
        <f>IF(AA6=0,F68,F68+H68+J68+L68)</f>
        <v>1299649</v>
      </c>
      <c r="O68" s="1128">
        <f>IF($N$6=0,0,N68/$N$6)</f>
        <v>2888.1088888888889</v>
      </c>
      <c r="P68" s="1084"/>
      <c r="Q68" s="1123">
        <f>ROUND($B68*Q$65,0)</f>
        <v>0</v>
      </c>
      <c r="R68" s="1126">
        <f>IF($Q$6=0,0,Q68/$Q$6)</f>
        <v>0</v>
      </c>
      <c r="S68" s="1123">
        <f>ROUND($B68*S$65,0)</f>
        <v>0</v>
      </c>
      <c r="T68" s="1126">
        <f>IF($S$6=0,0,S68/$S$6)</f>
        <v>0</v>
      </c>
      <c r="U68" s="1123">
        <f>ROUND($B68*U$65,0)</f>
        <v>0</v>
      </c>
      <c r="V68" s="1126">
        <f>IF($U$6=0,0,U68/$U$6)</f>
        <v>0</v>
      </c>
      <c r="W68" s="1125">
        <f>ROUND($B68*W$65,0)</f>
        <v>0</v>
      </c>
      <c r="X68" s="1126">
        <f>IF($W$6=0,0,W68/$W$6)</f>
        <v>0</v>
      </c>
      <c r="Y68" s="1127">
        <f>Q68+S68+U68+W68</f>
        <v>0</v>
      </c>
      <c r="Z68" s="1128">
        <f>IF($Y$6=0,0,Y68/$Y$6)</f>
        <v>0</v>
      </c>
      <c r="AA68" s="1129">
        <f>N68+Y68</f>
        <v>1299649</v>
      </c>
      <c r="AB68" s="1130">
        <f>IF($AA$6=0,0,AA68/$AA$6)</f>
        <v>2888.1088888888889</v>
      </c>
    </row>
    <row r="69" spans="1:28">
      <c r="A69" s="1146" t="s">
        <v>515</v>
      </c>
      <c r="B69" s="1147"/>
      <c r="C69" s="1312"/>
      <c r="D69" s="1313"/>
      <c r="E69" s="1314"/>
      <c r="F69" s="1158">
        <f>F67-F68</f>
        <v>1741072.7181647914</v>
      </c>
      <c r="G69" s="1281">
        <f>IF($F$6=0,0,F69/$F$6)</f>
        <v>3869.0504848106475</v>
      </c>
      <c r="H69" s="1158">
        <f>H67-H68</f>
        <v>0</v>
      </c>
      <c r="I69" s="1154">
        <f>IF($H$6=0,0,H69/$H$6)</f>
        <v>0</v>
      </c>
      <c r="J69" s="1158">
        <f>J67-J68</f>
        <v>0</v>
      </c>
      <c r="K69" s="1154">
        <f>IF($J$6=0,0,J69/$J$6)</f>
        <v>0</v>
      </c>
      <c r="L69" s="1158">
        <f>L67-L68</f>
        <v>0</v>
      </c>
      <c r="M69" s="1154">
        <f>IF($L$6=0,0,L69/$L$6)</f>
        <v>0</v>
      </c>
      <c r="N69" s="1158">
        <f>N67-N68</f>
        <v>1741072.7181647914</v>
      </c>
      <c r="O69" s="1315">
        <f>IF($N$6=0,0,N69/$N$6)</f>
        <v>3869.0504848106475</v>
      </c>
      <c r="P69" s="1316"/>
      <c r="Q69" s="1158">
        <f>Q67-Q68</f>
        <v>0</v>
      </c>
      <c r="R69" s="1154">
        <f>IF($Q$6=0,0,Q69/$Q$6)</f>
        <v>0</v>
      </c>
      <c r="S69" s="1158">
        <f>S67-S68</f>
        <v>0</v>
      </c>
      <c r="T69" s="1154">
        <f>IF($S$6=0,0,S69/$S$6)</f>
        <v>0</v>
      </c>
      <c r="U69" s="1158">
        <f>U67-U68</f>
        <v>0</v>
      </c>
      <c r="V69" s="1154">
        <f>IF($U$6=0,0,U69/$U$6)</f>
        <v>0</v>
      </c>
      <c r="W69" s="1158">
        <f>W67-W68</f>
        <v>0</v>
      </c>
      <c r="X69" s="1154">
        <f>IF($W$6=0,0,W69/$W$6)</f>
        <v>0</v>
      </c>
      <c r="Y69" s="1158">
        <f>Y67-Y68</f>
        <v>0</v>
      </c>
      <c r="Z69" s="1315">
        <f>IF($Y$6=0,0,Y69/$Y$6)</f>
        <v>0</v>
      </c>
      <c r="AA69" s="1317">
        <f>N69+Y69</f>
        <v>1741072.7181647914</v>
      </c>
      <c r="AB69" s="1318">
        <f>IF($AA$6=0,0,AA69/$AA$6)</f>
        <v>3869.0504848106475</v>
      </c>
    </row>
    <row r="70" spans="1:28">
      <c r="A70" s="1339" t="s">
        <v>522</v>
      </c>
      <c r="B70" s="1283"/>
      <c r="C70" s="1340"/>
      <c r="D70" s="1341"/>
      <c r="E70" s="1314"/>
      <c r="F70" s="1286">
        <f>IF(OR(F6=0,F6=""),0,F69/F6)</f>
        <v>3869.0504848106475</v>
      </c>
      <c r="G70" s="1287"/>
      <c r="H70" s="1286">
        <f>IF(OR(H6=0,H6=""),0,H69/H6)</f>
        <v>0</v>
      </c>
      <c r="I70" s="1287"/>
      <c r="J70" s="1286">
        <f>IF(OR(J6=0,J6=""),0,J69/J6)</f>
        <v>0</v>
      </c>
      <c r="K70" s="1287"/>
      <c r="L70" s="1286">
        <f>IF(OR(L6=0,L6=""),0,L69/L6)</f>
        <v>0</v>
      </c>
      <c r="M70" s="1287"/>
      <c r="N70" s="1286">
        <f>IF(OR(N6=0,N6=""),0,N69/N6)</f>
        <v>3869.0504848106475</v>
      </c>
      <c r="O70" s="1287"/>
      <c r="P70" s="1316"/>
      <c r="Q70" s="1286">
        <f>IF(OR(Q6=0,Q6=""),0,Q69/Q6)</f>
        <v>0</v>
      </c>
      <c r="R70" s="1287"/>
      <c r="S70" s="1286">
        <f>IF(OR(S6=0,S6=""),0,S69/S6)</f>
        <v>0</v>
      </c>
      <c r="T70" s="1287"/>
      <c r="U70" s="1286">
        <f>IF(OR(U6=0,U6=""),0,U69/U6)</f>
        <v>0</v>
      </c>
      <c r="V70" s="1287"/>
      <c r="W70" s="1286">
        <f>IF(OR(W6=0,W6=""),0,W69/W6)</f>
        <v>0</v>
      </c>
      <c r="X70" s="1287"/>
      <c r="Y70" s="1286">
        <f>IF(OR(Y6=0,Y6=""),0,Y69/Y6)</f>
        <v>0</v>
      </c>
      <c r="Z70" s="1287"/>
      <c r="AA70" s="1286">
        <f>IF(OR(AA6=0,AA6=""),0,AA69/AA6)</f>
        <v>3869.0504848106475</v>
      </c>
      <c r="AB70" s="1287"/>
    </row>
    <row r="73" spans="1:28">
      <c r="N73" s="891"/>
    </row>
    <row r="76" spans="1:28">
      <c r="N76" s="891"/>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sheetPr enableFormatConditionsCalculation="0">
    <tabColor indexed="13"/>
  </sheetPr>
  <dimension ref="A1:AB74"/>
  <sheetViews>
    <sheetView zoomScale="90" zoomScaleNormal="90" workbookViewId="0">
      <pane xSplit="5" ySplit="8" topLeftCell="F9" activePane="bottomRight" state="frozen"/>
      <selection pane="topRight" activeCell="F1" sqref="F1"/>
      <selection pane="bottomLeft" activeCell="A9" sqref="A9"/>
      <selection pane="bottomRight" activeCell="F8" sqref="F8"/>
    </sheetView>
  </sheetViews>
  <sheetFormatPr defaultRowHeight="12.75" outlineLevelRow="2" outlineLevelCol="2"/>
  <cols>
    <col min="1" max="1" width="36.28515625" style="888" customWidth="1"/>
    <col min="2" max="2" width="13.5703125" style="889" customWidth="1" outlineLevel="1"/>
    <col min="3" max="3" width="6" style="889" customWidth="1"/>
    <col min="4" max="4" width="10" style="889" customWidth="1"/>
    <col min="5" max="5" width="0.85546875" style="889" customWidth="1" outlineLevel="1"/>
    <col min="6" max="6" width="11.5703125" style="889" customWidth="1" outlineLevel="1"/>
    <col min="7" max="7" width="0" style="890" hidden="1" customWidth="1" outlineLevel="2"/>
    <col min="8" max="8" width="11.28515625" style="889" customWidth="1" outlineLevel="1" collapsed="1"/>
    <col min="9" max="9" width="0" style="891" hidden="1" customWidth="1" outlineLevel="2"/>
    <col min="10" max="10" width="12" style="889" customWidth="1" outlineLevel="1" collapsed="1"/>
    <col min="11" max="11" width="0" style="891" hidden="1" customWidth="1" outlineLevel="2"/>
    <col min="12" max="12" width="12.28515625" style="889" customWidth="1" outlineLevel="1" collapsed="1"/>
    <col min="13" max="13" width="0" style="891" hidden="1" customWidth="1" outlineLevel="2"/>
    <col min="14" max="14" width="13.42578125" style="889" customWidth="1" collapsed="1"/>
    <col min="15" max="15" width="0" style="892" hidden="1" customWidth="1" outlineLevel="1"/>
    <col min="16" max="16" width="0.7109375" style="892" customWidth="1"/>
    <col min="17" max="17" width="11.85546875" style="889" customWidth="1" outlineLevel="1"/>
    <col min="18" max="18" width="0" style="889" hidden="1" customWidth="1" outlineLevel="2"/>
    <col min="19" max="19" width="12" style="889" customWidth="1" outlineLevel="1" collapsed="1"/>
    <col min="20" max="20" width="0" style="889" hidden="1" customWidth="1" outlineLevel="2"/>
    <col min="21" max="21" width="11.42578125" style="889" customWidth="1" outlineLevel="1" collapsed="1"/>
    <col min="22" max="22" width="0" style="889" hidden="1" customWidth="1" outlineLevel="2"/>
    <col min="23" max="23" width="12.42578125" style="889" customWidth="1" outlineLevel="1" collapsed="1"/>
    <col min="24" max="24" width="0" style="889" hidden="1" customWidth="1" outlineLevel="2"/>
    <col min="25" max="25" width="12.42578125" style="889" customWidth="1" collapsed="1"/>
    <col min="26" max="26" width="0" style="892" hidden="1" customWidth="1" outlineLevel="1"/>
    <col min="27" max="27" width="12" style="889" customWidth="1"/>
    <col min="28" max="28" width="9.5703125" style="892" customWidth="1"/>
    <col min="29" max="16384" width="9.140625" style="889"/>
  </cols>
  <sheetData>
    <row r="1" spans="1:28" ht="15">
      <c r="A1" s="893" t="s">
        <v>452</v>
      </c>
      <c r="B1" s="894"/>
    </row>
    <row r="2" spans="1:28">
      <c r="A2" s="895"/>
      <c r="B2" s="896" t="s">
        <v>453</v>
      </c>
      <c r="C2" s="897"/>
      <c r="D2" s="898"/>
      <c r="E2" s="899"/>
      <c r="F2" s="900"/>
      <c r="G2" s="901"/>
      <c r="H2" s="902"/>
      <c r="I2" s="903"/>
      <c r="J2" s="902"/>
      <c r="K2" s="903"/>
      <c r="L2" s="902"/>
      <c r="M2" s="903" t="s">
        <v>454</v>
      </c>
      <c r="N2" s="904"/>
      <c r="O2" s="905"/>
      <c r="P2" s="905"/>
      <c r="Q2" s="906"/>
      <c r="R2" s="906"/>
      <c r="S2" s="906"/>
      <c r="T2" s="906"/>
      <c r="U2" s="906"/>
      <c r="V2" s="906"/>
      <c r="W2" s="906"/>
      <c r="X2" s="906"/>
      <c r="Y2" s="907"/>
      <c r="Z2" s="908"/>
      <c r="AA2" s="904"/>
      <c r="AB2" s="909"/>
    </row>
    <row r="3" spans="1:28">
      <c r="A3" s="910"/>
      <c r="B3" s="911" t="s">
        <v>455</v>
      </c>
      <c r="C3" s="912"/>
      <c r="D3" s="913"/>
      <c r="E3" s="914"/>
      <c r="F3" s="915" t="s">
        <v>456</v>
      </c>
      <c r="G3" s="916"/>
      <c r="H3" s="917"/>
      <c r="I3" s="918"/>
      <c r="J3" s="917"/>
      <c r="K3" s="918"/>
      <c r="L3" s="917"/>
      <c r="M3" s="918"/>
      <c r="N3" s="919" t="s">
        <v>457</v>
      </c>
      <c r="O3" s="920" t="s">
        <v>458</v>
      </c>
      <c r="P3" s="921"/>
      <c r="Q3" s="915" t="s">
        <v>459</v>
      </c>
      <c r="R3" s="916"/>
      <c r="S3" s="917"/>
      <c r="T3" s="918"/>
      <c r="U3" s="917"/>
      <c r="V3" s="918"/>
      <c r="W3" s="917"/>
      <c r="X3" s="918"/>
      <c r="Y3" s="919" t="s">
        <v>457</v>
      </c>
      <c r="Z3" s="920" t="s">
        <v>458</v>
      </c>
      <c r="AA3" s="922"/>
      <c r="AB3" s="923" t="s">
        <v>458</v>
      </c>
    </row>
    <row r="4" spans="1:28">
      <c r="A4" s="924" t="s">
        <v>460</v>
      </c>
      <c r="B4" s="911" t="s">
        <v>461</v>
      </c>
      <c r="C4" s="925"/>
      <c r="D4" s="926"/>
      <c r="E4" s="927"/>
      <c r="F4" s="928" t="s">
        <v>517</v>
      </c>
      <c r="G4" s="929"/>
      <c r="H4" s="928" t="s">
        <v>518</v>
      </c>
      <c r="I4" s="931"/>
      <c r="J4" s="928" t="s">
        <v>519</v>
      </c>
      <c r="K4" s="931"/>
      <c r="L4" s="930" t="s">
        <v>517</v>
      </c>
      <c r="M4" s="931"/>
      <c r="N4" s="932" t="s">
        <v>462</v>
      </c>
      <c r="O4" s="933" t="s">
        <v>463</v>
      </c>
      <c r="P4" s="934"/>
      <c r="Q4" s="928" t="s">
        <v>517</v>
      </c>
      <c r="R4" s="931"/>
      <c r="S4" s="928" t="s">
        <v>518</v>
      </c>
      <c r="T4" s="931"/>
      <c r="U4" s="928" t="s">
        <v>519</v>
      </c>
      <c r="V4" s="931"/>
      <c r="W4" s="930" t="s">
        <v>517</v>
      </c>
      <c r="X4" s="931"/>
      <c r="Y4" s="932" t="s">
        <v>464</v>
      </c>
      <c r="Z4" s="933" t="s">
        <v>463</v>
      </c>
      <c r="AA4" s="935" t="s">
        <v>191</v>
      </c>
      <c r="AB4" s="936" t="s">
        <v>463</v>
      </c>
    </row>
    <row r="5" spans="1:28">
      <c r="A5" s="924"/>
      <c r="B5" s="911" t="s">
        <v>465</v>
      </c>
      <c r="C5" s="925"/>
      <c r="D5" s="926"/>
      <c r="E5" s="927"/>
      <c r="F5" s="937" t="s">
        <v>13</v>
      </c>
      <c r="G5" s="938" t="s">
        <v>466</v>
      </c>
      <c r="H5" s="937" t="s">
        <v>13</v>
      </c>
      <c r="I5" s="940" t="s">
        <v>466</v>
      </c>
      <c r="J5" s="937" t="s">
        <v>13</v>
      </c>
      <c r="K5" s="940" t="s">
        <v>466</v>
      </c>
      <c r="L5" s="939" t="s">
        <v>13</v>
      </c>
      <c r="M5" s="940" t="s">
        <v>466</v>
      </c>
      <c r="N5" s="941" t="s">
        <v>13</v>
      </c>
      <c r="O5" s="942" t="s">
        <v>467</v>
      </c>
      <c r="P5" s="943"/>
      <c r="Q5" s="937" t="s">
        <v>13</v>
      </c>
      <c r="R5" s="940" t="s">
        <v>466</v>
      </c>
      <c r="S5" s="937" t="s">
        <v>13</v>
      </c>
      <c r="T5" s="940" t="s">
        <v>466</v>
      </c>
      <c r="U5" s="937" t="s">
        <v>13</v>
      </c>
      <c r="V5" s="940" t="s">
        <v>466</v>
      </c>
      <c r="W5" s="939" t="s">
        <v>13</v>
      </c>
      <c r="X5" s="940" t="s">
        <v>466</v>
      </c>
      <c r="Y5" s="941" t="s">
        <v>13</v>
      </c>
      <c r="Z5" s="942" t="s">
        <v>467</v>
      </c>
      <c r="AA5" s="944" t="s">
        <v>13</v>
      </c>
      <c r="AB5" s="945" t="s">
        <v>468</v>
      </c>
    </row>
    <row r="6" spans="1:28">
      <c r="A6" s="946" t="s">
        <v>469</v>
      </c>
      <c r="B6" s="947"/>
      <c r="C6" s="948"/>
      <c r="D6" s="949"/>
      <c r="E6" s="927"/>
      <c r="F6" s="950">
        <v>378</v>
      </c>
      <c r="G6" s="951"/>
      <c r="H6" s="950">
        <v>0</v>
      </c>
      <c r="I6" s="952"/>
      <c r="J6" s="950">
        <v>0</v>
      </c>
      <c r="K6" s="952"/>
      <c r="L6" s="950"/>
      <c r="M6" s="952"/>
      <c r="N6" s="953">
        <f>SUM(F6:L6)</f>
        <v>378</v>
      </c>
      <c r="O6" s="954"/>
      <c r="P6" s="943"/>
      <c r="Q6" s="950">
        <v>0</v>
      </c>
      <c r="R6" s="952"/>
      <c r="S6" s="950"/>
      <c r="T6" s="952"/>
      <c r="U6" s="950"/>
      <c r="V6" s="952"/>
      <c r="W6" s="950">
        <v>0</v>
      </c>
      <c r="X6" s="952"/>
      <c r="Y6" s="953">
        <f>SUM(Q6:W6)</f>
        <v>0</v>
      </c>
      <c r="Z6" s="954"/>
      <c r="AA6" s="955">
        <f>N6+Y6</f>
        <v>378</v>
      </c>
      <c r="AB6" s="956"/>
    </row>
    <row r="7" spans="1:28" s="970" customFormat="1">
      <c r="A7" s="957" t="s">
        <v>470</v>
      </c>
      <c r="B7" s="958"/>
      <c r="C7" s="959" t="s">
        <v>471</v>
      </c>
      <c r="D7" s="960">
        <v>52</v>
      </c>
      <c r="E7" s="961"/>
      <c r="F7" s="962">
        <v>1740</v>
      </c>
      <c r="G7" s="963"/>
      <c r="H7" s="962"/>
      <c r="I7" s="964"/>
      <c r="J7" s="962"/>
      <c r="K7" s="964"/>
      <c r="L7" s="1332">
        <v>1895</v>
      </c>
      <c r="M7" s="964"/>
      <c r="N7" s="965"/>
      <c r="O7" s="966"/>
      <c r="P7" s="967"/>
      <c r="Q7" s="962">
        <v>1950</v>
      </c>
      <c r="R7" s="963"/>
      <c r="S7" s="962"/>
      <c r="T7" s="964"/>
      <c r="U7" s="962"/>
      <c r="V7" s="964"/>
      <c r="W7" s="1332">
        <v>1950</v>
      </c>
      <c r="X7" s="964"/>
      <c r="Y7" s="965"/>
      <c r="Z7" s="966"/>
      <c r="AA7" s="968"/>
      <c r="AB7" s="969"/>
    </row>
    <row r="8" spans="1:28" s="970" customFormat="1">
      <c r="A8" s="971" t="s">
        <v>472</v>
      </c>
      <c r="B8" s="972"/>
      <c r="C8" s="973" t="s">
        <v>473</v>
      </c>
      <c r="D8" s="974">
        <v>0.04</v>
      </c>
      <c r="E8" s="975"/>
      <c r="F8" s="976">
        <f>(F7*$D7)+(F7*$D7*$D$8)</f>
        <v>94099.199999999997</v>
      </c>
      <c r="G8" s="977"/>
      <c r="H8" s="1323">
        <v>71000</v>
      </c>
      <c r="I8" s="979"/>
      <c r="J8" s="1323">
        <v>57276</v>
      </c>
      <c r="K8" s="979"/>
      <c r="L8" s="978">
        <f>L7*D7</f>
        <v>98540</v>
      </c>
      <c r="M8" s="979"/>
      <c r="N8" s="980"/>
      <c r="O8" s="981"/>
      <c r="P8" s="982"/>
      <c r="Q8" s="976">
        <f>(Q7*$D7)+(Q7*$D7*$D$8)</f>
        <v>105456</v>
      </c>
      <c r="R8" s="979"/>
      <c r="S8" s="1323">
        <v>71000</v>
      </c>
      <c r="T8" s="979"/>
      <c r="U8" s="1323">
        <v>62529</v>
      </c>
      <c r="V8" s="979"/>
      <c r="W8" s="978">
        <f>W7*D7</f>
        <v>101400</v>
      </c>
      <c r="X8" s="979"/>
      <c r="Y8" s="980"/>
      <c r="Z8" s="981"/>
      <c r="AA8" s="983"/>
      <c r="AB8" s="984"/>
    </row>
    <row r="9" spans="1:28" s="970" customFormat="1">
      <c r="A9" s="985" t="s">
        <v>474</v>
      </c>
      <c r="B9" s="986"/>
      <c r="C9" s="987"/>
      <c r="D9" s="988"/>
      <c r="E9" s="989"/>
      <c r="F9" s="990"/>
      <c r="G9" s="991"/>
      <c r="H9" s="990"/>
      <c r="I9" s="993"/>
      <c r="J9" s="990"/>
      <c r="K9" s="993"/>
      <c r="L9" s="992"/>
      <c r="M9" s="993"/>
      <c r="N9" s="994"/>
      <c r="O9" s="966"/>
      <c r="P9" s="995"/>
      <c r="Q9" s="990"/>
      <c r="R9" s="993"/>
      <c r="S9" s="990"/>
      <c r="T9" s="993"/>
      <c r="U9" s="990"/>
      <c r="V9" s="993"/>
      <c r="W9" s="996"/>
      <c r="X9" s="993"/>
      <c r="Y9" s="994"/>
      <c r="Z9" s="966"/>
      <c r="AA9" s="997"/>
      <c r="AB9" s="969"/>
    </row>
    <row r="10" spans="1:28" ht="14.25" outlineLevel="1">
      <c r="A10" s="998" t="s">
        <v>321</v>
      </c>
      <c r="B10" s="999"/>
      <c r="C10" s="1000"/>
      <c r="D10" s="1001">
        <v>1.4</v>
      </c>
      <c r="E10" s="1002"/>
      <c r="F10" s="1003">
        <f>D10*D7*1000</f>
        <v>72800</v>
      </c>
      <c r="G10" s="1004"/>
      <c r="H10" s="1003">
        <f>F10</f>
        <v>72800</v>
      </c>
      <c r="I10" s="1006">
        <v>45500</v>
      </c>
      <c r="J10" s="1003">
        <f>F10</f>
        <v>72800</v>
      </c>
      <c r="K10" s="1006">
        <v>45500</v>
      </c>
      <c r="L10" s="1005">
        <f>F10</f>
        <v>72800</v>
      </c>
      <c r="M10" s="1006"/>
      <c r="N10" s="1007"/>
      <c r="O10" s="1008"/>
      <c r="P10" s="1009"/>
      <c r="Q10" s="1003">
        <f>F10</f>
        <v>72800</v>
      </c>
      <c r="R10" s="1006">
        <v>45500</v>
      </c>
      <c r="S10" s="1003">
        <f>F10</f>
        <v>72800</v>
      </c>
      <c r="T10" s="1006">
        <v>45500</v>
      </c>
      <c r="U10" s="1003">
        <f>F10</f>
        <v>72800</v>
      </c>
      <c r="V10" s="1006">
        <v>45500</v>
      </c>
      <c r="W10" s="1010">
        <f>F10</f>
        <v>72800</v>
      </c>
      <c r="X10" s="1006"/>
      <c r="Y10" s="1007"/>
      <c r="Z10" s="1008"/>
      <c r="AA10" s="1011"/>
      <c r="AB10" s="1012"/>
    </row>
    <row r="11" spans="1:28" ht="14.25" outlineLevel="1">
      <c r="A11" s="998" t="s">
        <v>475</v>
      </c>
      <c r="B11" s="999"/>
      <c r="C11" s="1000"/>
      <c r="D11" s="1013"/>
      <c r="E11" s="1002"/>
      <c r="F11" s="1003">
        <f>$F$10</f>
        <v>72800</v>
      </c>
      <c r="G11" s="1004"/>
      <c r="H11" s="1003">
        <f>$F$10</f>
        <v>72800</v>
      </c>
      <c r="I11" s="1006">
        <v>45500</v>
      </c>
      <c r="J11" s="1003">
        <f>$F$10</f>
        <v>72800</v>
      </c>
      <c r="K11" s="1006">
        <v>45500</v>
      </c>
      <c r="L11" s="1010">
        <f>$F$10</f>
        <v>72800</v>
      </c>
      <c r="M11" s="1006"/>
      <c r="N11" s="1007"/>
      <c r="O11" s="1008"/>
      <c r="P11" s="1009"/>
      <c r="Q11" s="1003">
        <f>$F$10</f>
        <v>72800</v>
      </c>
      <c r="R11" s="1006">
        <v>45500</v>
      </c>
      <c r="S11" s="1003">
        <f>$F$10</f>
        <v>72800</v>
      </c>
      <c r="T11" s="1006">
        <v>45500</v>
      </c>
      <c r="U11" s="1003">
        <f>$F$10</f>
        <v>72800</v>
      </c>
      <c r="V11" s="1006">
        <v>45500</v>
      </c>
      <c r="W11" s="1010">
        <f>$F$10</f>
        <v>72800</v>
      </c>
      <c r="X11" s="1006"/>
      <c r="Y11" s="1007"/>
      <c r="Z11" s="1008"/>
      <c r="AA11" s="1011"/>
      <c r="AB11" s="1012"/>
    </row>
    <row r="12" spans="1:28" ht="14.25" hidden="1" outlineLevel="2">
      <c r="A12" s="998" t="s">
        <v>476</v>
      </c>
      <c r="B12" s="999"/>
      <c r="C12" s="1000"/>
      <c r="D12" s="1013"/>
      <c r="E12" s="1002"/>
      <c r="F12" s="1003"/>
      <c r="G12" s="1004"/>
      <c r="H12" s="1003"/>
      <c r="I12" s="1006"/>
      <c r="J12" s="1003"/>
      <c r="K12" s="1006"/>
      <c r="L12" s="1010"/>
      <c r="M12" s="1006"/>
      <c r="N12" s="1007"/>
      <c r="O12" s="1008"/>
      <c r="P12" s="1009"/>
      <c r="Q12" s="1003"/>
      <c r="R12" s="1006"/>
      <c r="S12" s="1003"/>
      <c r="T12" s="1006"/>
      <c r="U12" s="1003"/>
      <c r="V12" s="1006"/>
      <c r="W12" s="1010"/>
      <c r="X12" s="1006"/>
      <c r="Y12" s="1007"/>
      <c r="Z12" s="1008"/>
      <c r="AA12" s="1011"/>
      <c r="AB12" s="1012"/>
    </row>
    <row r="13" spans="1:28" ht="14.25" hidden="1" outlineLevel="2">
      <c r="A13" s="998" t="s">
        <v>477</v>
      </c>
      <c r="B13" s="999"/>
      <c r="C13" s="1000"/>
      <c r="D13" s="1013"/>
      <c r="E13" s="1002"/>
      <c r="F13" s="1003"/>
      <c r="G13" s="1004"/>
      <c r="H13" s="1003"/>
      <c r="I13" s="1006"/>
      <c r="J13" s="1003"/>
      <c r="K13" s="1006"/>
      <c r="L13" s="1010"/>
      <c r="M13" s="1006"/>
      <c r="N13" s="1007"/>
      <c r="O13" s="1008"/>
      <c r="P13" s="1009"/>
      <c r="Q13" s="1003"/>
      <c r="R13" s="1006"/>
      <c r="S13" s="1003"/>
      <c r="T13" s="1006"/>
      <c r="U13" s="1003"/>
      <c r="V13" s="1006"/>
      <c r="W13" s="1010"/>
      <c r="X13" s="1006"/>
      <c r="Y13" s="1007"/>
      <c r="Z13" s="1008"/>
      <c r="AA13" s="1011"/>
      <c r="AB13" s="1012"/>
    </row>
    <row r="14" spans="1:28" ht="14.25" hidden="1" outlineLevel="2">
      <c r="A14" s="998" t="s">
        <v>478</v>
      </c>
      <c r="B14" s="999"/>
      <c r="C14" s="1000"/>
      <c r="D14" s="1013"/>
      <c r="E14" s="1002"/>
      <c r="F14" s="1003"/>
      <c r="G14" s="1004"/>
      <c r="H14" s="1003"/>
      <c r="I14" s="1006"/>
      <c r="J14" s="1003"/>
      <c r="K14" s="1006"/>
      <c r="L14" s="1010"/>
      <c r="M14" s="1006"/>
      <c r="N14" s="1007"/>
      <c r="O14" s="1008"/>
      <c r="P14" s="1009"/>
      <c r="Q14" s="1003"/>
      <c r="R14" s="1006"/>
      <c r="S14" s="1003"/>
      <c r="T14" s="1006"/>
      <c r="U14" s="1003"/>
      <c r="V14" s="1006"/>
      <c r="W14" s="1010"/>
      <c r="X14" s="1006"/>
      <c r="Y14" s="1007"/>
      <c r="Z14" s="1008"/>
      <c r="AA14" s="1011"/>
      <c r="AB14" s="1012"/>
    </row>
    <row r="15" spans="1:28" ht="14.25" hidden="1" outlineLevel="2">
      <c r="A15" s="998" t="s">
        <v>479</v>
      </c>
      <c r="B15" s="999"/>
      <c r="C15" s="1000"/>
      <c r="D15" s="1013"/>
      <c r="E15" s="1002"/>
      <c r="F15" s="1003"/>
      <c r="G15" s="1004"/>
      <c r="H15" s="1003"/>
      <c r="I15" s="1006"/>
      <c r="J15" s="1003"/>
      <c r="K15" s="1006"/>
      <c r="L15" s="1010"/>
      <c r="M15" s="1006"/>
      <c r="N15" s="1007"/>
      <c r="O15" s="1008"/>
      <c r="P15" s="1009"/>
      <c r="Q15" s="1003"/>
      <c r="R15" s="1006"/>
      <c r="S15" s="1003"/>
      <c r="T15" s="1006"/>
      <c r="U15" s="1003"/>
      <c r="V15" s="1006"/>
      <c r="W15" s="1010"/>
      <c r="X15" s="1006"/>
      <c r="Y15" s="1007"/>
      <c r="Z15" s="1008"/>
      <c r="AA15" s="1011"/>
      <c r="AB15" s="1012"/>
    </row>
    <row r="16" spans="1:28" ht="14.25" outlineLevel="1" collapsed="1">
      <c r="A16" s="998" t="s">
        <v>480</v>
      </c>
      <c r="B16" s="999"/>
      <c r="C16" s="1000"/>
      <c r="D16" s="1013"/>
      <c r="E16" s="1002"/>
      <c r="F16" s="1003">
        <v>90000</v>
      </c>
      <c r="G16" s="1004"/>
      <c r="H16" s="1003">
        <v>90000</v>
      </c>
      <c r="I16" s="1006"/>
      <c r="J16" s="1003">
        <v>90000</v>
      </c>
      <c r="K16" s="1006"/>
      <c r="L16" s="1010">
        <v>90000</v>
      </c>
      <c r="M16" s="1006"/>
      <c r="N16" s="1007"/>
      <c r="O16" s="1008"/>
      <c r="P16" s="1009"/>
      <c r="Q16" s="1003">
        <v>90000</v>
      </c>
      <c r="R16" s="1006"/>
      <c r="S16" s="1003">
        <v>90000</v>
      </c>
      <c r="T16" s="1006"/>
      <c r="U16" s="1003">
        <v>90000</v>
      </c>
      <c r="V16" s="1006"/>
      <c r="W16" s="1010">
        <v>90000</v>
      </c>
      <c r="X16" s="1006"/>
      <c r="Y16" s="1007"/>
      <c r="Z16" s="1008"/>
      <c r="AA16" s="1011"/>
      <c r="AB16" s="1012"/>
    </row>
    <row r="17" spans="1:28" ht="14.25" outlineLevel="1">
      <c r="A17" s="1014" t="s">
        <v>481</v>
      </c>
      <c r="B17" s="1015"/>
      <c r="C17" s="1016"/>
      <c r="D17" s="1017"/>
      <c r="E17" s="1018"/>
      <c r="F17" s="1019">
        <v>210000</v>
      </c>
      <c r="G17" s="1020"/>
      <c r="H17" s="1019">
        <v>210000</v>
      </c>
      <c r="I17" s="1022"/>
      <c r="J17" s="1019">
        <v>210000</v>
      </c>
      <c r="K17" s="1022"/>
      <c r="L17" s="1021">
        <v>210000</v>
      </c>
      <c r="M17" s="1022"/>
      <c r="N17" s="1023"/>
      <c r="O17" s="1024"/>
      <c r="P17" s="1025"/>
      <c r="Q17" s="1019">
        <v>210000</v>
      </c>
      <c r="R17" s="1022"/>
      <c r="S17" s="1019">
        <v>210000</v>
      </c>
      <c r="T17" s="1022"/>
      <c r="U17" s="1019">
        <v>210000</v>
      </c>
      <c r="V17" s="1022"/>
      <c r="W17" s="1021">
        <v>210000</v>
      </c>
      <c r="X17" s="1022"/>
      <c r="Y17" s="1023"/>
      <c r="Z17" s="1024"/>
      <c r="AA17" s="1026"/>
      <c r="AB17" s="1027"/>
    </row>
    <row r="18" spans="1:28">
      <c r="A18" s="1028" t="s">
        <v>482</v>
      </c>
      <c r="B18" s="1029"/>
      <c r="C18" s="987"/>
      <c r="D18" s="988"/>
      <c r="E18" s="989"/>
      <c r="F18" s="1030">
        <v>0.88</v>
      </c>
      <c r="G18" s="991"/>
      <c r="H18" s="1030">
        <v>0.87</v>
      </c>
      <c r="I18" s="993"/>
      <c r="J18" s="1030">
        <v>0.86</v>
      </c>
      <c r="K18" s="993"/>
      <c r="L18" s="1031">
        <v>0.88</v>
      </c>
      <c r="M18" s="993"/>
      <c r="N18" s="994"/>
      <c r="O18" s="966"/>
      <c r="P18" s="995"/>
      <c r="Q18" s="1030">
        <v>0.88</v>
      </c>
      <c r="R18" s="993"/>
      <c r="S18" s="1030">
        <v>0.87</v>
      </c>
      <c r="T18" s="993"/>
      <c r="U18" s="1030">
        <v>0.86</v>
      </c>
      <c r="V18" s="993"/>
      <c r="W18" s="1031">
        <v>0.88</v>
      </c>
      <c r="X18" s="993"/>
      <c r="Y18" s="994"/>
      <c r="Z18" s="966"/>
      <c r="AA18" s="997"/>
      <c r="AB18" s="969"/>
    </row>
    <row r="19" spans="1:28">
      <c r="A19" s="1032" t="s">
        <v>483</v>
      </c>
      <c r="B19" s="1033"/>
      <c r="C19" s="1034"/>
      <c r="D19" s="1035"/>
      <c r="E19" s="1036"/>
      <c r="F19" s="1037">
        <f>1/F18</f>
        <v>1.1363636363636365</v>
      </c>
      <c r="G19" s="1038"/>
      <c r="H19" s="1037">
        <f>1/H18</f>
        <v>1.1494252873563218</v>
      </c>
      <c r="I19" s="1040"/>
      <c r="J19" s="1037">
        <f>1/J18</f>
        <v>1.1627906976744187</v>
      </c>
      <c r="K19" s="1040"/>
      <c r="L19" s="1039">
        <f>1/L18</f>
        <v>1.1363636363636365</v>
      </c>
      <c r="M19" s="1040"/>
      <c r="N19" s="1041"/>
      <c r="O19" s="981"/>
      <c r="P19" s="1042"/>
      <c r="Q19" s="1037">
        <f>1/Q18</f>
        <v>1.1363636363636365</v>
      </c>
      <c r="R19" s="1040"/>
      <c r="S19" s="1037">
        <f>1/S18</f>
        <v>1.1494252873563218</v>
      </c>
      <c r="T19" s="1040"/>
      <c r="U19" s="1037">
        <f>1/U18</f>
        <v>1.1627906976744187</v>
      </c>
      <c r="V19" s="1040"/>
      <c r="W19" s="1039">
        <f>1/W18</f>
        <v>1.1363636363636365</v>
      </c>
      <c r="X19" s="1040"/>
      <c r="Y19" s="1041"/>
      <c r="Z19" s="981"/>
      <c r="AA19" s="1043"/>
      <c r="AB19" s="984"/>
    </row>
    <row r="20" spans="1:28" s="1055" customFormat="1">
      <c r="A20" s="1044" t="s">
        <v>484</v>
      </c>
      <c r="B20" s="1045"/>
      <c r="C20" s="1046"/>
      <c r="D20" s="1047"/>
      <c r="E20" s="1048"/>
      <c r="F20" s="1049">
        <f>SUM(F21:F28)</f>
        <v>429.54545454545456</v>
      </c>
      <c r="G20" s="991"/>
      <c r="H20" s="1049">
        <f>SUM(H21:H28)</f>
        <v>0</v>
      </c>
      <c r="I20" s="993"/>
      <c r="J20" s="1049">
        <f>SUM(J21:J28)</f>
        <v>0</v>
      </c>
      <c r="K20" s="993"/>
      <c r="L20" s="1049">
        <f>SUM(L21:L28)</f>
        <v>0</v>
      </c>
      <c r="M20" s="993"/>
      <c r="N20" s="1050">
        <f t="shared" ref="N20:N28" si="0">F20+H20+J20+L20</f>
        <v>429.54545454545456</v>
      </c>
      <c r="O20" s="1051"/>
      <c r="P20" s="1052"/>
      <c r="Q20" s="1049">
        <f>SUM(Q21:Q28)</f>
        <v>0</v>
      </c>
      <c r="R20" s="993"/>
      <c r="S20" s="1049">
        <f>SUM(S21:S28)</f>
        <v>0</v>
      </c>
      <c r="T20" s="993"/>
      <c r="U20" s="1049">
        <f>SUM(U21:U28)</f>
        <v>0</v>
      </c>
      <c r="V20" s="993"/>
      <c r="W20" s="1049">
        <f>SUM(W21:W28)</f>
        <v>0</v>
      </c>
      <c r="X20" s="993"/>
      <c r="Y20" s="1050">
        <f t="shared" ref="Y20:Y28" si="1">Q20+S20+U20+W20</f>
        <v>0</v>
      </c>
      <c r="Z20" s="1051"/>
      <c r="AA20" s="1053">
        <f t="shared" ref="AA20:AA28" si="2">N20+Y20</f>
        <v>429.54545454545456</v>
      </c>
      <c r="AB20" s="1054"/>
    </row>
    <row r="21" spans="1:28" outlineLevel="1">
      <c r="A21" s="1056" t="s">
        <v>321</v>
      </c>
      <c r="B21" s="999"/>
      <c r="C21" s="1057"/>
      <c r="D21" s="1058"/>
      <c r="E21" s="1059"/>
      <c r="F21" s="1060">
        <f>(F19*0.62)*F6</f>
        <v>266.31818181818181</v>
      </c>
      <c r="G21" s="1004"/>
      <c r="H21" s="1060"/>
      <c r="I21" s="1006"/>
      <c r="J21" s="1060">
        <f>(J19*0.7)*J6</f>
        <v>0</v>
      </c>
      <c r="K21" s="1006"/>
      <c r="L21" s="1060">
        <f>(L19*0.62)*L6</f>
        <v>0</v>
      </c>
      <c r="M21" s="1006"/>
      <c r="N21" s="1061">
        <f t="shared" si="0"/>
        <v>266.31818181818181</v>
      </c>
      <c r="O21" s="1062"/>
      <c r="P21" s="1063"/>
      <c r="Q21" s="1060">
        <f>(Q19*0.62)*Q6</f>
        <v>0</v>
      </c>
      <c r="R21" s="1006"/>
      <c r="S21" s="1060"/>
      <c r="T21" s="1006"/>
      <c r="U21" s="1060">
        <f>(U19*0.7)*U6</f>
        <v>0</v>
      </c>
      <c r="V21" s="1006"/>
      <c r="W21" s="1060">
        <f>(W19*0.62)*W6</f>
        <v>0</v>
      </c>
      <c r="X21" s="1006"/>
      <c r="Y21" s="1061">
        <f t="shared" si="1"/>
        <v>0</v>
      </c>
      <c r="Z21" s="1062"/>
      <c r="AA21" s="1064">
        <f t="shared" si="2"/>
        <v>266.31818181818181</v>
      </c>
      <c r="AB21" s="1065"/>
    </row>
    <row r="22" spans="1:28" outlineLevel="1">
      <c r="A22" s="1056" t="s">
        <v>475</v>
      </c>
      <c r="B22" s="999"/>
      <c r="C22" s="1057"/>
      <c r="D22" s="1058"/>
      <c r="E22" s="1059"/>
      <c r="F22" s="1060">
        <f>(F19*0.38)*F6</f>
        <v>163.22727272727275</v>
      </c>
      <c r="G22" s="1004"/>
      <c r="H22" s="1060">
        <f>H19*H6</f>
        <v>0</v>
      </c>
      <c r="I22" s="1006"/>
      <c r="J22" s="1060">
        <f>(J19*0.3)*J6</f>
        <v>0</v>
      </c>
      <c r="K22" s="1006"/>
      <c r="L22" s="1060">
        <f>(L19*0.38)*L6</f>
        <v>0</v>
      </c>
      <c r="M22" s="1006"/>
      <c r="N22" s="1061">
        <f t="shared" si="0"/>
        <v>163.22727272727275</v>
      </c>
      <c r="O22" s="1062"/>
      <c r="P22" s="1063"/>
      <c r="Q22" s="1060">
        <f>(Q19*0.38)*Q6</f>
        <v>0</v>
      </c>
      <c r="R22" s="1006"/>
      <c r="S22" s="1060">
        <f>S19*S6</f>
        <v>0</v>
      </c>
      <c r="T22" s="1006"/>
      <c r="U22" s="1060">
        <f>(U19*0.3)*U6</f>
        <v>0</v>
      </c>
      <c r="V22" s="1006"/>
      <c r="W22" s="1060">
        <f>(W19*0.38)*W6</f>
        <v>0</v>
      </c>
      <c r="X22" s="1006"/>
      <c r="Y22" s="1061">
        <f t="shared" si="1"/>
        <v>0</v>
      </c>
      <c r="Z22" s="1062"/>
      <c r="AA22" s="1064">
        <f t="shared" si="2"/>
        <v>163.22727272727275</v>
      </c>
      <c r="AB22" s="1065"/>
    </row>
    <row r="23" spans="1:28" hidden="1" outlineLevel="2">
      <c r="A23" s="1056" t="s">
        <v>476</v>
      </c>
      <c r="B23" s="999"/>
      <c r="C23" s="1057"/>
      <c r="D23" s="1058"/>
      <c r="E23" s="1059"/>
      <c r="F23" s="1060"/>
      <c r="G23" s="1004"/>
      <c r="H23" s="1060"/>
      <c r="I23" s="1006"/>
      <c r="J23" s="1060"/>
      <c r="K23" s="1006"/>
      <c r="L23" s="1060"/>
      <c r="M23" s="1006"/>
      <c r="N23" s="1061">
        <f t="shared" si="0"/>
        <v>0</v>
      </c>
      <c r="O23" s="1062"/>
      <c r="P23" s="1063"/>
      <c r="Q23" s="1060"/>
      <c r="R23" s="1006"/>
      <c r="S23" s="1060"/>
      <c r="T23" s="1006"/>
      <c r="U23" s="1060"/>
      <c r="V23" s="1006"/>
      <c r="W23" s="1060"/>
      <c r="X23" s="1006"/>
      <c r="Y23" s="1061">
        <f t="shared" si="1"/>
        <v>0</v>
      </c>
      <c r="Z23" s="1062"/>
      <c r="AA23" s="1064">
        <f t="shared" si="2"/>
        <v>0</v>
      </c>
      <c r="AB23" s="1065"/>
    </row>
    <row r="24" spans="1:28" hidden="1" outlineLevel="2">
      <c r="A24" s="1056" t="s">
        <v>477</v>
      </c>
      <c r="B24" s="999"/>
      <c r="C24" s="1057"/>
      <c r="D24" s="1058"/>
      <c r="E24" s="1059"/>
      <c r="F24" s="1060"/>
      <c r="G24" s="1004"/>
      <c r="H24" s="1060"/>
      <c r="I24" s="1006"/>
      <c r="J24" s="1060"/>
      <c r="K24" s="1006"/>
      <c r="L24" s="1060"/>
      <c r="M24" s="1006"/>
      <c r="N24" s="1061">
        <f t="shared" si="0"/>
        <v>0</v>
      </c>
      <c r="O24" s="1062"/>
      <c r="P24" s="1063"/>
      <c r="Q24" s="1060"/>
      <c r="R24" s="1006"/>
      <c r="S24" s="1060"/>
      <c r="T24" s="1006"/>
      <c r="U24" s="1060"/>
      <c r="V24" s="1006"/>
      <c r="W24" s="1060"/>
      <c r="X24" s="1006"/>
      <c r="Y24" s="1061">
        <f t="shared" si="1"/>
        <v>0</v>
      </c>
      <c r="Z24" s="1062"/>
      <c r="AA24" s="1064">
        <f t="shared" si="2"/>
        <v>0</v>
      </c>
      <c r="AB24" s="1065"/>
    </row>
    <row r="25" spans="1:28" hidden="1" outlineLevel="2">
      <c r="A25" s="1056" t="s">
        <v>478</v>
      </c>
      <c r="B25" s="999"/>
      <c r="C25" s="1057"/>
      <c r="D25" s="1058"/>
      <c r="E25" s="1059"/>
      <c r="F25" s="1060"/>
      <c r="G25" s="1004"/>
      <c r="H25" s="1060"/>
      <c r="I25" s="1006"/>
      <c r="J25" s="1060"/>
      <c r="K25" s="1006"/>
      <c r="L25" s="1060"/>
      <c r="M25" s="1006"/>
      <c r="N25" s="1061">
        <f t="shared" si="0"/>
        <v>0</v>
      </c>
      <c r="O25" s="1062"/>
      <c r="P25" s="1063"/>
      <c r="Q25" s="1060"/>
      <c r="R25" s="1006"/>
      <c r="S25" s="1060"/>
      <c r="T25" s="1006"/>
      <c r="U25" s="1060"/>
      <c r="V25" s="1006"/>
      <c r="W25" s="1060"/>
      <c r="X25" s="1006"/>
      <c r="Y25" s="1061">
        <f t="shared" si="1"/>
        <v>0</v>
      </c>
      <c r="Z25" s="1062"/>
      <c r="AA25" s="1064">
        <f t="shared" si="2"/>
        <v>0</v>
      </c>
      <c r="AB25" s="1065"/>
    </row>
    <row r="26" spans="1:28" hidden="1" outlineLevel="2">
      <c r="A26" s="1056" t="s">
        <v>479</v>
      </c>
      <c r="B26" s="999"/>
      <c r="C26" s="1057"/>
      <c r="D26" s="1058"/>
      <c r="E26" s="1059"/>
      <c r="F26" s="1060"/>
      <c r="G26" s="1004"/>
      <c r="H26" s="1060"/>
      <c r="I26" s="1006"/>
      <c r="J26" s="1060"/>
      <c r="K26" s="1006"/>
      <c r="L26" s="1060"/>
      <c r="M26" s="1006"/>
      <c r="N26" s="1061">
        <f t="shared" si="0"/>
        <v>0</v>
      </c>
      <c r="O26" s="1062"/>
      <c r="P26" s="1063"/>
      <c r="Q26" s="1060"/>
      <c r="R26" s="1006"/>
      <c r="S26" s="1060"/>
      <c r="T26" s="1006"/>
      <c r="U26" s="1060"/>
      <c r="V26" s="1006"/>
      <c r="W26" s="1060"/>
      <c r="X26" s="1006"/>
      <c r="Y26" s="1061">
        <f t="shared" si="1"/>
        <v>0</v>
      </c>
      <c r="Z26" s="1062"/>
      <c r="AA26" s="1064">
        <f t="shared" si="2"/>
        <v>0</v>
      </c>
      <c r="AB26" s="1065"/>
    </row>
    <row r="27" spans="1:28" outlineLevel="1" collapsed="1">
      <c r="A27" s="1056" t="s">
        <v>480</v>
      </c>
      <c r="B27" s="999"/>
      <c r="C27" s="1066"/>
      <c r="D27" s="1067"/>
      <c r="E27" s="1059"/>
      <c r="F27" s="1060"/>
      <c r="G27" s="1004"/>
      <c r="H27" s="1060">
        <f>0.041*H6</f>
        <v>0</v>
      </c>
      <c r="I27" s="1006"/>
      <c r="J27" s="1060"/>
      <c r="K27" s="1006"/>
      <c r="L27" s="1060"/>
      <c r="M27" s="1006"/>
      <c r="N27" s="1061">
        <f t="shared" si="0"/>
        <v>0</v>
      </c>
      <c r="O27" s="1062"/>
      <c r="P27" s="1063"/>
      <c r="Q27" s="1060"/>
      <c r="R27" s="1006"/>
      <c r="S27" s="1060">
        <f>0.041*S6</f>
        <v>0</v>
      </c>
      <c r="T27" s="1006"/>
      <c r="U27" s="1060"/>
      <c r="V27" s="1006"/>
      <c r="W27" s="1060"/>
      <c r="X27" s="1006"/>
      <c r="Y27" s="1061">
        <f t="shared" si="1"/>
        <v>0</v>
      </c>
      <c r="Z27" s="1062"/>
      <c r="AA27" s="1064">
        <f t="shared" si="2"/>
        <v>0</v>
      </c>
      <c r="AB27" s="1065"/>
    </row>
    <row r="28" spans="1:28" outlineLevel="1">
      <c r="A28" s="1056" t="s">
        <v>481</v>
      </c>
      <c r="B28" s="999"/>
      <c r="C28" s="1066"/>
      <c r="D28" s="1067"/>
      <c r="E28" s="1059"/>
      <c r="F28" s="1060"/>
      <c r="G28" s="1004"/>
      <c r="H28" s="1060">
        <f>0.004*H6</f>
        <v>0</v>
      </c>
      <c r="I28" s="1006"/>
      <c r="J28" s="1060"/>
      <c r="K28" s="1006"/>
      <c r="L28" s="1060"/>
      <c r="M28" s="1006"/>
      <c r="N28" s="1061">
        <f t="shared" si="0"/>
        <v>0</v>
      </c>
      <c r="O28" s="1062"/>
      <c r="P28" s="1063"/>
      <c r="Q28" s="1060"/>
      <c r="R28" s="1006"/>
      <c r="S28" s="1060">
        <f>0.004*S6</f>
        <v>0</v>
      </c>
      <c r="T28" s="1006"/>
      <c r="U28" s="1060"/>
      <c r="V28" s="1006"/>
      <c r="W28" s="1060"/>
      <c r="X28" s="1006"/>
      <c r="Y28" s="1061">
        <f t="shared" si="1"/>
        <v>0</v>
      </c>
      <c r="Z28" s="1062"/>
      <c r="AA28" s="1064">
        <f t="shared" si="2"/>
        <v>0</v>
      </c>
      <c r="AB28" s="1065"/>
    </row>
    <row r="29" spans="1:28" outlineLevel="1">
      <c r="A29" s="1068"/>
      <c r="B29" s="1015"/>
      <c r="C29" s="1069"/>
      <c r="D29" s="1070"/>
      <c r="E29" s="1071"/>
      <c r="F29" s="1072"/>
      <c r="G29" s="1020"/>
      <c r="H29" s="1072"/>
      <c r="I29" s="1022"/>
      <c r="J29" s="1072"/>
      <c r="K29" s="1022"/>
      <c r="L29" s="1072"/>
      <c r="M29" s="1022"/>
      <c r="N29" s="1041"/>
      <c r="O29" s="981"/>
      <c r="P29" s="1042"/>
      <c r="Q29" s="1072"/>
      <c r="R29" s="1022"/>
      <c r="S29" s="1072"/>
      <c r="T29" s="1022"/>
      <c r="U29" s="1072"/>
      <c r="V29" s="1022"/>
      <c r="W29" s="1072"/>
      <c r="X29" s="1022"/>
      <c r="Y29" s="1041"/>
      <c r="Z29" s="981"/>
      <c r="AA29" s="1043"/>
      <c r="AB29" s="984"/>
    </row>
    <row r="30" spans="1:28" s="1087" customFormat="1">
      <c r="A30" s="1073" t="s">
        <v>485</v>
      </c>
      <c r="B30" s="1074"/>
      <c r="C30" s="1075" t="s">
        <v>486</v>
      </c>
      <c r="D30" s="1076" t="s">
        <v>487</v>
      </c>
      <c r="E30" s="1077"/>
      <c r="F30" s="1078">
        <f>SUM(F31:F33)</f>
        <v>36288982.800000004</v>
      </c>
      <c r="G30" s="1079">
        <f t="shared" ref="G30:G56" si="3">IF($F$6=0,0,F30/$F$6)</f>
        <v>96002.6</v>
      </c>
      <c r="H30" s="1078">
        <f>SUM(H31:H33)</f>
        <v>0</v>
      </c>
      <c r="I30" s="1081">
        <f t="shared" ref="I30:I56" si="4">IF($H$6=0,0,H30/$H$6)</f>
        <v>0</v>
      </c>
      <c r="J30" s="1078">
        <f>SUM(J31:J33)</f>
        <v>0</v>
      </c>
      <c r="K30" s="1081">
        <f t="shared" ref="K30:K56" si="5">IF($J$6=0,0,J30/$J$6)</f>
        <v>0</v>
      </c>
      <c r="L30" s="1080">
        <f>SUM(L31:L33)</f>
        <v>0</v>
      </c>
      <c r="M30" s="1081">
        <f t="shared" ref="M30:M56" si="6">IF($L$6=0,0,L30/$L$6)</f>
        <v>0</v>
      </c>
      <c r="N30" s="1082">
        <f t="shared" ref="N30:N48" si="7">F30+H30+J30+L30</f>
        <v>36288982.800000004</v>
      </c>
      <c r="O30" s="1083">
        <f t="shared" ref="O30:O49" si="8">IF($N$6=0,0,N30/$N$6)</f>
        <v>96002.6</v>
      </c>
      <c r="P30" s="1084"/>
      <c r="Q30" s="1078">
        <f>SUM(Q31:Q33)</f>
        <v>0</v>
      </c>
      <c r="R30" s="1081">
        <f t="shared" ref="R30:R56" si="9">IF($Q$6=0,0,Q30/$Q$6)</f>
        <v>0</v>
      </c>
      <c r="S30" s="1078">
        <f>SUM(S31:S33)</f>
        <v>0</v>
      </c>
      <c r="T30" s="1081">
        <f t="shared" ref="T30:T56" si="10">IF($S$6=0,0,S30/$S$6)</f>
        <v>0</v>
      </c>
      <c r="U30" s="1078">
        <f>SUM(U31:U33)</f>
        <v>0</v>
      </c>
      <c r="V30" s="1081">
        <f t="shared" ref="V30:V56" si="11">IF($U$6=0,0,U30/$U$6)</f>
        <v>0</v>
      </c>
      <c r="W30" s="1080">
        <f>SUM(W31:W33)</f>
        <v>0</v>
      </c>
      <c r="X30" s="1081">
        <f t="shared" ref="X30:X56" si="12">IF($W$6=0,0,W30/$W$6)</f>
        <v>0</v>
      </c>
      <c r="Y30" s="1082">
        <f t="shared" ref="Y30:Y48" si="13">Q30+S30+U30+W30</f>
        <v>0</v>
      </c>
      <c r="Z30" s="1083">
        <f t="shared" ref="Z30:Z47" si="14">IF($Y$6=0,0,Y30/$Y$6)</f>
        <v>0</v>
      </c>
      <c r="AA30" s="1085">
        <f t="shared" ref="AA30:AA47" si="15">N30+Y30</f>
        <v>36288982.800000004</v>
      </c>
      <c r="AB30" s="1086">
        <f t="shared" ref="AB30:AB49" si="16">IF($AA$6=0,0,AA30/$AA$6)</f>
        <v>96002.6</v>
      </c>
    </row>
    <row r="31" spans="1:28" outlineLevel="1">
      <c r="A31" s="1088" t="s">
        <v>488</v>
      </c>
      <c r="B31" s="1089"/>
      <c r="C31" s="1090"/>
      <c r="D31" s="1091"/>
      <c r="E31" s="1092"/>
      <c r="F31" s="1093">
        <f>F6*F8</f>
        <v>35569497.600000001</v>
      </c>
      <c r="G31" s="1094">
        <f t="shared" si="3"/>
        <v>94099.199999999997</v>
      </c>
      <c r="H31" s="1093">
        <f>H6*H8</f>
        <v>0</v>
      </c>
      <c r="I31" s="1096">
        <f t="shared" si="4"/>
        <v>0</v>
      </c>
      <c r="J31" s="1093">
        <f>J6*J8</f>
        <v>0</v>
      </c>
      <c r="K31" s="1096">
        <f t="shared" si="5"/>
        <v>0</v>
      </c>
      <c r="L31" s="1095">
        <f>L6*L8</f>
        <v>0</v>
      </c>
      <c r="M31" s="1096">
        <f t="shared" si="6"/>
        <v>0</v>
      </c>
      <c r="N31" s="1097">
        <f t="shared" si="7"/>
        <v>35569497.600000001</v>
      </c>
      <c r="O31" s="1098">
        <f t="shared" si="8"/>
        <v>94099.199999999997</v>
      </c>
      <c r="P31" s="1099"/>
      <c r="Q31" s="1093">
        <f>Q6*Q8</f>
        <v>0</v>
      </c>
      <c r="R31" s="1096">
        <f t="shared" si="9"/>
        <v>0</v>
      </c>
      <c r="S31" s="1093">
        <f>S6*S8</f>
        <v>0</v>
      </c>
      <c r="T31" s="1096">
        <f t="shared" si="10"/>
        <v>0</v>
      </c>
      <c r="U31" s="1093">
        <f>U6*U8</f>
        <v>0</v>
      </c>
      <c r="V31" s="1096">
        <f t="shared" si="11"/>
        <v>0</v>
      </c>
      <c r="W31" s="1095">
        <f>W6*W8</f>
        <v>0</v>
      </c>
      <c r="X31" s="1096">
        <f t="shared" si="12"/>
        <v>0</v>
      </c>
      <c r="Y31" s="1097">
        <f t="shared" si="13"/>
        <v>0</v>
      </c>
      <c r="Z31" s="1098">
        <f t="shared" si="14"/>
        <v>0</v>
      </c>
      <c r="AA31" s="1100">
        <f t="shared" si="15"/>
        <v>35569497.600000001</v>
      </c>
      <c r="AB31" s="1101">
        <f t="shared" si="16"/>
        <v>94099.199999999997</v>
      </c>
    </row>
    <row r="32" spans="1:28" outlineLevel="1">
      <c r="A32" s="1088" t="s">
        <v>489</v>
      </c>
      <c r="B32" s="1089"/>
      <c r="C32" s="1102">
        <v>6.7000000000000004E-2</v>
      </c>
      <c r="D32" s="1103">
        <v>24200</v>
      </c>
      <c r="E32" s="1092"/>
      <c r="F32" s="1093">
        <f>F6*$C32*$D32</f>
        <v>612889.20000000007</v>
      </c>
      <c r="G32" s="1094">
        <f t="shared" si="3"/>
        <v>1621.4</v>
      </c>
      <c r="H32" s="1093">
        <f>H6*$C32*$D32</f>
        <v>0</v>
      </c>
      <c r="I32" s="1096">
        <f t="shared" si="4"/>
        <v>0</v>
      </c>
      <c r="J32" s="1093">
        <f>J6*$C32*$D32</f>
        <v>0</v>
      </c>
      <c r="K32" s="1096">
        <f t="shared" si="5"/>
        <v>0</v>
      </c>
      <c r="L32" s="1095">
        <f>L6*$C32*$D32</f>
        <v>0</v>
      </c>
      <c r="M32" s="1096">
        <f t="shared" si="6"/>
        <v>0</v>
      </c>
      <c r="N32" s="1097">
        <f t="shared" si="7"/>
        <v>612889.20000000007</v>
      </c>
      <c r="O32" s="1098">
        <f t="shared" si="8"/>
        <v>1621.4</v>
      </c>
      <c r="P32" s="1099"/>
      <c r="Q32" s="1093">
        <f>Q6*$C32*$D32</f>
        <v>0</v>
      </c>
      <c r="R32" s="1096">
        <f t="shared" si="9"/>
        <v>0</v>
      </c>
      <c r="S32" s="1093">
        <f>S6*$C32*$D32</f>
        <v>0</v>
      </c>
      <c r="T32" s="1096">
        <f t="shared" si="10"/>
        <v>0</v>
      </c>
      <c r="U32" s="1093">
        <f>U6*$C32*$D32</f>
        <v>0</v>
      </c>
      <c r="V32" s="1096">
        <f t="shared" si="11"/>
        <v>0</v>
      </c>
      <c r="W32" s="1095">
        <f>W6*$C32*$D32</f>
        <v>0</v>
      </c>
      <c r="X32" s="1096">
        <f t="shared" si="12"/>
        <v>0</v>
      </c>
      <c r="Y32" s="1097">
        <f t="shared" si="13"/>
        <v>0</v>
      </c>
      <c r="Z32" s="1098">
        <f t="shared" si="14"/>
        <v>0</v>
      </c>
      <c r="AA32" s="1100">
        <f t="shared" si="15"/>
        <v>612889.20000000007</v>
      </c>
      <c r="AB32" s="1101">
        <f t="shared" si="16"/>
        <v>1621.4</v>
      </c>
    </row>
    <row r="33" spans="1:28" outlineLevel="1">
      <c r="A33" s="1104" t="s">
        <v>320</v>
      </c>
      <c r="B33" s="1105"/>
      <c r="C33" s="1106">
        <v>4.7E-2</v>
      </c>
      <c r="D33" s="1107">
        <v>6000</v>
      </c>
      <c r="E33" s="1108"/>
      <c r="F33" s="1109">
        <f>F6*$C33*$D33</f>
        <v>106596.00000000001</v>
      </c>
      <c r="G33" s="1110">
        <f t="shared" si="3"/>
        <v>282.00000000000006</v>
      </c>
      <c r="H33" s="1109">
        <f>H6*$C33*$D33</f>
        <v>0</v>
      </c>
      <c r="I33" s="1112">
        <f t="shared" si="4"/>
        <v>0</v>
      </c>
      <c r="J33" s="1109">
        <f>J6*$C33*$D33</f>
        <v>0</v>
      </c>
      <c r="K33" s="1112">
        <f t="shared" si="5"/>
        <v>0</v>
      </c>
      <c r="L33" s="1111">
        <f>L6*$C33*$D33</f>
        <v>0</v>
      </c>
      <c r="M33" s="1112">
        <f t="shared" si="6"/>
        <v>0</v>
      </c>
      <c r="N33" s="1113">
        <f t="shared" si="7"/>
        <v>106596.00000000001</v>
      </c>
      <c r="O33" s="1114">
        <f t="shared" si="8"/>
        <v>282.00000000000006</v>
      </c>
      <c r="P33" s="1115"/>
      <c r="Q33" s="1109">
        <f>Q6*$C33*$D33</f>
        <v>0</v>
      </c>
      <c r="R33" s="1112">
        <f t="shared" si="9"/>
        <v>0</v>
      </c>
      <c r="S33" s="1109">
        <f>S6*$C33*$D33</f>
        <v>0</v>
      </c>
      <c r="T33" s="1112">
        <f t="shared" si="10"/>
        <v>0</v>
      </c>
      <c r="U33" s="1109">
        <f>U6*$C33*$D33</f>
        <v>0</v>
      </c>
      <c r="V33" s="1112">
        <f t="shared" si="11"/>
        <v>0</v>
      </c>
      <c r="W33" s="1111">
        <f>W6*$C33*$D33</f>
        <v>0</v>
      </c>
      <c r="X33" s="1112">
        <f t="shared" si="12"/>
        <v>0</v>
      </c>
      <c r="Y33" s="1113">
        <f t="shared" si="13"/>
        <v>0</v>
      </c>
      <c r="Z33" s="1114">
        <f t="shared" si="14"/>
        <v>0</v>
      </c>
      <c r="AA33" s="1116">
        <f t="shared" si="15"/>
        <v>106596.00000000001</v>
      </c>
      <c r="AB33" s="1117">
        <f t="shared" si="16"/>
        <v>282.00000000000006</v>
      </c>
    </row>
    <row r="34" spans="1:28" s="1087" customFormat="1">
      <c r="A34" s="1118" t="s">
        <v>490</v>
      </c>
      <c r="B34" s="1119"/>
      <c r="C34" s="1120"/>
      <c r="D34" s="1121"/>
      <c r="E34" s="1122"/>
      <c r="F34" s="1123">
        <f>F35</f>
        <v>31270909.090909094</v>
      </c>
      <c r="G34" s="1124">
        <f t="shared" si="3"/>
        <v>82727.272727272735</v>
      </c>
      <c r="H34" s="1123">
        <f>H35</f>
        <v>0</v>
      </c>
      <c r="I34" s="1126">
        <f t="shared" si="4"/>
        <v>0</v>
      </c>
      <c r="J34" s="1123">
        <f>J35</f>
        <v>0</v>
      </c>
      <c r="K34" s="1126">
        <f t="shared" si="5"/>
        <v>0</v>
      </c>
      <c r="L34" s="1125">
        <f>L35</f>
        <v>0</v>
      </c>
      <c r="M34" s="1126">
        <f t="shared" si="6"/>
        <v>0</v>
      </c>
      <c r="N34" s="1127">
        <f t="shared" si="7"/>
        <v>31270909.090909094</v>
      </c>
      <c r="O34" s="1128">
        <f t="shared" si="8"/>
        <v>82727.272727272735</v>
      </c>
      <c r="P34" s="1084"/>
      <c r="Q34" s="1123">
        <f>Q35</f>
        <v>0</v>
      </c>
      <c r="R34" s="1126">
        <f t="shared" si="9"/>
        <v>0</v>
      </c>
      <c r="S34" s="1123">
        <f>S35</f>
        <v>0</v>
      </c>
      <c r="T34" s="1126">
        <f t="shared" si="10"/>
        <v>0</v>
      </c>
      <c r="U34" s="1123">
        <f>U35</f>
        <v>0</v>
      </c>
      <c r="V34" s="1126">
        <f t="shared" si="11"/>
        <v>0</v>
      </c>
      <c r="W34" s="1125">
        <f>W35</f>
        <v>0</v>
      </c>
      <c r="X34" s="1126">
        <f t="shared" si="12"/>
        <v>0</v>
      </c>
      <c r="Y34" s="1127">
        <f t="shared" si="13"/>
        <v>0</v>
      </c>
      <c r="Z34" s="1128">
        <f t="shared" si="14"/>
        <v>0</v>
      </c>
      <c r="AA34" s="1129">
        <f t="shared" si="15"/>
        <v>31270909.090909094</v>
      </c>
      <c r="AB34" s="1130">
        <f t="shared" si="16"/>
        <v>82727.272727272735</v>
      </c>
    </row>
    <row r="35" spans="1:28" s="1087" customFormat="1">
      <c r="A35" s="1131" t="s">
        <v>491</v>
      </c>
      <c r="B35" s="1132"/>
      <c r="C35" s="1133"/>
      <c r="D35" s="1134"/>
      <c r="E35" s="1135"/>
      <c r="F35" s="1136">
        <f>SUM(F36:F43)</f>
        <v>31270909.090909094</v>
      </c>
      <c r="G35" s="1137">
        <f t="shared" si="3"/>
        <v>82727.272727272735</v>
      </c>
      <c r="H35" s="1136">
        <f>SUM(H36:H43)</f>
        <v>0</v>
      </c>
      <c r="I35" s="1139">
        <f t="shared" si="4"/>
        <v>0</v>
      </c>
      <c r="J35" s="1136">
        <f>SUM(J36:J43)</f>
        <v>0</v>
      </c>
      <c r="K35" s="1139">
        <f t="shared" si="5"/>
        <v>0</v>
      </c>
      <c r="L35" s="1138">
        <f>SUM(L36:L43)</f>
        <v>0</v>
      </c>
      <c r="M35" s="1139">
        <f t="shared" si="6"/>
        <v>0</v>
      </c>
      <c r="N35" s="1140">
        <f t="shared" si="7"/>
        <v>31270909.090909094</v>
      </c>
      <c r="O35" s="1141">
        <f t="shared" si="8"/>
        <v>82727.272727272735</v>
      </c>
      <c r="P35" s="1142"/>
      <c r="Q35" s="1136">
        <f>SUM(Q36:Q43)</f>
        <v>0</v>
      </c>
      <c r="R35" s="1139">
        <f t="shared" si="9"/>
        <v>0</v>
      </c>
      <c r="S35" s="1136">
        <f>SUM(S36:S43)</f>
        <v>0</v>
      </c>
      <c r="T35" s="1139">
        <f t="shared" si="10"/>
        <v>0</v>
      </c>
      <c r="U35" s="1136">
        <f>SUM(U36:U43)</f>
        <v>0</v>
      </c>
      <c r="V35" s="1139">
        <f t="shared" si="11"/>
        <v>0</v>
      </c>
      <c r="W35" s="1138">
        <f>SUM(W36:W43)</f>
        <v>0</v>
      </c>
      <c r="X35" s="1139">
        <f t="shared" si="12"/>
        <v>0</v>
      </c>
      <c r="Y35" s="1140">
        <f t="shared" si="13"/>
        <v>0</v>
      </c>
      <c r="Z35" s="1141">
        <f t="shared" si="14"/>
        <v>0</v>
      </c>
      <c r="AA35" s="1143">
        <f t="shared" si="15"/>
        <v>31270909.090909094</v>
      </c>
      <c r="AB35" s="1144">
        <f t="shared" si="16"/>
        <v>82727.272727272735</v>
      </c>
    </row>
    <row r="36" spans="1:28" outlineLevel="1">
      <c r="A36" s="1056" t="s">
        <v>321</v>
      </c>
      <c r="B36" s="999"/>
      <c r="C36" s="1057"/>
      <c r="D36" s="1058"/>
      <c r="E36" s="1145"/>
      <c r="F36" s="1093">
        <f t="shared" ref="F36:F43" si="17">F10*F21</f>
        <v>19387963.636363637</v>
      </c>
      <c r="G36" s="1094">
        <f t="shared" si="3"/>
        <v>51290.909090909088</v>
      </c>
      <c r="H36" s="1093">
        <f t="shared" ref="H36:H43" si="18">H10*H21</f>
        <v>0</v>
      </c>
      <c r="I36" s="1096">
        <f t="shared" si="4"/>
        <v>0</v>
      </c>
      <c r="J36" s="1093">
        <f t="shared" ref="J36:J43" si="19">J10*J21</f>
        <v>0</v>
      </c>
      <c r="K36" s="1096">
        <f t="shared" si="5"/>
        <v>0</v>
      </c>
      <c r="L36" s="1095">
        <f t="shared" ref="L36:L43" si="20">L10*L21</f>
        <v>0</v>
      </c>
      <c r="M36" s="1096">
        <f t="shared" si="6"/>
        <v>0</v>
      </c>
      <c r="N36" s="1097">
        <f t="shared" si="7"/>
        <v>19387963.636363637</v>
      </c>
      <c r="O36" s="1098">
        <f t="shared" si="8"/>
        <v>51290.909090909088</v>
      </c>
      <c r="P36" s="1099"/>
      <c r="Q36" s="1093">
        <f t="shared" ref="Q36:Q43" si="21">Q10*Q21</f>
        <v>0</v>
      </c>
      <c r="R36" s="1096">
        <f t="shared" si="9"/>
        <v>0</v>
      </c>
      <c r="S36" s="1093">
        <f t="shared" ref="S36:S43" si="22">S10*S21</f>
        <v>0</v>
      </c>
      <c r="T36" s="1096">
        <f t="shared" si="10"/>
        <v>0</v>
      </c>
      <c r="U36" s="1093">
        <f t="shared" ref="U36:U43" si="23">U10*U21</f>
        <v>0</v>
      </c>
      <c r="V36" s="1096">
        <f t="shared" si="11"/>
        <v>0</v>
      </c>
      <c r="W36" s="1095">
        <f t="shared" ref="W36:W43" si="24">W10*W21</f>
        <v>0</v>
      </c>
      <c r="X36" s="1096">
        <f t="shared" si="12"/>
        <v>0</v>
      </c>
      <c r="Y36" s="1097">
        <f t="shared" si="13"/>
        <v>0</v>
      </c>
      <c r="Z36" s="1098">
        <f t="shared" si="14"/>
        <v>0</v>
      </c>
      <c r="AA36" s="1100">
        <f t="shared" si="15"/>
        <v>19387963.636363637</v>
      </c>
      <c r="AB36" s="1101">
        <f t="shared" si="16"/>
        <v>51290.909090909088</v>
      </c>
    </row>
    <row r="37" spans="1:28" outlineLevel="1">
      <c r="A37" s="1056" t="s">
        <v>475</v>
      </c>
      <c r="B37" s="999"/>
      <c r="C37" s="1057"/>
      <c r="D37" s="1058"/>
      <c r="E37" s="1145"/>
      <c r="F37" s="1093">
        <f t="shared" si="17"/>
        <v>11882945.454545457</v>
      </c>
      <c r="G37" s="1094">
        <f t="shared" si="3"/>
        <v>31436.363636363643</v>
      </c>
      <c r="H37" s="1093">
        <f t="shared" si="18"/>
        <v>0</v>
      </c>
      <c r="I37" s="1096">
        <f t="shared" si="4"/>
        <v>0</v>
      </c>
      <c r="J37" s="1093">
        <f t="shared" si="19"/>
        <v>0</v>
      </c>
      <c r="K37" s="1096">
        <f t="shared" si="5"/>
        <v>0</v>
      </c>
      <c r="L37" s="1095">
        <f t="shared" si="20"/>
        <v>0</v>
      </c>
      <c r="M37" s="1096">
        <f t="shared" si="6"/>
        <v>0</v>
      </c>
      <c r="N37" s="1097">
        <f t="shared" si="7"/>
        <v>11882945.454545457</v>
      </c>
      <c r="O37" s="1098">
        <f t="shared" si="8"/>
        <v>31436.363636363643</v>
      </c>
      <c r="P37" s="1099"/>
      <c r="Q37" s="1093">
        <f t="shared" si="21"/>
        <v>0</v>
      </c>
      <c r="R37" s="1096">
        <f t="shared" si="9"/>
        <v>0</v>
      </c>
      <c r="S37" s="1093">
        <f t="shared" si="22"/>
        <v>0</v>
      </c>
      <c r="T37" s="1096">
        <f t="shared" si="10"/>
        <v>0</v>
      </c>
      <c r="U37" s="1093">
        <f t="shared" si="23"/>
        <v>0</v>
      </c>
      <c r="V37" s="1096">
        <f t="shared" si="11"/>
        <v>0</v>
      </c>
      <c r="W37" s="1095">
        <f t="shared" si="24"/>
        <v>0</v>
      </c>
      <c r="X37" s="1096">
        <f t="shared" si="12"/>
        <v>0</v>
      </c>
      <c r="Y37" s="1097">
        <f t="shared" si="13"/>
        <v>0</v>
      </c>
      <c r="Z37" s="1098">
        <f t="shared" si="14"/>
        <v>0</v>
      </c>
      <c r="AA37" s="1100">
        <f t="shared" si="15"/>
        <v>11882945.454545457</v>
      </c>
      <c r="AB37" s="1101">
        <f t="shared" si="16"/>
        <v>31436.363636363643</v>
      </c>
    </row>
    <row r="38" spans="1:28" hidden="1" outlineLevel="2">
      <c r="A38" s="1056" t="s">
        <v>476</v>
      </c>
      <c r="B38" s="999"/>
      <c r="C38" s="1057"/>
      <c r="D38" s="1058"/>
      <c r="E38" s="1145"/>
      <c r="F38" s="1093">
        <f t="shared" si="17"/>
        <v>0</v>
      </c>
      <c r="G38" s="1094">
        <f t="shared" si="3"/>
        <v>0</v>
      </c>
      <c r="H38" s="1093">
        <f t="shared" si="18"/>
        <v>0</v>
      </c>
      <c r="I38" s="1096">
        <f t="shared" si="4"/>
        <v>0</v>
      </c>
      <c r="J38" s="1093">
        <f t="shared" si="19"/>
        <v>0</v>
      </c>
      <c r="K38" s="1096">
        <f t="shared" si="5"/>
        <v>0</v>
      </c>
      <c r="L38" s="1095">
        <f t="shared" si="20"/>
        <v>0</v>
      </c>
      <c r="M38" s="1096">
        <f t="shared" si="6"/>
        <v>0</v>
      </c>
      <c r="N38" s="1097">
        <f t="shared" si="7"/>
        <v>0</v>
      </c>
      <c r="O38" s="1098">
        <f t="shared" si="8"/>
        <v>0</v>
      </c>
      <c r="P38" s="1099"/>
      <c r="Q38" s="1093">
        <f t="shared" si="21"/>
        <v>0</v>
      </c>
      <c r="R38" s="1096">
        <f t="shared" si="9"/>
        <v>0</v>
      </c>
      <c r="S38" s="1093">
        <f t="shared" si="22"/>
        <v>0</v>
      </c>
      <c r="T38" s="1096">
        <f t="shared" si="10"/>
        <v>0</v>
      </c>
      <c r="U38" s="1093">
        <f t="shared" si="23"/>
        <v>0</v>
      </c>
      <c r="V38" s="1096">
        <f t="shared" si="11"/>
        <v>0</v>
      </c>
      <c r="W38" s="1095">
        <f t="shared" si="24"/>
        <v>0</v>
      </c>
      <c r="X38" s="1096">
        <f t="shared" si="12"/>
        <v>0</v>
      </c>
      <c r="Y38" s="1097">
        <f t="shared" si="13"/>
        <v>0</v>
      </c>
      <c r="Z38" s="1098">
        <f t="shared" si="14"/>
        <v>0</v>
      </c>
      <c r="AA38" s="1100">
        <f t="shared" si="15"/>
        <v>0</v>
      </c>
      <c r="AB38" s="1101">
        <f t="shared" si="16"/>
        <v>0</v>
      </c>
    </row>
    <row r="39" spans="1:28" hidden="1" outlineLevel="2">
      <c r="A39" s="1056" t="s">
        <v>477</v>
      </c>
      <c r="B39" s="999"/>
      <c r="C39" s="1057"/>
      <c r="D39" s="1058"/>
      <c r="E39" s="1145"/>
      <c r="F39" s="1093">
        <f t="shared" si="17"/>
        <v>0</v>
      </c>
      <c r="G39" s="1094">
        <f t="shared" si="3"/>
        <v>0</v>
      </c>
      <c r="H39" s="1093">
        <f t="shared" si="18"/>
        <v>0</v>
      </c>
      <c r="I39" s="1096">
        <f t="shared" si="4"/>
        <v>0</v>
      </c>
      <c r="J39" s="1093">
        <f t="shared" si="19"/>
        <v>0</v>
      </c>
      <c r="K39" s="1096">
        <f t="shared" si="5"/>
        <v>0</v>
      </c>
      <c r="L39" s="1095">
        <f t="shared" si="20"/>
        <v>0</v>
      </c>
      <c r="M39" s="1096">
        <f t="shared" si="6"/>
        <v>0</v>
      </c>
      <c r="N39" s="1097">
        <f t="shared" si="7"/>
        <v>0</v>
      </c>
      <c r="O39" s="1098">
        <f t="shared" si="8"/>
        <v>0</v>
      </c>
      <c r="P39" s="1099"/>
      <c r="Q39" s="1093">
        <f t="shared" si="21"/>
        <v>0</v>
      </c>
      <c r="R39" s="1096">
        <f t="shared" si="9"/>
        <v>0</v>
      </c>
      <c r="S39" s="1093">
        <f t="shared" si="22"/>
        <v>0</v>
      </c>
      <c r="T39" s="1096">
        <f t="shared" si="10"/>
        <v>0</v>
      </c>
      <c r="U39" s="1093">
        <f t="shared" si="23"/>
        <v>0</v>
      </c>
      <c r="V39" s="1096">
        <f t="shared" si="11"/>
        <v>0</v>
      </c>
      <c r="W39" s="1095">
        <f t="shared" si="24"/>
        <v>0</v>
      </c>
      <c r="X39" s="1096">
        <f t="shared" si="12"/>
        <v>0</v>
      </c>
      <c r="Y39" s="1097">
        <f t="shared" si="13"/>
        <v>0</v>
      </c>
      <c r="Z39" s="1098">
        <f t="shared" si="14"/>
        <v>0</v>
      </c>
      <c r="AA39" s="1100">
        <f t="shared" si="15"/>
        <v>0</v>
      </c>
      <c r="AB39" s="1101">
        <f t="shared" si="16"/>
        <v>0</v>
      </c>
    </row>
    <row r="40" spans="1:28" hidden="1" outlineLevel="2">
      <c r="A40" s="1056" t="s">
        <v>478</v>
      </c>
      <c r="B40" s="999"/>
      <c r="C40" s="1057"/>
      <c r="D40" s="1058"/>
      <c r="E40" s="1145"/>
      <c r="F40" s="1093">
        <f t="shared" si="17"/>
        <v>0</v>
      </c>
      <c r="G40" s="1094">
        <f t="shared" si="3"/>
        <v>0</v>
      </c>
      <c r="H40" s="1093">
        <f t="shared" si="18"/>
        <v>0</v>
      </c>
      <c r="I40" s="1096">
        <f t="shared" si="4"/>
        <v>0</v>
      </c>
      <c r="J40" s="1093">
        <f t="shared" si="19"/>
        <v>0</v>
      </c>
      <c r="K40" s="1096">
        <f t="shared" si="5"/>
        <v>0</v>
      </c>
      <c r="L40" s="1095">
        <f t="shared" si="20"/>
        <v>0</v>
      </c>
      <c r="M40" s="1096">
        <f t="shared" si="6"/>
        <v>0</v>
      </c>
      <c r="N40" s="1097">
        <f t="shared" si="7"/>
        <v>0</v>
      </c>
      <c r="O40" s="1098">
        <f t="shared" si="8"/>
        <v>0</v>
      </c>
      <c r="P40" s="1099"/>
      <c r="Q40" s="1093">
        <f t="shared" si="21"/>
        <v>0</v>
      </c>
      <c r="R40" s="1096">
        <f t="shared" si="9"/>
        <v>0</v>
      </c>
      <c r="S40" s="1093">
        <f t="shared" si="22"/>
        <v>0</v>
      </c>
      <c r="T40" s="1096">
        <f t="shared" si="10"/>
        <v>0</v>
      </c>
      <c r="U40" s="1093">
        <f t="shared" si="23"/>
        <v>0</v>
      </c>
      <c r="V40" s="1096">
        <f t="shared" si="11"/>
        <v>0</v>
      </c>
      <c r="W40" s="1095">
        <f t="shared" si="24"/>
        <v>0</v>
      </c>
      <c r="X40" s="1096">
        <f t="shared" si="12"/>
        <v>0</v>
      </c>
      <c r="Y40" s="1097">
        <f t="shared" si="13"/>
        <v>0</v>
      </c>
      <c r="Z40" s="1098">
        <f t="shared" si="14"/>
        <v>0</v>
      </c>
      <c r="AA40" s="1100">
        <f t="shared" si="15"/>
        <v>0</v>
      </c>
      <c r="AB40" s="1101">
        <f t="shared" si="16"/>
        <v>0</v>
      </c>
    </row>
    <row r="41" spans="1:28" hidden="1" outlineLevel="2">
      <c r="A41" s="1056" t="s">
        <v>479</v>
      </c>
      <c r="B41" s="999"/>
      <c r="C41" s="1057"/>
      <c r="D41" s="1058"/>
      <c r="E41" s="1145"/>
      <c r="F41" s="1093">
        <f t="shared" si="17"/>
        <v>0</v>
      </c>
      <c r="G41" s="1094">
        <f t="shared" si="3"/>
        <v>0</v>
      </c>
      <c r="H41" s="1093">
        <f t="shared" si="18"/>
        <v>0</v>
      </c>
      <c r="I41" s="1096">
        <f t="shared" si="4"/>
        <v>0</v>
      </c>
      <c r="J41" s="1093">
        <f t="shared" si="19"/>
        <v>0</v>
      </c>
      <c r="K41" s="1096">
        <f t="shared" si="5"/>
        <v>0</v>
      </c>
      <c r="L41" s="1095">
        <f t="shared" si="20"/>
        <v>0</v>
      </c>
      <c r="M41" s="1096">
        <f t="shared" si="6"/>
        <v>0</v>
      </c>
      <c r="N41" s="1097">
        <f t="shared" si="7"/>
        <v>0</v>
      </c>
      <c r="O41" s="1098">
        <f t="shared" si="8"/>
        <v>0</v>
      </c>
      <c r="P41" s="1099"/>
      <c r="Q41" s="1093">
        <f t="shared" si="21"/>
        <v>0</v>
      </c>
      <c r="R41" s="1096">
        <f t="shared" si="9"/>
        <v>0</v>
      </c>
      <c r="S41" s="1093">
        <f t="shared" si="22"/>
        <v>0</v>
      </c>
      <c r="T41" s="1096">
        <f t="shared" si="10"/>
        <v>0</v>
      </c>
      <c r="U41" s="1093">
        <f t="shared" si="23"/>
        <v>0</v>
      </c>
      <c r="V41" s="1096">
        <f t="shared" si="11"/>
        <v>0</v>
      </c>
      <c r="W41" s="1095">
        <f t="shared" si="24"/>
        <v>0</v>
      </c>
      <c r="X41" s="1096">
        <f t="shared" si="12"/>
        <v>0</v>
      </c>
      <c r="Y41" s="1097">
        <f t="shared" si="13"/>
        <v>0</v>
      </c>
      <c r="Z41" s="1098">
        <f t="shared" si="14"/>
        <v>0</v>
      </c>
      <c r="AA41" s="1100">
        <f t="shared" si="15"/>
        <v>0</v>
      </c>
      <c r="AB41" s="1101">
        <f t="shared" si="16"/>
        <v>0</v>
      </c>
    </row>
    <row r="42" spans="1:28" outlineLevel="1" collapsed="1">
      <c r="A42" s="1056" t="s">
        <v>480</v>
      </c>
      <c r="B42" s="999"/>
      <c r="C42" s="1057"/>
      <c r="D42" s="1058"/>
      <c r="E42" s="1145"/>
      <c r="F42" s="1093">
        <f t="shared" si="17"/>
        <v>0</v>
      </c>
      <c r="G42" s="1094">
        <f t="shared" si="3"/>
        <v>0</v>
      </c>
      <c r="H42" s="1093">
        <f t="shared" si="18"/>
        <v>0</v>
      </c>
      <c r="I42" s="1096">
        <f t="shared" si="4"/>
        <v>0</v>
      </c>
      <c r="J42" s="1093">
        <f t="shared" si="19"/>
        <v>0</v>
      </c>
      <c r="K42" s="1096">
        <f t="shared" si="5"/>
        <v>0</v>
      </c>
      <c r="L42" s="1095">
        <f t="shared" si="20"/>
        <v>0</v>
      </c>
      <c r="M42" s="1096">
        <f t="shared" si="6"/>
        <v>0</v>
      </c>
      <c r="N42" s="1097">
        <f t="shared" si="7"/>
        <v>0</v>
      </c>
      <c r="O42" s="1098">
        <f t="shared" si="8"/>
        <v>0</v>
      </c>
      <c r="P42" s="1099"/>
      <c r="Q42" s="1093">
        <f t="shared" si="21"/>
        <v>0</v>
      </c>
      <c r="R42" s="1096">
        <f t="shared" si="9"/>
        <v>0</v>
      </c>
      <c r="S42" s="1093">
        <f t="shared" si="22"/>
        <v>0</v>
      </c>
      <c r="T42" s="1096">
        <f t="shared" si="10"/>
        <v>0</v>
      </c>
      <c r="U42" s="1093">
        <f t="shared" si="23"/>
        <v>0</v>
      </c>
      <c r="V42" s="1096">
        <f t="shared" si="11"/>
        <v>0</v>
      </c>
      <c r="W42" s="1095">
        <f t="shared" si="24"/>
        <v>0</v>
      </c>
      <c r="X42" s="1096">
        <f t="shared" si="12"/>
        <v>0</v>
      </c>
      <c r="Y42" s="1097">
        <f t="shared" si="13"/>
        <v>0</v>
      </c>
      <c r="Z42" s="1098">
        <f t="shared" si="14"/>
        <v>0</v>
      </c>
      <c r="AA42" s="1100">
        <f t="shared" si="15"/>
        <v>0</v>
      </c>
      <c r="AB42" s="1101">
        <f t="shared" si="16"/>
        <v>0</v>
      </c>
    </row>
    <row r="43" spans="1:28" outlineLevel="1">
      <c r="A43" s="1056" t="s">
        <v>481</v>
      </c>
      <c r="B43" s="999"/>
      <c r="C43" s="1057"/>
      <c r="D43" s="1058"/>
      <c r="E43" s="1145"/>
      <c r="F43" s="1093">
        <f t="shared" si="17"/>
        <v>0</v>
      </c>
      <c r="G43" s="1094">
        <f t="shared" si="3"/>
        <v>0</v>
      </c>
      <c r="H43" s="1093">
        <f t="shared" si="18"/>
        <v>0</v>
      </c>
      <c r="I43" s="1096">
        <f t="shared" si="4"/>
        <v>0</v>
      </c>
      <c r="J43" s="1093">
        <f t="shared" si="19"/>
        <v>0</v>
      </c>
      <c r="K43" s="1096">
        <f t="shared" si="5"/>
        <v>0</v>
      </c>
      <c r="L43" s="1095">
        <f t="shared" si="20"/>
        <v>0</v>
      </c>
      <c r="M43" s="1096">
        <f t="shared" si="6"/>
        <v>0</v>
      </c>
      <c r="N43" s="1097">
        <f t="shared" si="7"/>
        <v>0</v>
      </c>
      <c r="O43" s="1098">
        <f t="shared" si="8"/>
        <v>0</v>
      </c>
      <c r="P43" s="1099"/>
      <c r="Q43" s="1093">
        <f t="shared" si="21"/>
        <v>0</v>
      </c>
      <c r="R43" s="1096">
        <f t="shared" si="9"/>
        <v>0</v>
      </c>
      <c r="S43" s="1093">
        <f t="shared" si="22"/>
        <v>0</v>
      </c>
      <c r="T43" s="1096">
        <f t="shared" si="10"/>
        <v>0</v>
      </c>
      <c r="U43" s="1093">
        <f t="shared" si="23"/>
        <v>0</v>
      </c>
      <c r="V43" s="1096">
        <f t="shared" si="11"/>
        <v>0</v>
      </c>
      <c r="W43" s="1095">
        <f t="shared" si="24"/>
        <v>0</v>
      </c>
      <c r="X43" s="1096">
        <f t="shared" si="12"/>
        <v>0</v>
      </c>
      <c r="Y43" s="1097">
        <f t="shared" si="13"/>
        <v>0</v>
      </c>
      <c r="Z43" s="1098">
        <f t="shared" si="14"/>
        <v>0</v>
      </c>
      <c r="AA43" s="1100">
        <f t="shared" si="15"/>
        <v>0</v>
      </c>
      <c r="AB43" s="1101">
        <f t="shared" si="16"/>
        <v>0</v>
      </c>
    </row>
    <row r="44" spans="1:28" s="1087" customFormat="1">
      <c r="A44" s="1146" t="s">
        <v>492</v>
      </c>
      <c r="B44" s="1147"/>
      <c r="C44" s="1148"/>
      <c r="D44" s="1149"/>
      <c r="E44" s="1150"/>
      <c r="F44" s="1151">
        <f>F30-F34</f>
        <v>5018073.7090909109</v>
      </c>
      <c r="G44" s="1152">
        <f t="shared" si="3"/>
        <v>13275.327272727278</v>
      </c>
      <c r="H44" s="1158">
        <f>H30-H34</f>
        <v>0</v>
      </c>
      <c r="I44" s="1154">
        <f t="shared" si="4"/>
        <v>0</v>
      </c>
      <c r="J44" s="1158">
        <f>J30-J34</f>
        <v>0</v>
      </c>
      <c r="K44" s="1154">
        <f t="shared" si="5"/>
        <v>0</v>
      </c>
      <c r="L44" s="1153">
        <f>L30-L34</f>
        <v>0</v>
      </c>
      <c r="M44" s="1154">
        <f t="shared" si="6"/>
        <v>0</v>
      </c>
      <c r="N44" s="1155">
        <f t="shared" si="7"/>
        <v>5018073.7090909109</v>
      </c>
      <c r="O44" s="1156">
        <f t="shared" si="8"/>
        <v>13275.327272727278</v>
      </c>
      <c r="P44" s="1157"/>
      <c r="Q44" s="1158">
        <f>Q30-Q34</f>
        <v>0</v>
      </c>
      <c r="R44" s="1154">
        <f t="shared" si="9"/>
        <v>0</v>
      </c>
      <c r="S44" s="1158">
        <f>S30-S34</f>
        <v>0</v>
      </c>
      <c r="T44" s="1154">
        <f t="shared" si="10"/>
        <v>0</v>
      </c>
      <c r="U44" s="1158">
        <f>U30-U34</f>
        <v>0</v>
      </c>
      <c r="V44" s="1154">
        <f t="shared" si="11"/>
        <v>0</v>
      </c>
      <c r="W44" s="1153">
        <f>W30-W34</f>
        <v>0</v>
      </c>
      <c r="X44" s="1154">
        <f t="shared" si="12"/>
        <v>0</v>
      </c>
      <c r="Y44" s="1155">
        <f t="shared" si="13"/>
        <v>0</v>
      </c>
      <c r="Z44" s="1156">
        <f t="shared" si="14"/>
        <v>0</v>
      </c>
      <c r="AA44" s="1159">
        <f t="shared" si="15"/>
        <v>5018073.7090909109</v>
      </c>
      <c r="AB44" s="1160">
        <f t="shared" si="16"/>
        <v>13275.327272727278</v>
      </c>
    </row>
    <row r="45" spans="1:28" s="1087" customFormat="1">
      <c r="A45" s="1118" t="s">
        <v>493</v>
      </c>
      <c r="B45" s="1119"/>
      <c r="C45" s="1120"/>
      <c r="D45" s="1121"/>
      <c r="E45" s="1122"/>
      <c r="F45" s="1123">
        <f>F46+F54</f>
        <v>1002421</v>
      </c>
      <c r="G45" s="1161">
        <f t="shared" si="3"/>
        <v>2651.9074074074074</v>
      </c>
      <c r="H45" s="1123">
        <f>H46+H54</f>
        <v>0</v>
      </c>
      <c r="I45" s="1126">
        <f t="shared" si="4"/>
        <v>0</v>
      </c>
      <c r="J45" s="1123">
        <f>J46+J54</f>
        <v>0</v>
      </c>
      <c r="K45" s="1126">
        <f t="shared" si="5"/>
        <v>0</v>
      </c>
      <c r="L45" s="1125">
        <f>L46+L54</f>
        <v>0</v>
      </c>
      <c r="M45" s="1126">
        <f t="shared" si="6"/>
        <v>0</v>
      </c>
      <c r="N45" s="1127">
        <f t="shared" si="7"/>
        <v>1002421</v>
      </c>
      <c r="O45" s="1128">
        <f t="shared" si="8"/>
        <v>2651.9074074074074</v>
      </c>
      <c r="P45" s="1084"/>
      <c r="Q45" s="1123">
        <f>Q46+Q54</f>
        <v>0</v>
      </c>
      <c r="R45" s="1126">
        <f t="shared" si="9"/>
        <v>0</v>
      </c>
      <c r="S45" s="1123">
        <f>S46+S54</f>
        <v>0</v>
      </c>
      <c r="T45" s="1126">
        <f t="shared" si="10"/>
        <v>0</v>
      </c>
      <c r="U45" s="1123">
        <f>U46+U54</f>
        <v>0</v>
      </c>
      <c r="V45" s="1126">
        <f t="shared" si="11"/>
        <v>0</v>
      </c>
      <c r="W45" s="1125">
        <f>W46+W54</f>
        <v>0</v>
      </c>
      <c r="X45" s="1126">
        <f t="shared" si="12"/>
        <v>0</v>
      </c>
      <c r="Y45" s="1127">
        <f t="shared" si="13"/>
        <v>0</v>
      </c>
      <c r="Z45" s="1128">
        <f t="shared" si="14"/>
        <v>0</v>
      </c>
      <c r="AA45" s="1129">
        <f t="shared" si="15"/>
        <v>1002421</v>
      </c>
      <c r="AB45" s="1130">
        <f t="shared" si="16"/>
        <v>2651.9074074074074</v>
      </c>
    </row>
    <row r="46" spans="1:28" s="1087" customFormat="1">
      <c r="A46" s="1162" t="s">
        <v>494</v>
      </c>
      <c r="B46" s="1163"/>
      <c r="C46" s="1164" t="s">
        <v>495</v>
      </c>
      <c r="D46" s="1165" t="s">
        <v>496</v>
      </c>
      <c r="E46" s="1135"/>
      <c r="F46" s="1136">
        <f>F47+F51</f>
        <v>470421</v>
      </c>
      <c r="G46" s="1166">
        <f t="shared" si="3"/>
        <v>1244.5</v>
      </c>
      <c r="H46" s="1136">
        <f>H47+H51</f>
        <v>0</v>
      </c>
      <c r="I46" s="1139">
        <f t="shared" si="4"/>
        <v>0</v>
      </c>
      <c r="J46" s="1136">
        <f>J47+J51</f>
        <v>0</v>
      </c>
      <c r="K46" s="1139">
        <f t="shared" si="5"/>
        <v>0</v>
      </c>
      <c r="L46" s="1138">
        <f>L47+L51</f>
        <v>0</v>
      </c>
      <c r="M46" s="1139">
        <f t="shared" si="6"/>
        <v>0</v>
      </c>
      <c r="N46" s="1167">
        <f t="shared" si="7"/>
        <v>470421</v>
      </c>
      <c r="O46" s="1168">
        <f t="shared" si="8"/>
        <v>1244.5</v>
      </c>
      <c r="P46" s="1169"/>
      <c r="Q46" s="1136">
        <f>Q47+Q51</f>
        <v>0</v>
      </c>
      <c r="R46" s="1139">
        <f t="shared" si="9"/>
        <v>0</v>
      </c>
      <c r="S46" s="1136">
        <f>S47+S51</f>
        <v>0</v>
      </c>
      <c r="T46" s="1139">
        <f t="shared" si="10"/>
        <v>0</v>
      </c>
      <c r="U46" s="1136">
        <f>U47+U51</f>
        <v>0</v>
      </c>
      <c r="V46" s="1139">
        <f t="shared" si="11"/>
        <v>0</v>
      </c>
      <c r="W46" s="1138">
        <f>W47+W51</f>
        <v>0</v>
      </c>
      <c r="X46" s="1139">
        <f t="shared" si="12"/>
        <v>0</v>
      </c>
      <c r="Y46" s="1167">
        <f t="shared" si="13"/>
        <v>0</v>
      </c>
      <c r="Z46" s="1168">
        <f t="shared" si="14"/>
        <v>0</v>
      </c>
      <c r="AA46" s="1170">
        <f t="shared" si="15"/>
        <v>470421</v>
      </c>
      <c r="AB46" s="1171">
        <f t="shared" si="16"/>
        <v>1244.5</v>
      </c>
    </row>
    <row r="47" spans="1:28">
      <c r="A47" s="1172" t="s">
        <v>497</v>
      </c>
      <c r="B47" s="1173"/>
      <c r="C47" s="1174"/>
      <c r="D47" s="1175"/>
      <c r="E47" s="1176"/>
      <c r="F47" s="1177">
        <f>SUM(F48:F50)</f>
        <v>332640</v>
      </c>
      <c r="G47" s="1178">
        <f t="shared" si="3"/>
        <v>880</v>
      </c>
      <c r="H47" s="1177">
        <f>SUM(H48:H50)</f>
        <v>0</v>
      </c>
      <c r="I47" s="1180">
        <f t="shared" si="4"/>
        <v>0</v>
      </c>
      <c r="J47" s="1177">
        <f>SUM(J48:J50)</f>
        <v>0</v>
      </c>
      <c r="K47" s="1180">
        <f t="shared" si="5"/>
        <v>0</v>
      </c>
      <c r="L47" s="1179">
        <f>SUM(L48:L50)</f>
        <v>0</v>
      </c>
      <c r="M47" s="1180">
        <f t="shared" si="6"/>
        <v>0</v>
      </c>
      <c r="N47" s="1181">
        <f t="shared" si="7"/>
        <v>332640</v>
      </c>
      <c r="O47" s="1098">
        <f t="shared" si="8"/>
        <v>880</v>
      </c>
      <c r="P47" s="1099"/>
      <c r="Q47" s="1177">
        <f>SUM(Q48:Q50)</f>
        <v>0</v>
      </c>
      <c r="R47" s="1180">
        <f t="shared" si="9"/>
        <v>0</v>
      </c>
      <c r="S47" s="1177">
        <f>SUM(S48:S50)</f>
        <v>0</v>
      </c>
      <c r="T47" s="1180">
        <f t="shared" si="10"/>
        <v>0</v>
      </c>
      <c r="U47" s="1177">
        <f>SUM(U48:U50)</f>
        <v>0</v>
      </c>
      <c r="V47" s="1180">
        <f t="shared" si="11"/>
        <v>0</v>
      </c>
      <c r="W47" s="1179">
        <f>SUM(W48:W50)</f>
        <v>0</v>
      </c>
      <c r="X47" s="1180">
        <f t="shared" si="12"/>
        <v>0</v>
      </c>
      <c r="Y47" s="1181">
        <f t="shared" si="13"/>
        <v>0</v>
      </c>
      <c r="Z47" s="1098">
        <f t="shared" si="14"/>
        <v>0</v>
      </c>
      <c r="AA47" s="1182">
        <f t="shared" si="15"/>
        <v>332640</v>
      </c>
      <c r="AB47" s="1101">
        <f t="shared" si="16"/>
        <v>880</v>
      </c>
    </row>
    <row r="48" spans="1:28" outlineLevel="1">
      <c r="A48" s="1183" t="s">
        <v>498</v>
      </c>
      <c r="B48" s="1184"/>
      <c r="C48" s="1057">
        <v>1050</v>
      </c>
      <c r="D48" s="1058">
        <v>800</v>
      </c>
      <c r="E48" s="1185"/>
      <c r="F48" s="1186">
        <f>IF(F$6=0,0,F6*$D$48)</f>
        <v>302400</v>
      </c>
      <c r="G48" s="1187">
        <f t="shared" si="3"/>
        <v>800</v>
      </c>
      <c r="H48" s="1186">
        <f>IF(H$6=0,0,H6*$C$48)</f>
        <v>0</v>
      </c>
      <c r="I48" s="1096">
        <f t="shared" si="4"/>
        <v>0</v>
      </c>
      <c r="J48" s="1186">
        <f>IF(J$6=0,0,J6*$C$48)</f>
        <v>0</v>
      </c>
      <c r="K48" s="1096">
        <f t="shared" si="5"/>
        <v>0</v>
      </c>
      <c r="L48" s="1188">
        <f>IF(L$6=0,0,L6*$C$48)</f>
        <v>0</v>
      </c>
      <c r="M48" s="1096">
        <f t="shared" si="6"/>
        <v>0</v>
      </c>
      <c r="N48" s="1189">
        <f t="shared" si="7"/>
        <v>302400</v>
      </c>
      <c r="O48" s="1098">
        <f t="shared" si="8"/>
        <v>800</v>
      </c>
      <c r="P48" s="1099"/>
      <c r="Q48" s="1186"/>
      <c r="R48" s="1096">
        <f t="shared" si="9"/>
        <v>0</v>
      </c>
      <c r="S48" s="1186"/>
      <c r="T48" s="1096">
        <f t="shared" si="10"/>
        <v>0</v>
      </c>
      <c r="U48" s="1186"/>
      <c r="V48" s="1096">
        <f t="shared" si="11"/>
        <v>0</v>
      </c>
      <c r="W48" s="1188"/>
      <c r="X48" s="1096">
        <f t="shared" si="12"/>
        <v>0</v>
      </c>
      <c r="Y48" s="1189">
        <f t="shared" si="13"/>
        <v>0</v>
      </c>
      <c r="Z48" s="1098"/>
      <c r="AA48" s="1182"/>
      <c r="AB48" s="1101">
        <f t="shared" si="16"/>
        <v>0</v>
      </c>
    </row>
    <row r="49" spans="1:28" outlineLevel="1">
      <c r="A49" s="1183" t="s">
        <v>499</v>
      </c>
      <c r="B49" s="1184"/>
      <c r="C49" s="1057">
        <v>1050</v>
      </c>
      <c r="D49" s="1058">
        <v>800</v>
      </c>
      <c r="E49" s="1185"/>
      <c r="F49" s="1186"/>
      <c r="G49" s="1187">
        <f t="shared" si="3"/>
        <v>0</v>
      </c>
      <c r="H49" s="1186"/>
      <c r="I49" s="1096">
        <f t="shared" si="4"/>
        <v>0</v>
      </c>
      <c r="J49" s="1186"/>
      <c r="K49" s="1096">
        <f t="shared" si="5"/>
        <v>0</v>
      </c>
      <c r="L49" s="1188"/>
      <c r="M49" s="1096">
        <f t="shared" si="6"/>
        <v>0</v>
      </c>
      <c r="N49" s="1189"/>
      <c r="O49" s="1098">
        <f t="shared" si="8"/>
        <v>0</v>
      </c>
      <c r="P49" s="1099"/>
      <c r="Q49" s="1186">
        <f>IF(Q$6=0,0,Q6*$D$49)</f>
        <v>0</v>
      </c>
      <c r="R49" s="1096">
        <f t="shared" si="9"/>
        <v>0</v>
      </c>
      <c r="S49" s="1186">
        <f>IF(S$6=0,0,S6*$C$49)</f>
        <v>0</v>
      </c>
      <c r="T49" s="1096">
        <f t="shared" si="10"/>
        <v>0</v>
      </c>
      <c r="U49" s="1186">
        <f>IF(U$6=0,0,U6*$C$49)</f>
        <v>0</v>
      </c>
      <c r="V49" s="1096">
        <f t="shared" si="11"/>
        <v>0</v>
      </c>
      <c r="W49" s="1188">
        <f>IF(W$6=0,0,W6*$C$49)</f>
        <v>0</v>
      </c>
      <c r="X49" s="1096">
        <f t="shared" si="12"/>
        <v>0</v>
      </c>
      <c r="Y49" s="1189"/>
      <c r="Z49" s="1098"/>
      <c r="AA49" s="1182"/>
      <c r="AB49" s="1101">
        <f t="shared" si="16"/>
        <v>0</v>
      </c>
    </row>
    <row r="50" spans="1:28" outlineLevel="1">
      <c r="A50" s="1183" t="s">
        <v>500</v>
      </c>
      <c r="B50" s="1184"/>
      <c r="C50" s="1190">
        <v>0.1</v>
      </c>
      <c r="D50" s="1058"/>
      <c r="E50" s="1185"/>
      <c r="F50" s="1186">
        <f>(F48+F49)*$C$50</f>
        <v>30240</v>
      </c>
      <c r="G50" s="1187">
        <f t="shared" si="3"/>
        <v>80</v>
      </c>
      <c r="H50" s="1186">
        <f>(H48+H49)*$C$50</f>
        <v>0</v>
      </c>
      <c r="I50" s="1096">
        <f t="shared" si="4"/>
        <v>0</v>
      </c>
      <c r="J50" s="1186">
        <f>(J48+J49)*$C$50</f>
        <v>0</v>
      </c>
      <c r="K50" s="1096">
        <f t="shared" si="5"/>
        <v>0</v>
      </c>
      <c r="L50" s="1188">
        <f>(L48+L49)*$C$50</f>
        <v>0</v>
      </c>
      <c r="M50" s="1096">
        <f t="shared" si="6"/>
        <v>0</v>
      </c>
      <c r="N50" s="1189">
        <f>F50+H50+J50+L50</f>
        <v>30240</v>
      </c>
      <c r="O50" s="1098"/>
      <c r="P50" s="1099"/>
      <c r="Q50" s="1186">
        <f>(Q48+Q49)*$C$50</f>
        <v>0</v>
      </c>
      <c r="R50" s="1096">
        <f t="shared" si="9"/>
        <v>0</v>
      </c>
      <c r="S50" s="1186">
        <f>(S48+S49)*$C$50</f>
        <v>0</v>
      </c>
      <c r="T50" s="1096">
        <f t="shared" si="10"/>
        <v>0</v>
      </c>
      <c r="U50" s="1186">
        <f>(U48+U49)*$C$50</f>
        <v>0</v>
      </c>
      <c r="V50" s="1096">
        <f t="shared" si="11"/>
        <v>0</v>
      </c>
      <c r="W50" s="1188">
        <f>(W48+W49)*$C$50</f>
        <v>0</v>
      </c>
      <c r="X50" s="1096">
        <f t="shared" si="12"/>
        <v>0</v>
      </c>
      <c r="Y50" s="1189">
        <f>Q50+S50+U50+W50</f>
        <v>0</v>
      </c>
      <c r="Z50" s="1098"/>
      <c r="AA50" s="1182"/>
      <c r="AB50" s="1101"/>
    </row>
    <row r="51" spans="1:28">
      <c r="A51" s="1172" t="s">
        <v>26</v>
      </c>
      <c r="B51" s="1191"/>
      <c r="C51" s="1174"/>
      <c r="D51" s="1175"/>
      <c r="E51" s="1176"/>
      <c r="F51" s="1177">
        <f>F6*$D$52*$C$52</f>
        <v>137781</v>
      </c>
      <c r="G51" s="1178">
        <f t="shared" si="3"/>
        <v>364.5</v>
      </c>
      <c r="H51" s="1177">
        <f>H6*$D$52*$C$52</f>
        <v>0</v>
      </c>
      <c r="I51" s="1180">
        <f t="shared" si="4"/>
        <v>0</v>
      </c>
      <c r="J51" s="1177">
        <f>J6*$D$52*$C$52</f>
        <v>0</v>
      </c>
      <c r="K51" s="1180">
        <f t="shared" si="5"/>
        <v>0</v>
      </c>
      <c r="L51" s="1179">
        <f>L6*$D$52*$C$52</f>
        <v>0</v>
      </c>
      <c r="M51" s="1180">
        <f t="shared" si="6"/>
        <v>0</v>
      </c>
      <c r="N51" s="1181">
        <f>F51+H51+J51+L51</f>
        <v>137781</v>
      </c>
      <c r="O51" s="1098">
        <f t="shared" ref="O51:O56" si="25">IF($N$6=0,0,N51/$N$6)</f>
        <v>364.5</v>
      </c>
      <c r="P51" s="1099"/>
      <c r="Q51" s="1177">
        <f>Q6*$D$53*$C$53</f>
        <v>0</v>
      </c>
      <c r="R51" s="1180">
        <f t="shared" si="9"/>
        <v>0</v>
      </c>
      <c r="S51" s="1177">
        <f>S6*$D$53*$C$53</f>
        <v>0</v>
      </c>
      <c r="T51" s="1180">
        <f t="shared" si="10"/>
        <v>0</v>
      </c>
      <c r="U51" s="1177">
        <f>U6*$D$53*$C$53</f>
        <v>0</v>
      </c>
      <c r="V51" s="1180">
        <f t="shared" si="11"/>
        <v>0</v>
      </c>
      <c r="W51" s="1179">
        <f>W6*$D$53*$C$53</f>
        <v>0</v>
      </c>
      <c r="X51" s="1180">
        <f t="shared" si="12"/>
        <v>0</v>
      </c>
      <c r="Y51" s="1181">
        <f>Q51+S51+U51+W51</f>
        <v>0</v>
      </c>
      <c r="Z51" s="1098">
        <f>IF($Y$6=0,0,Y51/$Y$6)</f>
        <v>0</v>
      </c>
      <c r="AA51" s="1182">
        <f>N51+Y51</f>
        <v>137781</v>
      </c>
      <c r="AB51" s="1101">
        <f t="shared" ref="AB51:AB56" si="26">IF($AA$6=0,0,AA51/$AA$6)</f>
        <v>364.5</v>
      </c>
    </row>
    <row r="52" spans="1:28" outlineLevel="1">
      <c r="A52" s="1183" t="s">
        <v>501</v>
      </c>
      <c r="B52" s="1192"/>
      <c r="C52" s="1057">
        <v>90</v>
      </c>
      <c r="D52" s="1058">
        <v>4.05</v>
      </c>
      <c r="E52" s="1193"/>
      <c r="F52" s="1186"/>
      <c r="G52" s="1187">
        <f t="shared" si="3"/>
        <v>0</v>
      </c>
      <c r="H52" s="1186"/>
      <c r="I52" s="1194">
        <f t="shared" si="4"/>
        <v>0</v>
      </c>
      <c r="J52" s="1186"/>
      <c r="K52" s="1194">
        <f t="shared" si="5"/>
        <v>0</v>
      </c>
      <c r="L52" s="1188"/>
      <c r="M52" s="1194">
        <f t="shared" si="6"/>
        <v>0</v>
      </c>
      <c r="N52" s="1189"/>
      <c r="O52" s="1098">
        <f t="shared" si="25"/>
        <v>0</v>
      </c>
      <c r="P52" s="1195"/>
      <c r="Q52" s="1196"/>
      <c r="R52" s="1194">
        <f t="shared" si="9"/>
        <v>0</v>
      </c>
      <c r="S52" s="1196"/>
      <c r="T52" s="1194">
        <f t="shared" si="10"/>
        <v>0</v>
      </c>
      <c r="U52" s="1196"/>
      <c r="V52" s="1194">
        <f t="shared" si="11"/>
        <v>0</v>
      </c>
      <c r="W52" s="1197"/>
      <c r="X52" s="1194">
        <f t="shared" si="12"/>
        <v>0</v>
      </c>
      <c r="Y52" s="1189"/>
      <c r="Z52" s="1098"/>
      <c r="AA52" s="1182"/>
      <c r="AB52" s="1101">
        <f t="shared" si="26"/>
        <v>0</v>
      </c>
    </row>
    <row r="53" spans="1:28" outlineLevel="1">
      <c r="A53" s="1183" t="s">
        <v>502</v>
      </c>
      <c r="B53" s="1192"/>
      <c r="C53" s="1057">
        <v>180</v>
      </c>
      <c r="D53" s="1058">
        <v>4.05</v>
      </c>
      <c r="E53" s="1193"/>
      <c r="F53" s="1186"/>
      <c r="G53" s="1187">
        <f t="shared" si="3"/>
        <v>0</v>
      </c>
      <c r="H53" s="1196"/>
      <c r="I53" s="1194">
        <f t="shared" si="4"/>
        <v>0</v>
      </c>
      <c r="J53" s="1196"/>
      <c r="K53" s="1194">
        <f t="shared" si="5"/>
        <v>0</v>
      </c>
      <c r="L53" s="1197"/>
      <c r="M53" s="1194">
        <f t="shared" si="6"/>
        <v>0</v>
      </c>
      <c r="N53" s="1189"/>
      <c r="O53" s="1098">
        <f t="shared" si="25"/>
        <v>0</v>
      </c>
      <c r="P53" s="1195"/>
      <c r="Q53" s="1196"/>
      <c r="R53" s="1194">
        <f t="shared" si="9"/>
        <v>0</v>
      </c>
      <c r="S53" s="1196"/>
      <c r="T53" s="1194">
        <f t="shared" si="10"/>
        <v>0</v>
      </c>
      <c r="U53" s="1196"/>
      <c r="V53" s="1194">
        <f t="shared" si="11"/>
        <v>0</v>
      </c>
      <c r="W53" s="1197"/>
      <c r="X53" s="1194">
        <f t="shared" si="12"/>
        <v>0</v>
      </c>
      <c r="Y53" s="1189"/>
      <c r="Z53" s="1098"/>
      <c r="AA53" s="1182"/>
      <c r="AB53" s="1101">
        <f t="shared" si="26"/>
        <v>0</v>
      </c>
    </row>
    <row r="54" spans="1:28">
      <c r="A54" s="1198" t="s">
        <v>28</v>
      </c>
      <c r="B54" s="1199">
        <f>SUM(B55:B56)</f>
        <v>0</v>
      </c>
      <c r="C54" s="1200"/>
      <c r="D54" s="1201"/>
      <c r="E54" s="1145"/>
      <c r="F54" s="1136">
        <f>SUM(F55:F56)</f>
        <v>532000</v>
      </c>
      <c r="G54" s="1166">
        <f t="shared" si="3"/>
        <v>1407.4074074074074</v>
      </c>
      <c r="H54" s="1136">
        <f>SUM(H55:H56)</f>
        <v>0</v>
      </c>
      <c r="I54" s="1139">
        <f t="shared" si="4"/>
        <v>0</v>
      </c>
      <c r="J54" s="1136">
        <f>SUM(J55:J56)</f>
        <v>0</v>
      </c>
      <c r="K54" s="1139">
        <f t="shared" si="5"/>
        <v>0</v>
      </c>
      <c r="L54" s="1138">
        <f>SUM(L55:L56)</f>
        <v>0</v>
      </c>
      <c r="M54" s="1139">
        <f t="shared" si="6"/>
        <v>0</v>
      </c>
      <c r="N54" s="1140">
        <f>F54+H54+J54+L54</f>
        <v>532000</v>
      </c>
      <c r="O54" s="1141">
        <f t="shared" si="25"/>
        <v>1407.4074074074074</v>
      </c>
      <c r="P54" s="1099"/>
      <c r="Q54" s="1136">
        <f>SUM(Q55:Q56)</f>
        <v>0</v>
      </c>
      <c r="R54" s="1139">
        <f t="shared" si="9"/>
        <v>0</v>
      </c>
      <c r="S54" s="1136">
        <f>SUM(S55:S56)</f>
        <v>0</v>
      </c>
      <c r="T54" s="1139">
        <f t="shared" si="10"/>
        <v>0</v>
      </c>
      <c r="U54" s="1136">
        <f>SUM(U55:U56)</f>
        <v>0</v>
      </c>
      <c r="V54" s="1139">
        <f t="shared" si="11"/>
        <v>0</v>
      </c>
      <c r="W54" s="1138">
        <f>SUM(W55:W56)</f>
        <v>0</v>
      </c>
      <c r="X54" s="1139">
        <f t="shared" si="12"/>
        <v>0</v>
      </c>
      <c r="Y54" s="1140">
        <f>Q54+S54+U54+W54</f>
        <v>0</v>
      </c>
      <c r="Z54" s="1141">
        <f>IF($Y$6=0,0,Y54/$Y$6)</f>
        <v>0</v>
      </c>
      <c r="AA54" s="1143">
        <f>N54+Y54</f>
        <v>532000</v>
      </c>
      <c r="AB54" s="1202">
        <f t="shared" si="26"/>
        <v>1407.4074074074074</v>
      </c>
    </row>
    <row r="55" spans="1:28">
      <c r="A55" s="1203" t="s">
        <v>29</v>
      </c>
      <c r="B55" s="1204"/>
      <c r="C55" s="1205"/>
      <c r="D55" s="1206">
        <v>2.7000000000000003E-2</v>
      </c>
      <c r="E55" s="1207"/>
      <c r="F55" s="1208"/>
      <c r="G55" s="1209">
        <f t="shared" si="3"/>
        <v>0</v>
      </c>
      <c r="H55" s="1208"/>
      <c r="I55" s="1006">
        <f t="shared" si="4"/>
        <v>0</v>
      </c>
      <c r="J55" s="1208"/>
      <c r="K55" s="1006">
        <f t="shared" si="5"/>
        <v>0</v>
      </c>
      <c r="L55" s="1208">
        <f>IF(L8="",0,L8*$D55*L6)</f>
        <v>0</v>
      </c>
      <c r="M55" s="1006">
        <f t="shared" si="6"/>
        <v>0</v>
      </c>
      <c r="N55" s="1097">
        <f>F55+H55+J55+L55</f>
        <v>0</v>
      </c>
      <c r="O55" s="1098">
        <f t="shared" si="25"/>
        <v>0</v>
      </c>
      <c r="P55" s="1099"/>
      <c r="Q55" s="1208"/>
      <c r="R55" s="1006">
        <f t="shared" si="9"/>
        <v>0</v>
      </c>
      <c r="S55" s="1208"/>
      <c r="T55" s="1006">
        <f t="shared" si="10"/>
        <v>0</v>
      </c>
      <c r="U55" s="1208"/>
      <c r="V55" s="1006">
        <f t="shared" si="11"/>
        <v>0</v>
      </c>
      <c r="W55" s="1208">
        <f>IF(W8="",0,W8*$D55*W6)</f>
        <v>0</v>
      </c>
      <c r="X55" s="1006">
        <f t="shared" si="12"/>
        <v>0</v>
      </c>
      <c r="Y55" s="1097">
        <f>Q55+S55+U55+W55</f>
        <v>0</v>
      </c>
      <c r="Z55" s="1098">
        <f>IF($Y$6=0,0,Y55/$Y$6)</f>
        <v>0</v>
      </c>
      <c r="AA55" s="1100">
        <f>N55+Y55</f>
        <v>0</v>
      </c>
      <c r="AB55" s="1101">
        <f t="shared" si="26"/>
        <v>0</v>
      </c>
    </row>
    <row r="56" spans="1:28">
      <c r="A56" s="1210" t="s">
        <v>30</v>
      </c>
      <c r="B56" s="1211"/>
      <c r="C56" s="973"/>
      <c r="D56" s="1212">
        <v>1519</v>
      </c>
      <c r="E56" s="1145"/>
      <c r="F56" s="1324">
        <f>(F6/27)*F62</f>
        <v>532000</v>
      </c>
      <c r="G56" s="1325">
        <f t="shared" si="3"/>
        <v>1407.4074074074074</v>
      </c>
      <c r="H56" s="1213">
        <f>(H57*H58-H60)*(H6/H59)</f>
        <v>0</v>
      </c>
      <c r="I56" s="1006">
        <f t="shared" si="4"/>
        <v>0</v>
      </c>
      <c r="J56" s="1213">
        <f>(J57*J58-J60)*(J6/J59)</f>
        <v>0</v>
      </c>
      <c r="K56" s="1006">
        <f t="shared" si="5"/>
        <v>0</v>
      </c>
      <c r="L56" s="1326">
        <f>(L6/27)*L62</f>
        <v>0</v>
      </c>
      <c r="M56" s="1214">
        <f t="shared" si="6"/>
        <v>0</v>
      </c>
      <c r="N56" s="1215">
        <f>F56+H56+J56+L56</f>
        <v>532000</v>
      </c>
      <c r="O56" s="1216">
        <f t="shared" si="25"/>
        <v>1407.4074074074074</v>
      </c>
      <c r="P56" s="1195"/>
      <c r="Q56" s="1213">
        <f>(Q6/27)*Q62</f>
        <v>0</v>
      </c>
      <c r="R56" s="1006">
        <f t="shared" si="9"/>
        <v>0</v>
      </c>
      <c r="S56" s="1213">
        <f>(S57*S58-S60)*(S6/S59)</f>
        <v>0</v>
      </c>
      <c r="T56" s="1006">
        <f t="shared" si="10"/>
        <v>0</v>
      </c>
      <c r="U56" s="1213">
        <f>(U57*U58-U60)*(U6/U59)</f>
        <v>0</v>
      </c>
      <c r="V56" s="1006">
        <f t="shared" si="11"/>
        <v>0</v>
      </c>
      <c r="W56" s="1326">
        <f>(W6/27)*W62</f>
        <v>0</v>
      </c>
      <c r="X56" s="1214">
        <f t="shared" si="12"/>
        <v>0</v>
      </c>
      <c r="Y56" s="1215">
        <f>Q56+S56+U56+W56</f>
        <v>0</v>
      </c>
      <c r="Z56" s="1216">
        <f>IF($Y$6=0,0,Y56/$Y$6)</f>
        <v>0</v>
      </c>
      <c r="AA56" s="1217">
        <f>N56+Y56</f>
        <v>532000</v>
      </c>
      <c r="AB56" s="1218">
        <f t="shared" si="26"/>
        <v>1407.4074074074074</v>
      </c>
    </row>
    <row r="57" spans="1:28" s="1232" customFormat="1" outlineLevel="1">
      <c r="A57" s="1219" t="s">
        <v>503</v>
      </c>
      <c r="B57" s="1219"/>
      <c r="C57" s="1220"/>
      <c r="D57" s="1221"/>
      <c r="E57" s="1327"/>
      <c r="F57" s="1328">
        <v>1000</v>
      </c>
      <c r="G57" s="1329"/>
      <c r="H57" s="1222">
        <v>1370</v>
      </c>
      <c r="I57" s="1228"/>
      <c r="J57" s="1222">
        <v>750</v>
      </c>
      <c r="K57" s="1228"/>
      <c r="L57" s="1223"/>
      <c r="M57" s="1224"/>
      <c r="N57" s="1225"/>
      <c r="O57" s="1226"/>
      <c r="P57" s="1227"/>
      <c r="Q57" s="1222">
        <v>1000</v>
      </c>
      <c r="R57" s="1228"/>
      <c r="S57" s="1222">
        <v>1370</v>
      </c>
      <c r="T57" s="1228"/>
      <c r="U57" s="1222">
        <v>750</v>
      </c>
      <c r="V57" s="1228"/>
      <c r="W57" s="1223"/>
      <c r="X57" s="1224"/>
      <c r="Y57" s="1225"/>
      <c r="Z57" s="1229"/>
      <c r="AA57" s="1230"/>
      <c r="AB57" s="1231"/>
    </row>
    <row r="58" spans="1:28" s="1248" customFormat="1" outlineLevel="1">
      <c r="A58" s="1233" t="s">
        <v>504</v>
      </c>
      <c r="B58" s="1233"/>
      <c r="C58" s="1234"/>
      <c r="D58" s="1235"/>
      <c r="E58" s="1236"/>
      <c r="F58" s="1237">
        <v>25</v>
      </c>
      <c r="G58" s="1238"/>
      <c r="H58" s="1237">
        <v>25</v>
      </c>
      <c r="I58" s="1244"/>
      <c r="J58" s="1237">
        <v>25</v>
      </c>
      <c r="K58" s="1244"/>
      <c r="L58" s="1239"/>
      <c r="M58" s="1240"/>
      <c r="N58" s="1241"/>
      <c r="O58" s="1242"/>
      <c r="P58" s="1243"/>
      <c r="Q58" s="1237">
        <v>25</v>
      </c>
      <c r="R58" s="1244"/>
      <c r="S58" s="1237">
        <v>25</v>
      </c>
      <c r="T58" s="1244"/>
      <c r="U58" s="1237">
        <v>25</v>
      </c>
      <c r="V58" s="1244"/>
      <c r="W58" s="1239"/>
      <c r="X58" s="1240"/>
      <c r="Y58" s="1241"/>
      <c r="Z58" s="1245"/>
      <c r="AA58" s="1246"/>
      <c r="AB58" s="1247"/>
    </row>
    <row r="59" spans="1:28" s="1248" customFormat="1" ht="33.75" outlineLevel="1">
      <c r="A59" s="1249" t="s">
        <v>505</v>
      </c>
      <c r="B59" s="1249"/>
      <c r="C59" s="1250"/>
      <c r="D59" s="1251"/>
      <c r="E59" s="1236"/>
      <c r="F59" s="1252">
        <v>21</v>
      </c>
      <c r="G59" s="1253"/>
      <c r="H59" s="1252">
        <v>25</v>
      </c>
      <c r="I59" s="1259"/>
      <c r="J59" s="1252">
        <v>25</v>
      </c>
      <c r="K59" s="1259"/>
      <c r="L59" s="1254">
        <v>27</v>
      </c>
      <c r="M59" s="1255"/>
      <c r="N59" s="1256"/>
      <c r="O59" s="1257"/>
      <c r="P59" s="1258"/>
      <c r="Q59" s="1252">
        <v>21</v>
      </c>
      <c r="R59" s="1259"/>
      <c r="S59" s="1252">
        <v>25</v>
      </c>
      <c r="T59" s="1259"/>
      <c r="U59" s="1252">
        <v>25</v>
      </c>
      <c r="V59" s="1259"/>
      <c r="W59" s="1254">
        <v>27</v>
      </c>
      <c r="X59" s="1255"/>
      <c r="Y59" s="1256"/>
      <c r="Z59" s="1260"/>
      <c r="AA59" s="1261"/>
      <c r="AB59" s="1262"/>
    </row>
    <row r="60" spans="1:28" s="1277" customFormat="1" outlineLevel="1">
      <c r="A60" s="1263" t="s">
        <v>506</v>
      </c>
      <c r="B60" s="1263"/>
      <c r="C60" s="1264"/>
      <c r="D60" s="1265"/>
      <c r="E60" s="1278"/>
      <c r="F60" s="1266">
        <v>15000</v>
      </c>
      <c r="G60" s="1267"/>
      <c r="H60" s="1266">
        <v>10500</v>
      </c>
      <c r="I60" s="1273"/>
      <c r="J60" s="1266">
        <v>10500</v>
      </c>
      <c r="K60" s="1273"/>
      <c r="L60" s="1268"/>
      <c r="M60" s="1269"/>
      <c r="N60" s="1270"/>
      <c r="O60" s="1271"/>
      <c r="P60" s="1272"/>
      <c r="Q60" s="1266">
        <v>15000</v>
      </c>
      <c r="R60" s="1273"/>
      <c r="S60" s="1266">
        <v>10500</v>
      </c>
      <c r="T60" s="1273"/>
      <c r="U60" s="1266">
        <v>10500</v>
      </c>
      <c r="V60" s="1273"/>
      <c r="W60" s="1268"/>
      <c r="X60" s="1269"/>
      <c r="Y60" s="1270"/>
      <c r="Z60" s="1274"/>
      <c r="AA60" s="1275"/>
      <c r="AB60" s="1276"/>
    </row>
    <row r="61" spans="1:28" s="1277" customFormat="1" outlineLevel="1">
      <c r="A61" s="1249" t="s">
        <v>507</v>
      </c>
      <c r="B61" s="1249"/>
      <c r="C61" s="1250"/>
      <c r="D61" s="1251"/>
      <c r="E61" s="1236"/>
      <c r="F61" s="1254">
        <f>ROUND(F6/F59,0)</f>
        <v>18</v>
      </c>
      <c r="G61" s="1253"/>
      <c r="H61" s="1252"/>
      <c r="I61" s="1259"/>
      <c r="J61" s="1252"/>
      <c r="K61" s="1259"/>
      <c r="L61" s="1254">
        <f>ROUND(L6/L59,0)</f>
        <v>0</v>
      </c>
      <c r="M61" s="1255"/>
      <c r="N61" s="1256"/>
      <c r="O61" s="1257"/>
      <c r="P61" s="1258"/>
      <c r="Q61" s="1254">
        <f>ROUND(Q6/Q59,0)</f>
        <v>0</v>
      </c>
      <c r="R61" s="1259"/>
      <c r="S61" s="1252"/>
      <c r="T61" s="1259"/>
      <c r="U61" s="1252"/>
      <c r="V61" s="1259"/>
      <c r="W61" s="1254">
        <f>ROUND(W6/W59,0)</f>
        <v>0</v>
      </c>
      <c r="X61" s="1255"/>
      <c r="Y61" s="1256"/>
      <c r="Z61" s="1260"/>
      <c r="AA61" s="1261"/>
      <c r="AB61" s="1262"/>
    </row>
    <row r="62" spans="1:28" s="1277" customFormat="1" outlineLevel="1">
      <c r="A62" s="1263" t="s">
        <v>508</v>
      </c>
      <c r="B62" s="1263"/>
      <c r="C62" s="1264"/>
      <c r="D62" s="1265">
        <v>38000</v>
      </c>
      <c r="E62" s="1278"/>
      <c r="F62" s="1266">
        <f>D62</f>
        <v>38000</v>
      </c>
      <c r="G62" s="1267"/>
      <c r="H62" s="1266"/>
      <c r="I62" s="1273"/>
      <c r="J62" s="1266"/>
      <c r="K62" s="1273"/>
      <c r="L62" s="1268">
        <f>D62</f>
        <v>38000</v>
      </c>
      <c r="M62" s="1269"/>
      <c r="N62" s="1270"/>
      <c r="O62" s="1271"/>
      <c r="P62" s="1272"/>
      <c r="Q62" s="1266">
        <f>D62</f>
        <v>38000</v>
      </c>
      <c r="R62" s="1273"/>
      <c r="S62" s="1266"/>
      <c r="T62" s="1273"/>
      <c r="U62" s="1266"/>
      <c r="V62" s="1273"/>
      <c r="W62" s="1268">
        <f>D62</f>
        <v>38000</v>
      </c>
      <c r="X62" s="1269"/>
      <c r="Y62" s="1270"/>
      <c r="Z62" s="1274"/>
      <c r="AA62" s="1275"/>
      <c r="AB62" s="1276"/>
    </row>
    <row r="63" spans="1:28" s="1087" customFormat="1">
      <c r="A63" s="1146" t="s">
        <v>509</v>
      </c>
      <c r="B63" s="1147"/>
      <c r="C63" s="1279"/>
      <c r="D63" s="1280"/>
      <c r="E63" s="1150"/>
      <c r="F63" s="1158">
        <f>F44-F45</f>
        <v>4015652.7090909109</v>
      </c>
      <c r="G63" s="1281">
        <f>IF($F$6=0,0,F63/$F$6)</f>
        <v>10623.419865319869</v>
      </c>
      <c r="H63" s="1158">
        <f>H44-H45</f>
        <v>0</v>
      </c>
      <c r="I63" s="1154">
        <f>IF($H$6=0,0,H63/$H$6)</f>
        <v>0</v>
      </c>
      <c r="J63" s="1158">
        <f>J44-J45</f>
        <v>0</v>
      </c>
      <c r="K63" s="1154">
        <f>IF($J$6=0,0,J63/$J$6)</f>
        <v>0</v>
      </c>
      <c r="L63" s="1153">
        <f>L44-L45</f>
        <v>0</v>
      </c>
      <c r="M63" s="1154">
        <f>IF($L$6=0,0,L63/$L$6)</f>
        <v>0</v>
      </c>
      <c r="N63" s="1155">
        <f>F63+H63+J63+L63</f>
        <v>4015652.7090909109</v>
      </c>
      <c r="O63" s="1156">
        <f>IF($N$6=0,0,N63/$N$6)</f>
        <v>10623.419865319869</v>
      </c>
      <c r="P63" s="1157"/>
      <c r="Q63" s="1158">
        <f>Q44-Q45</f>
        <v>0</v>
      </c>
      <c r="R63" s="1154">
        <f>IF($Q$6=0,0,Q63/$Q$6)</f>
        <v>0</v>
      </c>
      <c r="S63" s="1158">
        <f>S44-S45</f>
        <v>0</v>
      </c>
      <c r="T63" s="1154">
        <f>IF($S$6=0,0,S63/$S$6)</f>
        <v>0</v>
      </c>
      <c r="U63" s="1158">
        <f>U44-U45</f>
        <v>0</v>
      </c>
      <c r="V63" s="1154">
        <f>IF($U$6=0,0,U63/$U$6)</f>
        <v>0</v>
      </c>
      <c r="W63" s="1153">
        <f>W44-W45</f>
        <v>0</v>
      </c>
      <c r="X63" s="1154">
        <f>IF($W$6=0,0,W63/$W$6)</f>
        <v>0</v>
      </c>
      <c r="Y63" s="1155">
        <f>Q63+S63+U63+W63</f>
        <v>0</v>
      </c>
      <c r="Z63" s="1156">
        <f>IF($Y$6=0,0,Y63/$Y$6)</f>
        <v>0</v>
      </c>
      <c r="AA63" s="1159">
        <f>N63+Y63</f>
        <v>4015652.7090909109</v>
      </c>
      <c r="AB63" s="1160">
        <f>IF($AA$6=0,0,AA63/$AA$6)</f>
        <v>10623.419865319869</v>
      </c>
    </row>
    <row r="64" spans="1:28" s="1087" customFormat="1">
      <c r="A64" s="1282" t="s">
        <v>510</v>
      </c>
      <c r="B64" s="1283"/>
      <c r="C64" s="1284"/>
      <c r="D64" s="1285"/>
      <c r="E64" s="1150"/>
      <c r="F64" s="1286"/>
      <c r="G64" s="1287"/>
      <c r="H64" s="1286"/>
      <c r="I64" s="1289"/>
      <c r="J64" s="1286"/>
      <c r="K64" s="1289"/>
      <c r="L64" s="1288"/>
      <c r="M64" s="1289"/>
      <c r="N64" s="1290"/>
      <c r="O64" s="1291"/>
      <c r="P64" s="1292"/>
      <c r="Q64" s="1286"/>
      <c r="R64" s="1289"/>
      <c r="S64" s="1286"/>
      <c r="T64" s="1289"/>
      <c r="U64" s="1286"/>
      <c r="V64" s="1289"/>
      <c r="W64" s="1288"/>
      <c r="X64" s="1289"/>
      <c r="Y64" s="1290"/>
      <c r="Z64" s="1293"/>
      <c r="AA64" s="1294"/>
      <c r="AB64" s="1295"/>
    </row>
    <row r="65" spans="1:28" s="1310" customFormat="1">
      <c r="A65" s="1296" t="s">
        <v>511</v>
      </c>
      <c r="B65" s="1297"/>
      <c r="C65" s="1298"/>
      <c r="D65" s="1299"/>
      <c r="E65" s="1300"/>
      <c r="F65" s="1301">
        <f>IF($Y$6=0,F6/$N$6,F6/$AA$6)</f>
        <v>1</v>
      </c>
      <c r="G65" s="1302"/>
      <c r="H65" s="1301">
        <f>IF($Y$6=0,H6/$N$6,H6/$AA$6)</f>
        <v>0</v>
      </c>
      <c r="I65" s="1304"/>
      <c r="J65" s="1301">
        <f>IF($Y$6=0,J6/$N$6,J6/$AA$6)</f>
        <v>0</v>
      </c>
      <c r="K65" s="1304"/>
      <c r="L65" s="1303">
        <f>IF($Y$6=0,L6/$N$6,L6/$AA$6)</f>
        <v>0</v>
      </c>
      <c r="M65" s="1304"/>
      <c r="N65" s="1305">
        <f>F65+H65+J65+L65</f>
        <v>1</v>
      </c>
      <c r="O65" s="1306"/>
      <c r="P65" s="1307"/>
      <c r="Q65" s="1301">
        <f>IF($Y$6=0,0,Q6/$AA$6)</f>
        <v>0</v>
      </c>
      <c r="R65" s="1304"/>
      <c r="S65" s="1301">
        <f>IF($Y$6=0,0,S6/$AA$6)</f>
        <v>0</v>
      </c>
      <c r="T65" s="1304"/>
      <c r="U65" s="1301">
        <f>IF($Y$6=0,0,U6/$AA$6)</f>
        <v>0</v>
      </c>
      <c r="V65" s="1304"/>
      <c r="W65" s="1303">
        <f>IF($Y$6=0,0,W6/$AA$6)</f>
        <v>0</v>
      </c>
      <c r="X65" s="1304"/>
      <c r="Y65" s="1305">
        <f>Q65+S65+U65+W65</f>
        <v>0</v>
      </c>
      <c r="Z65" s="1306"/>
      <c r="AA65" s="1308">
        <f>N65+Y65</f>
        <v>1</v>
      </c>
      <c r="AB65" s="1309"/>
    </row>
    <row r="66" spans="1:28" s="1087" customFormat="1">
      <c r="A66" s="1118" t="s">
        <v>512</v>
      </c>
      <c r="B66" s="1342">
        <f>'Расходы помесячно (План-Факт)'!BL160</f>
        <v>0</v>
      </c>
      <c r="C66" s="1120"/>
      <c r="D66" s="1121"/>
      <c r="E66" s="1122"/>
      <c r="F66" s="1123">
        <f>IF(AA6=0,B66,ROUND($B66*F$65,0))</f>
        <v>0</v>
      </c>
      <c r="G66" s="1124">
        <f>IF($F$6=0,0,F66/$F$6)</f>
        <v>0</v>
      </c>
      <c r="H66" s="1123">
        <f>ROUND($B66*H$65,0)</f>
        <v>0</v>
      </c>
      <c r="I66" s="1126">
        <f>IF($H$6=0,0,H66/$H$6)</f>
        <v>0</v>
      </c>
      <c r="J66" s="1123">
        <f>ROUND($B66*J$65,0)</f>
        <v>0</v>
      </c>
      <c r="K66" s="1126">
        <f>IF($J$6=0,0,J66/$J$6)</f>
        <v>0</v>
      </c>
      <c r="L66" s="1125">
        <f>ROUND($B66*L$65,0)</f>
        <v>0</v>
      </c>
      <c r="M66" s="1126">
        <f>IF($L$6=0,0,L66/$L$6)</f>
        <v>0</v>
      </c>
      <c r="N66" s="1127">
        <f>IF(AA6=0,F66,F66+H66+J66+L66)</f>
        <v>0</v>
      </c>
      <c r="O66" s="1128">
        <f>IF($N$6=0,0,N66/$N$6)</f>
        <v>0</v>
      </c>
      <c r="P66" s="1084"/>
      <c r="Q66" s="1123">
        <f>ROUND($B66*Q$65,0)</f>
        <v>0</v>
      </c>
      <c r="R66" s="1126">
        <f>IF($Q$6=0,0,Q66/$Q$6)</f>
        <v>0</v>
      </c>
      <c r="S66" s="1123">
        <f>ROUND($B66*S$65,0)</f>
        <v>0</v>
      </c>
      <c r="T66" s="1126">
        <f>IF($S$6=0,0,S66/$S$6)</f>
        <v>0</v>
      </c>
      <c r="U66" s="1123">
        <f>ROUND($B66*U$65,0)</f>
        <v>0</v>
      </c>
      <c r="V66" s="1126">
        <f>IF($U$6=0,0,U66/$U$6)</f>
        <v>0</v>
      </c>
      <c r="W66" s="1125">
        <f>ROUND($B66*W$65,0)</f>
        <v>0</v>
      </c>
      <c r="X66" s="1126">
        <f>IF($W$6=0,0,W66/$W$6)</f>
        <v>0</v>
      </c>
      <c r="Y66" s="1127">
        <f>Q66+S66+U66+W66</f>
        <v>0</v>
      </c>
      <c r="Z66" s="1128">
        <f>IF($Y$6=0,0,Y66/$Y$6)</f>
        <v>0</v>
      </c>
      <c r="AA66" s="1129">
        <f>N66+Y66</f>
        <v>0</v>
      </c>
      <c r="AB66" s="1130">
        <f>IF($AA$6=0,0,AA66/$AA$6)</f>
        <v>0</v>
      </c>
    </row>
    <row r="67" spans="1:28" s="1087" customFormat="1">
      <c r="A67" s="1146" t="s">
        <v>513</v>
      </c>
      <c r="B67" s="1147"/>
      <c r="C67" s="1312"/>
      <c r="D67" s="1313"/>
      <c r="E67" s="1314"/>
      <c r="F67" s="1158">
        <f>F63-F66</f>
        <v>4015652.7090909109</v>
      </c>
      <c r="G67" s="1281">
        <f>IF($F$6=0,0,F67/$F$6)</f>
        <v>10623.419865319869</v>
      </c>
      <c r="H67" s="1158">
        <f>H63-H66</f>
        <v>0</v>
      </c>
      <c r="I67" s="1154">
        <f>IF($H$6=0,0,H67/$H$6)</f>
        <v>0</v>
      </c>
      <c r="J67" s="1158">
        <f>J63-J66</f>
        <v>0</v>
      </c>
      <c r="K67" s="1154">
        <f>IF($J$6=0,0,J67/$J$6)</f>
        <v>0</v>
      </c>
      <c r="L67" s="1153">
        <f>L63-L66</f>
        <v>0</v>
      </c>
      <c r="M67" s="1154">
        <f>IF($L$6=0,0,L67/$L$6)</f>
        <v>0</v>
      </c>
      <c r="N67" s="1155">
        <f>IF(AA6=0,N63-N66,F67+H67+J67+L67)</f>
        <v>4015652.7090909109</v>
      </c>
      <c r="O67" s="1315">
        <f>IF($N$6=0,0,N67/$N$6)</f>
        <v>10623.419865319869</v>
      </c>
      <c r="P67" s="1316"/>
      <c r="Q67" s="1158">
        <f>Q63-Q66</f>
        <v>0</v>
      </c>
      <c r="R67" s="1154">
        <f>IF($Q$6=0,0,Q67/$Q$6)</f>
        <v>0</v>
      </c>
      <c r="S67" s="1158">
        <f>S63-S66</f>
        <v>0</v>
      </c>
      <c r="T67" s="1154">
        <f>IF($S$6=0,0,S67/$S$6)</f>
        <v>0</v>
      </c>
      <c r="U67" s="1158">
        <f>U63-U66</f>
        <v>0</v>
      </c>
      <c r="V67" s="1154">
        <f>IF($U$6=0,0,U67/$U$6)</f>
        <v>0</v>
      </c>
      <c r="W67" s="1153">
        <f>W63-W66</f>
        <v>0</v>
      </c>
      <c r="X67" s="1154">
        <f>IF($W$6=0,0,W67/$W$6)</f>
        <v>0</v>
      </c>
      <c r="Y67" s="1155">
        <f>Q67+S67+U67+W67</f>
        <v>0</v>
      </c>
      <c r="Z67" s="1315">
        <f>IF($Y$6=0,0,Y67/$Y$6)</f>
        <v>0</v>
      </c>
      <c r="AA67" s="1317">
        <f>N67+Y67</f>
        <v>4015652.7090909109</v>
      </c>
      <c r="AB67" s="1318">
        <f>IF($AA$6=0,0,AA67/$AA$6)</f>
        <v>10623.419865319869</v>
      </c>
    </row>
    <row r="68" spans="1:28">
      <c r="A68" s="1118" t="s">
        <v>514</v>
      </c>
      <c r="B68" s="1342">
        <f>'Расходы помесячно (План-Факт)'!BL132</f>
        <v>1138425.2488888889</v>
      </c>
      <c r="C68" s="1120"/>
      <c r="D68" s="1121"/>
      <c r="E68" s="1122"/>
      <c r="F68" s="1123">
        <f>IF(AA6=0,B68,ROUND($B68*F$65,0))</f>
        <v>1138425</v>
      </c>
      <c r="G68" s="1124">
        <f>IF($F$6=0,0,F68/$F$6)</f>
        <v>3011.7063492063494</v>
      </c>
      <c r="H68" s="1123">
        <f>ROUND($B68*H$65,0)</f>
        <v>0</v>
      </c>
      <c r="I68" s="1126">
        <f>IF($H$6=0,0,H68/$H$6)</f>
        <v>0</v>
      </c>
      <c r="J68" s="1123">
        <f>ROUND($B68*J$65,0)</f>
        <v>0</v>
      </c>
      <c r="K68" s="1126">
        <f>IF($J$6=0,0,J68/$J$6)</f>
        <v>0</v>
      </c>
      <c r="L68" s="1125">
        <f>ROUND($B68*L$65,0)</f>
        <v>0</v>
      </c>
      <c r="M68" s="1126">
        <f>IF($L$6=0,0,L68/$L$6)</f>
        <v>0</v>
      </c>
      <c r="N68" s="1127">
        <f>IF(AA6=0,F68,F68+H68+J68+L68)</f>
        <v>1138425</v>
      </c>
      <c r="O68" s="1128">
        <f>IF($N$6=0,0,N68/$N$6)</f>
        <v>3011.7063492063494</v>
      </c>
      <c r="P68" s="1084"/>
      <c r="Q68" s="1123">
        <f>ROUND($B68*Q$65,0)</f>
        <v>0</v>
      </c>
      <c r="R68" s="1126">
        <f>IF($Q$6=0,0,Q68/$Q$6)</f>
        <v>0</v>
      </c>
      <c r="S68" s="1123">
        <f>ROUND($B68*S$65,0)</f>
        <v>0</v>
      </c>
      <c r="T68" s="1126">
        <f>IF($S$6=0,0,S68/$S$6)</f>
        <v>0</v>
      </c>
      <c r="U68" s="1123">
        <f>ROUND($B68*U$65,0)</f>
        <v>0</v>
      </c>
      <c r="V68" s="1126">
        <f>IF($U$6=0,0,U68/$U$6)</f>
        <v>0</v>
      </c>
      <c r="W68" s="1125">
        <f>ROUND($B68*W$65,0)</f>
        <v>0</v>
      </c>
      <c r="X68" s="1126">
        <f>IF($W$6=0,0,W68/$W$6)</f>
        <v>0</v>
      </c>
      <c r="Y68" s="1127">
        <f>Q68+S68+U68+W68</f>
        <v>0</v>
      </c>
      <c r="Z68" s="1128">
        <f>IF($Y$6=0,0,Y68/$Y$6)</f>
        <v>0</v>
      </c>
      <c r="AA68" s="1129">
        <f>N68+Y68</f>
        <v>1138425</v>
      </c>
      <c r="AB68" s="1130">
        <f>IF($AA$6=0,0,AA68/$AA$6)</f>
        <v>3011.7063492063494</v>
      </c>
    </row>
    <row r="69" spans="1:28">
      <c r="A69" s="1146" t="s">
        <v>515</v>
      </c>
      <c r="B69" s="1147"/>
      <c r="C69" s="1312"/>
      <c r="D69" s="1313"/>
      <c r="E69" s="1314"/>
      <c r="F69" s="1158">
        <f>F67-F68</f>
        <v>2877227.7090909109</v>
      </c>
      <c r="G69" s="1281">
        <f>IF($F$6=0,0,F69/$F$6)</f>
        <v>7611.7135161135211</v>
      </c>
      <c r="H69" s="1158">
        <f>H67-H68</f>
        <v>0</v>
      </c>
      <c r="I69" s="1154">
        <f>IF($H$6=0,0,H69/$H$6)</f>
        <v>0</v>
      </c>
      <c r="J69" s="1158">
        <f>J67-J68</f>
        <v>0</v>
      </c>
      <c r="K69" s="1154">
        <f>IF($J$6=0,0,J69/$J$6)</f>
        <v>0</v>
      </c>
      <c r="L69" s="1158">
        <f>L67-L68</f>
        <v>0</v>
      </c>
      <c r="M69" s="1154">
        <f>IF($L$6=0,0,L69/$L$6)</f>
        <v>0</v>
      </c>
      <c r="N69" s="1158">
        <f>N67-N68</f>
        <v>2877227.7090909109</v>
      </c>
      <c r="O69" s="1315">
        <f>IF($N$6=0,0,N69/$N$6)</f>
        <v>7611.7135161135211</v>
      </c>
      <c r="P69" s="1316"/>
      <c r="Q69" s="1158">
        <f>Q67-Q68</f>
        <v>0</v>
      </c>
      <c r="R69" s="1154">
        <f>IF($Q$6=0,0,Q69/$Q$6)</f>
        <v>0</v>
      </c>
      <c r="S69" s="1158">
        <f>S67-S68</f>
        <v>0</v>
      </c>
      <c r="T69" s="1154">
        <f>IF($S$6=0,0,S69/$S$6)</f>
        <v>0</v>
      </c>
      <c r="U69" s="1158">
        <f>U67-U68</f>
        <v>0</v>
      </c>
      <c r="V69" s="1154">
        <f>IF($U$6=0,0,U69/$U$6)</f>
        <v>0</v>
      </c>
      <c r="W69" s="1158">
        <f>W67-W68</f>
        <v>0</v>
      </c>
      <c r="X69" s="1154">
        <f>IF($W$6=0,0,W69/$W$6)</f>
        <v>0</v>
      </c>
      <c r="Y69" s="1158">
        <f>Y67-Y68</f>
        <v>0</v>
      </c>
      <c r="Z69" s="1315">
        <f>IF($Y$6=0,0,Y69/$Y$6)</f>
        <v>0</v>
      </c>
      <c r="AA69" s="1317">
        <f>N69+Y69</f>
        <v>2877227.7090909109</v>
      </c>
      <c r="AB69" s="1318">
        <f>IF($AA$6=0,0,AA69/$AA$6)</f>
        <v>7611.7135161135211</v>
      </c>
    </row>
    <row r="73" spans="1:28">
      <c r="F73" s="1330"/>
      <c r="G73" s="1331"/>
      <c r="H73" s="1330"/>
      <c r="I73" s="1331"/>
      <c r="J73" s="1330"/>
      <c r="K73" s="1331"/>
      <c r="L73" s="1330"/>
      <c r="M73" s="1331"/>
      <c r="N73" s="1330"/>
    </row>
    <row r="74" spans="1:28">
      <c r="F74" s="1319"/>
      <c r="G74" s="1320"/>
      <c r="H74" s="1321"/>
      <c r="I74" s="1321"/>
      <c r="J74" s="1321"/>
      <c r="K74" s="1321"/>
      <c r="L74" s="1321"/>
      <c r="M74" s="1321"/>
      <c r="N74" s="1321"/>
    </row>
  </sheetData>
  <sheetProtection selectLockedCells="1" selectUnlockedCells="1"/>
  <pageMargins left="0.7" right="0.7" top="0.75" bottom="0.75" header="0.51180555555555551" footer="0.51180555555555551"/>
  <pageSetup firstPageNumber="0" orientation="portrait"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Расчет процента расходов</vt:lpstr>
      <vt:lpstr>Описание расходов</vt:lpstr>
      <vt:lpstr>Лист2</vt:lpstr>
      <vt:lpstr>Расходы помесячно (План-Факт)</vt:lpstr>
      <vt:lpstr>Мес. программа</vt:lpstr>
      <vt:lpstr>Мес. программа (без янв фев)</vt:lpstr>
      <vt:lpstr>Мес_прог (по пред. мес)</vt:lpstr>
      <vt:lpstr>Мес_прог (без пост. расх.)</vt:lpstr>
      <vt:lpstr>Мес. прог. (УПС 350)</vt:lpstr>
      <vt:lpstr>Касса</vt:lpstr>
      <vt:lpstr>Продажи2</vt:lpstr>
      <vt:lpstr>Сортировка материалов</vt:lpstr>
      <vt:lpstr>Лист4</vt:lpstr>
      <vt:lpstr>Лист3</vt:lpstr>
      <vt:lpstr>Касса!_xlnm._FilterDatabase</vt:lpstr>
      <vt:lpstr>Продажи2!_xlnm._FilterDatabase</vt:lpstr>
      <vt:lpstr>_xlnm._FilterDatabase_1_1</vt:lpstr>
      <vt:lpstr>_xlnm._FilterDatabase_2</vt:lpstr>
      <vt:lpstr>Продажи2!Excel_BuiltIn__FilterDatabase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Суслова</dc:creator>
  <cp:lastModifiedBy>Windows User</cp:lastModifiedBy>
  <dcterms:created xsi:type="dcterms:W3CDTF">2016-10-23T13:37:23Z</dcterms:created>
  <dcterms:modified xsi:type="dcterms:W3CDTF">2016-10-23T13:37:37Z</dcterms:modified>
</cp:coreProperties>
</file>