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60" windowWidth="20115" windowHeight="8010" activeTab="5"/>
  </bookViews>
  <sheets>
    <sheet name="Лист1" sheetId="1" r:id="rId1"/>
    <sheet name="Лист2" sheetId="2" r:id="rId2"/>
    <sheet name="Расчет бонусов к выплате" sheetId="5" r:id="rId3"/>
    <sheet name="август" sheetId="3" r:id="rId4"/>
    <sheet name="Тех задание" sheetId="4" r:id="rId5"/>
    <sheet name="дебиторская задолженность" sheetId="6" r:id="rId6"/>
  </sheets>
  <calcPr calcId="125725"/>
</workbook>
</file>

<file path=xl/calcChain.xml><?xml version="1.0" encoding="utf-8"?>
<calcChain xmlns="http://schemas.openxmlformats.org/spreadsheetml/2006/main">
  <c r="H32" i="6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7"/>
  <c r="G17"/>
  <c r="H13"/>
  <c r="G13"/>
  <c r="H12"/>
  <c r="G12"/>
  <c r="H11"/>
  <c r="G11"/>
  <c r="H10"/>
  <c r="G10"/>
  <c r="H16"/>
  <c r="G16"/>
  <c r="H19"/>
  <c r="H18" s="1"/>
  <c r="E14"/>
  <c r="F14"/>
  <c r="D14"/>
  <c r="D8"/>
  <c r="E8"/>
  <c r="F8"/>
  <c r="G15"/>
  <c r="G14" s="1"/>
  <c r="E17"/>
  <c r="I17" s="1"/>
  <c r="E32"/>
  <c r="I32" s="1"/>
  <c r="E31"/>
  <c r="I31" s="1"/>
  <c r="E30"/>
  <c r="I30" s="1"/>
  <c r="E29"/>
  <c r="I29" s="1"/>
  <c r="E28"/>
  <c r="I28" s="1"/>
  <c r="E27"/>
  <c r="I27" s="1"/>
  <c r="E26"/>
  <c r="I26" s="1"/>
  <c r="E25"/>
  <c r="I25" s="1"/>
  <c r="E24"/>
  <c r="I24" s="1"/>
  <c r="E23"/>
  <c r="I23" s="1"/>
  <c r="E22"/>
  <c r="I22" s="1"/>
  <c r="E21"/>
  <c r="I21" s="1"/>
  <c r="E20"/>
  <c r="I20" s="1"/>
  <c r="E16"/>
  <c r="I16" s="1"/>
  <c r="E12"/>
  <c r="I12" s="1"/>
  <c r="E13"/>
  <c r="I13" s="1"/>
  <c r="E11"/>
  <c r="I11" s="1"/>
  <c r="E10"/>
  <c r="I10" s="1"/>
  <c r="B19"/>
  <c r="B18" s="1"/>
  <c r="C15"/>
  <c r="C14" s="1"/>
  <c r="B15"/>
  <c r="B14" s="1"/>
  <c r="C9"/>
  <c r="C8" s="1"/>
  <c r="B49"/>
  <c r="C48"/>
  <c r="C46"/>
  <c r="C49" s="1"/>
  <c r="C32"/>
  <c r="C31"/>
  <c r="C30"/>
  <c r="C29"/>
  <c r="C28"/>
  <c r="C27"/>
  <c r="C26"/>
  <c r="B9"/>
  <c r="B8" s="1"/>
  <c r="I26" i="3"/>
  <c r="I25"/>
  <c r="I24"/>
  <c r="I23"/>
  <c r="I22"/>
  <c r="I21"/>
  <c r="I20"/>
  <c r="I19"/>
  <c r="I18"/>
  <c r="I17"/>
  <c r="I16"/>
  <c r="I15"/>
  <c r="I14"/>
  <c r="I12"/>
  <c r="I11"/>
  <c r="I9"/>
  <c r="I8"/>
  <c r="I7"/>
  <c r="I6"/>
  <c r="B2" i="5"/>
  <c r="H25" i="3"/>
  <c r="H20"/>
  <c r="F40"/>
  <c r="C3" i="5" s="1"/>
  <c r="F5" i="3"/>
  <c r="F10"/>
  <c r="H15"/>
  <c r="G13"/>
  <c r="C13"/>
  <c r="D13" s="1"/>
  <c r="G10"/>
  <c r="I10" s="1"/>
  <c r="C10"/>
  <c r="D10" s="1"/>
  <c r="G5"/>
  <c r="C5"/>
  <c r="D5" s="1"/>
  <c r="H11"/>
  <c r="H12"/>
  <c r="H16"/>
  <c r="G42"/>
  <c r="G40"/>
  <c r="G43" s="1"/>
  <c r="F42"/>
  <c r="F43"/>
  <c r="C43"/>
  <c r="H19"/>
  <c r="H18"/>
  <c r="H17"/>
  <c r="H6"/>
  <c r="H7"/>
  <c r="H8"/>
  <c r="H15" i="6" l="1"/>
  <c r="H14" s="1"/>
  <c r="G9"/>
  <c r="G8" s="1"/>
  <c r="H9"/>
  <c r="H8" s="1"/>
  <c r="I9"/>
  <c r="I8" s="1"/>
  <c r="I15"/>
  <c r="I14" s="1"/>
  <c r="I19"/>
  <c r="I18" s="1"/>
  <c r="I7" s="1"/>
  <c r="D7"/>
  <c r="F7"/>
  <c r="E7"/>
  <c r="C19"/>
  <c r="C18" s="1"/>
  <c r="C7" s="1"/>
  <c r="G19"/>
  <c r="G18" s="1"/>
  <c r="I5" i="3"/>
  <c r="I13"/>
  <c r="B7" i="6"/>
  <c r="E5" i="3"/>
  <c r="E10"/>
  <c r="E13"/>
  <c r="H22"/>
  <c r="H21"/>
  <c r="H23"/>
  <c r="H26"/>
  <c r="H9"/>
  <c r="H5" s="1"/>
  <c r="H24"/>
  <c r="F13"/>
  <c r="F4" s="1"/>
  <c r="H14"/>
  <c r="H10"/>
  <c r="G4"/>
  <c r="C4"/>
  <c r="C22" i="2"/>
  <c r="C21"/>
  <c r="B22"/>
  <c r="P2"/>
  <c r="H7" i="6" l="1"/>
  <c r="G7"/>
  <c r="H13" i="3"/>
  <c r="H4" s="1"/>
</calcChain>
</file>

<file path=xl/comments1.xml><?xml version="1.0" encoding="utf-8"?>
<comments xmlns="http://schemas.openxmlformats.org/spreadsheetml/2006/main">
  <authors>
    <author>Илдар</author>
  </authors>
  <commentList>
    <comment ref="E2" authorId="0">
      <text>
        <r>
          <rPr>
            <b/>
            <sz val="9"/>
            <color indexed="81"/>
            <rFont val="Tahoma"/>
            <family val="2"/>
            <charset val="204"/>
          </rPr>
          <t>Ильвира:
Если везем до клиента, то выбираем подразделение к которому относится клиент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Илдар</author>
  </authors>
  <commentLis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Ильвира:
Подтягивается из Счета покупателю, к которому привязывается Платежное поручение входящее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Ильдар:</t>
        </r>
        <r>
          <rPr>
            <sz val="9"/>
            <color indexed="81"/>
            <rFont val="Tahoma"/>
            <family val="2"/>
            <charset val="204"/>
          </rPr>
          <t xml:space="preserve">
Считается как Продажи - оплаченные продажи
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Ильвира:</t>
        </r>
        <r>
          <rPr>
            <sz val="9"/>
            <color indexed="81"/>
            <rFont val="Tahoma"/>
            <family val="2"/>
            <charset val="204"/>
          </rPr>
          <t xml:space="preserve">
Вставляется сумма из столбца "Валовый доход" при условии если Сумма факт продажи"="Оплаченные продажи"</t>
        </r>
      </text>
    </comment>
  </commentList>
</comments>
</file>

<file path=xl/comments3.xml><?xml version="1.0" encoding="utf-8"?>
<comments xmlns="http://schemas.openxmlformats.org/spreadsheetml/2006/main">
  <authors>
    <author>Пользователь Windows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Ильвира:
Подтягивается из счета, который привязан к реализации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Ильвира:
Нужно ввести условия оплаты в документ "Реализация товаров и услуг"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Ильвира:
Считается от "ожидаемой даты оплаты", которая будет указываться в документе "Реализация товаров и услуг"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<sst xmlns="http://schemas.openxmlformats.org/spreadsheetml/2006/main" count="126" uniqueCount="83">
  <si>
    <t>Направление доставки</t>
  </si>
  <si>
    <t>Межгород</t>
  </si>
  <si>
    <t>Москва</t>
  </si>
  <si>
    <t>Казань</t>
  </si>
  <si>
    <t>Подазделение</t>
  </si>
  <si>
    <t>Склад Казань</t>
  </si>
  <si>
    <t>Поставщик</t>
  </si>
  <si>
    <t>К-флекс</t>
  </si>
  <si>
    <t>Желаемая Дата поставки</t>
  </si>
  <si>
    <t>Фактическая Дата поставки</t>
  </si>
  <si>
    <t>Документ основания</t>
  </si>
  <si>
    <t>Счет покупателю №…</t>
  </si>
  <si>
    <t>Комментарий</t>
  </si>
  <si>
    <t>Адрес отгрузки</t>
  </si>
  <si>
    <t>Адрес доставки</t>
  </si>
  <si>
    <t>Оплаченные продажи</t>
  </si>
  <si>
    <t>?</t>
  </si>
  <si>
    <t>Сумма дебиторской задолженности</t>
  </si>
  <si>
    <t>Валовый доход к оплате</t>
  </si>
  <si>
    <t>Остаток по дебиторской задолженности</t>
  </si>
  <si>
    <t>Зп</t>
  </si>
  <si>
    <t>Валовый доход к оплате за предыдущий месяц</t>
  </si>
  <si>
    <t>31.09.2017</t>
  </si>
  <si>
    <t>Валовый доход к оплате за текущий месяц</t>
  </si>
  <si>
    <t>Ахтямзянова Миляуша Саяровна</t>
  </si>
  <si>
    <t>Реализация товаров и услуг УТКП-004738 от 25.08.2017 17:00:58</t>
  </si>
  <si>
    <t>Реализация товаров и услуг УТКП-004771 от 28.08.2017 14:56:56</t>
  </si>
  <si>
    <t>Реализация товаров и услуг УТКП-004770 от 28.08.2017 14:57:09</t>
  </si>
  <si>
    <t>Реализация товаров и услуг УТКП-004766 от 28.08.2017 14:57:26</t>
  </si>
  <si>
    <t>Продажи</t>
  </si>
  <si>
    <t>Валовый доход</t>
  </si>
  <si>
    <t>ФИО</t>
  </si>
  <si>
    <t xml:space="preserve">СТРОИТЕЛЬ+ </t>
  </si>
  <si>
    <t>Реализация товаров и услуг УТКП-003956 от 02.08.2017 17:04:32</t>
  </si>
  <si>
    <t>Реализация товаров и услуг УТКП-004431 от 23.08.2017 16:18:43</t>
  </si>
  <si>
    <t xml:space="preserve">БарсЭлитСтрой+ </t>
  </si>
  <si>
    <t>Реализация товаров и услуг УТКП-004043 от 07.08.2017 17:52:32</t>
  </si>
  <si>
    <t>Реализация товаров и услуг УТКП-004044 от 07.08.2017 17:52:46</t>
  </si>
  <si>
    <t>Реализация товаров и услуг УТКП-004045 от 07.08.2017 17:52:59</t>
  </si>
  <si>
    <t>Реализация товаров и услуг УТКП-004060 от 07.08.2017 17:53:11</t>
  </si>
  <si>
    <t>Реализация товаров и услуг УТКП-004326 от 15.08.2017 11:14:31</t>
  </si>
  <si>
    <t>Реализация товаров и услуг УТКП-004388 от 17.08.2017 9:14:12</t>
  </si>
  <si>
    <t>Реализация товаров и услуг УТКП-004391 от 17.08.2017 9:57:21</t>
  </si>
  <si>
    <t>Реализация товаров и услуг УТКП-004392 от 17.08.2017 10:21:59</t>
  </si>
  <si>
    <t>Реализация товаров и услуг УТКП-004420 от 17.08.2017 17:10:54</t>
  </si>
  <si>
    <t>Реализация товаров и услуг УТКП-004487 от 22.08.2017 13:33:59</t>
  </si>
  <si>
    <t>Реализация товаров и услуг УТКП-004734 от 25.08.2017 16:59:41</t>
  </si>
  <si>
    <t>Реализация товаров и услуг УТКП-004803 от 29.08.2017 11:47:39</t>
  </si>
  <si>
    <t>Реализация товаров и услуг УТКП-004840 от 31.08.2017 9:34:33</t>
  </si>
  <si>
    <t>Всего валовый доход</t>
  </si>
  <si>
    <t>Валовый доход для расчета зп</t>
  </si>
  <si>
    <t>Наименование</t>
  </si>
  <si>
    <t>Валовый доход по состоянию на дату</t>
  </si>
  <si>
    <t>Дата</t>
  </si>
  <si>
    <t>Остаток неоплаченного валового дохода по дебиторской задолженности</t>
  </si>
  <si>
    <t>Валовый доход оплаченный на момент снятия показаний за предыдущие месяцы</t>
  </si>
  <si>
    <t>Валовый доход к выплате за месяц</t>
  </si>
  <si>
    <t>За предыдущие месяцы</t>
  </si>
  <si>
    <t>Дата реализации</t>
  </si>
  <si>
    <t>Продажи план</t>
  </si>
  <si>
    <t>Отклонение от плана продаж</t>
  </si>
  <si>
    <t>Газинвест СК</t>
  </si>
  <si>
    <t>Процент выполнения</t>
  </si>
  <si>
    <t>Дебиторская задолженность</t>
  </si>
  <si>
    <t>Период</t>
  </si>
  <si>
    <t>Рентабельность</t>
  </si>
  <si>
    <t>Договор КС-10/17 от 09.01.2017г.</t>
  </si>
  <si>
    <t>Договор КС-4 165/17  КС-4 165/17 от 22.03.2017 0:00:00</t>
  </si>
  <si>
    <t>Договор КС-3 109/17 от 02.02.2017</t>
  </si>
  <si>
    <t>Вид используемого отчета на сегодняшний день</t>
  </si>
  <si>
    <t>Необходимо внести изменения в данный отчет</t>
  </si>
  <si>
    <t>Формировать данный отчет в разрезе организаций</t>
  </si>
  <si>
    <t>Создать возможность формирования отчета в разрезе документов "Реализация товаров и услуг"</t>
  </si>
  <si>
    <t>Оплаченный Валовый доход</t>
  </si>
  <si>
    <t>Добавить дополнительный столбец "Оплаченный валовый доход"
Данные в этот столбец должны попадать в разрезе каждого документа "Реализация товаров и услуг" из столбца "Валовый доход", но при выполнении такого условия, что по данному документу "Реализация товаров и услуг"  сумма в столбце "Оплаченные продажи" либо равна нулю, либо она  меньше суммы в столбце "Продажи"</t>
  </si>
  <si>
    <t>Добавить дополнительный столбец "Оплаченные продажи" в руб. 
Данные в этот столбец должны поступать из "Платежного поручения входящего", который прикреплен к "Счету на оплату покупателю", который, в свою очередь, прикрепляется к документу "Реализация товаров и услуг"</t>
  </si>
  <si>
    <t>Дата фактической оплаты</t>
  </si>
  <si>
    <t>Период просрочки в календарных днях</t>
  </si>
  <si>
    <t>Ожидаемая дата оплаты по доп.соглашению</t>
  </si>
  <si>
    <t xml:space="preserve">Если реализация </t>
  </si>
  <si>
    <t xml:space="preserve">Оплаченные продажи </t>
  </si>
  <si>
    <t>Сумма дебиторской задолженности в пределах кредитного лимита</t>
  </si>
  <si>
    <t>Сумма просроченной кредиторской задолженности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</si>
</sst>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u/>
      <sz val="8"/>
      <color indexed="59"/>
      <name val="Arial"/>
      <family val="2"/>
      <charset val="204"/>
    </font>
    <font>
      <b/>
      <sz val="10"/>
      <color indexed="59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5" fillId="3" borderId="1" xfId="1" applyNumberFormat="1" applyFont="1" applyFill="1" applyBorder="1" applyAlignment="1">
      <alignment horizontal="left" vertical="top" wrapText="1"/>
    </xf>
    <xf numFmtId="4" fontId="0" fillId="6" borderId="1" xfId="0" applyNumberFormat="1" applyFill="1" applyBorder="1"/>
    <xf numFmtId="0" fontId="4" fillId="2" borderId="1" xfId="1" applyNumberFormat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right" vertical="top" wrapText="1"/>
    </xf>
    <xf numFmtId="4" fontId="4" fillId="2" borderId="1" xfId="1" applyNumberFormat="1" applyFont="1" applyFill="1" applyBorder="1" applyAlignment="1">
      <alignment horizontal="right" vertical="top" wrapText="1"/>
    </xf>
    <xf numFmtId="4" fontId="0" fillId="4" borderId="1" xfId="0" applyNumberFormat="1" applyFill="1" applyBorder="1"/>
    <xf numFmtId="4" fontId="0" fillId="3" borderId="1" xfId="0" applyNumberFormat="1" applyFill="1" applyBorder="1"/>
    <xf numFmtId="4" fontId="0" fillId="5" borderId="1" xfId="0" applyNumberFormat="1" applyFill="1" applyBorder="1"/>
    <xf numFmtId="4" fontId="0" fillId="0" borderId="1" xfId="0" applyNumberFormat="1" applyFill="1" applyBorder="1"/>
    <xf numFmtId="0" fontId="0" fillId="6" borderId="1" xfId="0" applyFill="1" applyBorder="1" applyAlignment="1">
      <alignment wrapText="1"/>
    </xf>
    <xf numFmtId="14" fontId="0" fillId="6" borderId="1" xfId="0" applyNumberFormat="1" applyFill="1" applyBorder="1"/>
    <xf numFmtId="0" fontId="0" fillId="6" borderId="1" xfId="0" applyFill="1" applyBorder="1"/>
    <xf numFmtId="4" fontId="0" fillId="4" borderId="0" xfId="0" applyNumberFormat="1" applyFill="1" applyBorder="1"/>
    <xf numFmtId="4" fontId="5" fillId="3" borderId="1" xfId="1" applyNumberFormat="1" applyFont="1" applyFill="1" applyBorder="1" applyAlignment="1">
      <alignment horizontal="left" vertical="top" wrapText="1"/>
    </xf>
    <xf numFmtId="2" fontId="0" fillId="0" borderId="1" xfId="0" applyNumberFormat="1" applyBorder="1"/>
    <xf numFmtId="14" fontId="0" fillId="0" borderId="1" xfId="0" applyNumberFormat="1" applyBorder="1"/>
    <xf numFmtId="0" fontId="7" fillId="6" borderId="0" xfId="0" applyFont="1" applyFill="1"/>
    <xf numFmtId="14" fontId="7" fillId="6" borderId="0" xfId="0" applyNumberFormat="1" applyFont="1" applyFill="1"/>
    <xf numFmtId="0" fontId="0" fillId="0" borderId="2" xfId="0" applyBorder="1"/>
    <xf numFmtId="0" fontId="0" fillId="4" borderId="3" xfId="0" applyFill="1" applyBorder="1"/>
    <xf numFmtId="4" fontId="0" fillId="4" borderId="3" xfId="0" applyNumberFormat="1" applyFill="1" applyBorder="1"/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wrapText="1"/>
    </xf>
    <xf numFmtId="0" fontId="9" fillId="7" borderId="1" xfId="1" applyNumberFormat="1" applyFont="1" applyFill="1" applyBorder="1" applyAlignment="1">
      <alignment horizontal="left" vertical="top" wrapText="1"/>
    </xf>
    <xf numFmtId="4" fontId="0" fillId="7" borderId="1" xfId="0" applyNumberFormat="1" applyFill="1" applyBorder="1"/>
    <xf numFmtId="0" fontId="10" fillId="3" borderId="1" xfId="1" applyNumberFormat="1" applyFont="1" applyFill="1" applyBorder="1" applyAlignment="1">
      <alignment horizontal="left" vertical="top" wrapText="1"/>
    </xf>
    <xf numFmtId="4" fontId="11" fillId="3" borderId="1" xfId="0" applyNumberFormat="1" applyFont="1" applyFill="1" applyBorder="1"/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2" fillId="6" borderId="5" xfId="0" applyFont="1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>
      <alignment horizontal="left" vertical="top" wrapText="1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323850</xdr:colOff>
      <xdr:row>15</xdr:row>
      <xdr:rowOff>19050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562975" cy="323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133350</xdr:rowOff>
    </xdr:from>
    <xdr:to>
      <xdr:col>7</xdr:col>
      <xdr:colOff>300109</xdr:colOff>
      <xdr:row>30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350"/>
          <a:ext cx="6977134" cy="5372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A2" sqref="A2"/>
    </sheetView>
  </sheetViews>
  <sheetFormatPr defaultRowHeight="15"/>
  <cols>
    <col min="1" max="2" width="26.28515625" customWidth="1"/>
    <col min="3" max="3" width="15.140625" customWidth="1"/>
    <col min="4" max="4" width="17.85546875" customWidth="1"/>
    <col min="5" max="5" width="15.85546875" customWidth="1"/>
    <col min="6" max="6" width="19.28515625" customWidth="1"/>
    <col min="7" max="7" width="20.28515625" customWidth="1"/>
    <col min="8" max="8" width="21.5703125" customWidth="1"/>
    <col min="9" max="9" width="17.85546875" customWidth="1"/>
  </cols>
  <sheetData>
    <row r="1" spans="1:9">
      <c r="A1" t="s">
        <v>0</v>
      </c>
      <c r="B1" t="s">
        <v>6</v>
      </c>
      <c r="C1" t="s">
        <v>13</v>
      </c>
      <c r="D1" t="s">
        <v>14</v>
      </c>
      <c r="E1" t="s">
        <v>4</v>
      </c>
      <c r="F1" t="s">
        <v>8</v>
      </c>
      <c r="G1" t="s">
        <v>9</v>
      </c>
      <c r="H1" t="s">
        <v>10</v>
      </c>
      <c r="I1" t="s">
        <v>12</v>
      </c>
    </row>
    <row r="2" spans="1:9">
      <c r="A2" t="s">
        <v>1</v>
      </c>
      <c r="B2" t="s">
        <v>7</v>
      </c>
      <c r="C2" t="s">
        <v>2</v>
      </c>
      <c r="D2" t="s">
        <v>3</v>
      </c>
      <c r="E2" t="s">
        <v>5</v>
      </c>
      <c r="F2" s="1">
        <v>42983</v>
      </c>
      <c r="G2" s="1">
        <v>42984</v>
      </c>
      <c r="H2" t="s">
        <v>11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A18" sqref="A18:D22"/>
    </sheetView>
  </sheetViews>
  <sheetFormatPr defaultRowHeight="15"/>
  <cols>
    <col min="1" max="1" width="11.85546875" customWidth="1"/>
    <col min="2" max="3" width="10.140625" bestFit="1" customWidth="1"/>
    <col min="15" max="15" width="15.140625" customWidth="1"/>
    <col min="16" max="16" width="16.140625" customWidth="1"/>
    <col min="17" max="17" width="18.85546875" customWidth="1"/>
  </cols>
  <sheetData>
    <row r="1" spans="15:17" ht="45">
      <c r="O1" s="2" t="s">
        <v>15</v>
      </c>
      <c r="P1" s="2" t="s">
        <v>17</v>
      </c>
      <c r="Q1" s="2" t="s">
        <v>18</v>
      </c>
    </row>
    <row r="2" spans="15:17">
      <c r="O2">
        <v>100000</v>
      </c>
      <c r="P2">
        <f>289458.16-100000</f>
        <v>189458.15999999997</v>
      </c>
    </row>
    <row r="4" spans="15:17">
      <c r="P4">
        <v>52530.64</v>
      </c>
    </row>
    <row r="5" spans="15:17">
      <c r="Q5">
        <v>1000000</v>
      </c>
    </row>
    <row r="10" spans="15:17">
      <c r="O10">
        <v>761301.7</v>
      </c>
      <c r="P10" t="s">
        <v>16</v>
      </c>
    </row>
    <row r="18" spans="1:4">
      <c r="B18" s="1">
        <v>42947</v>
      </c>
      <c r="C18" s="1">
        <v>42978</v>
      </c>
      <c r="D18" t="s">
        <v>22</v>
      </c>
    </row>
    <row r="19" spans="1:4" ht="75">
      <c r="A19" s="2" t="s">
        <v>23</v>
      </c>
      <c r="B19">
        <v>1000000</v>
      </c>
      <c r="C19">
        <v>2000000</v>
      </c>
      <c r="D19">
        <v>1000000</v>
      </c>
    </row>
    <row r="20" spans="1:4" ht="75">
      <c r="A20" s="2" t="s">
        <v>21</v>
      </c>
      <c r="C20">
        <v>1500000</v>
      </c>
      <c r="D20">
        <v>1800000</v>
      </c>
    </row>
    <row r="21" spans="1:4">
      <c r="A21" t="s">
        <v>19</v>
      </c>
      <c r="C21">
        <f>C20-B19</f>
        <v>500000</v>
      </c>
    </row>
    <row r="22" spans="1:4">
      <c r="A22" t="s">
        <v>20</v>
      </c>
      <c r="B22">
        <f>(B19+B21)*6%</f>
        <v>60000</v>
      </c>
      <c r="C22">
        <f>(C19+C21)*6%</f>
        <v>150000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"/>
  <sheetViews>
    <sheetView workbookViewId="0">
      <selection activeCell="C3" sqref="C3"/>
    </sheetView>
  </sheetViews>
  <sheetFormatPr defaultRowHeight="15"/>
  <cols>
    <col min="1" max="1" width="28.5703125" customWidth="1"/>
    <col min="2" max="2" width="18.140625" customWidth="1"/>
    <col min="3" max="3" width="10" bestFit="1" customWidth="1"/>
  </cols>
  <sheetData>
    <row r="1" spans="1:3">
      <c r="B1" s="1">
        <v>42978</v>
      </c>
      <c r="C1" t="s">
        <v>22</v>
      </c>
    </row>
    <row r="2" spans="1:3" ht="30">
      <c r="A2" s="2" t="s">
        <v>56</v>
      </c>
      <c r="B2">
        <f>август!C34</f>
        <v>7894.74</v>
      </c>
      <c r="C2">
        <v>100000</v>
      </c>
    </row>
    <row r="3" spans="1:3">
      <c r="A3" t="s">
        <v>57</v>
      </c>
      <c r="B3">
        <v>0</v>
      </c>
      <c r="C3" s="3">
        <f>август!F40</f>
        <v>148707.81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>
      <selection activeCell="I6" sqref="I6"/>
    </sheetView>
  </sheetViews>
  <sheetFormatPr defaultRowHeight="15" outlineLevelRow="1"/>
  <cols>
    <col min="1" max="1" width="32" customWidth="1"/>
    <col min="2" max="2" width="13" customWidth="1"/>
    <col min="3" max="3" width="11.42578125" bestFit="1" customWidth="1"/>
    <col min="4" max="5" width="13.42578125" customWidth="1"/>
    <col min="6" max="6" width="14.7109375" customWidth="1"/>
    <col min="7" max="7" width="18.140625" customWidth="1"/>
    <col min="8" max="9" width="19" customWidth="1"/>
  </cols>
  <sheetData>
    <row r="1" spans="1:9">
      <c r="A1" s="24" t="s">
        <v>64</v>
      </c>
      <c r="B1" s="25">
        <v>42948</v>
      </c>
      <c r="C1" s="25">
        <v>42978</v>
      </c>
    </row>
    <row r="2" spans="1:9" ht="15.75" thickBot="1">
      <c r="A2" s="26"/>
      <c r="B2" s="48" t="s">
        <v>29</v>
      </c>
      <c r="C2" s="48"/>
      <c r="D2" s="48"/>
      <c r="E2" s="48"/>
      <c r="F2" s="48"/>
      <c r="G2" s="48" t="s">
        <v>30</v>
      </c>
      <c r="H2" s="48"/>
      <c r="I2" s="48"/>
    </row>
    <row r="3" spans="1:9" ht="45.75" thickBot="1">
      <c r="A3" s="29" t="s">
        <v>31</v>
      </c>
      <c r="B3" s="30" t="s">
        <v>59</v>
      </c>
      <c r="C3" s="31" t="s">
        <v>29</v>
      </c>
      <c r="D3" s="30" t="s">
        <v>60</v>
      </c>
      <c r="E3" s="30" t="s">
        <v>62</v>
      </c>
      <c r="F3" s="32" t="s">
        <v>15</v>
      </c>
      <c r="G3" s="31" t="s">
        <v>30</v>
      </c>
      <c r="H3" s="32" t="s">
        <v>73</v>
      </c>
      <c r="I3" s="31" t="s">
        <v>65</v>
      </c>
    </row>
    <row r="4" spans="1:9">
      <c r="A4" s="27" t="s">
        <v>24</v>
      </c>
      <c r="B4" s="27"/>
      <c r="C4" s="28">
        <f>C5+C10+C13</f>
        <v>1564400.2999999998</v>
      </c>
      <c r="D4" s="28"/>
      <c r="E4" s="28"/>
      <c r="F4" s="28">
        <f>F5+F10+F13</f>
        <v>460014.70999999996</v>
      </c>
      <c r="G4" s="28">
        <f>G5+G10+G13</f>
        <v>307817.09999999998</v>
      </c>
      <c r="H4" s="28">
        <f t="shared" ref="H4" si="0">H5+H10+H13</f>
        <v>7894.74</v>
      </c>
      <c r="I4" s="20"/>
    </row>
    <row r="5" spans="1:9">
      <c r="A5" s="8" t="s">
        <v>61</v>
      </c>
      <c r="B5" s="21">
        <v>1000000</v>
      </c>
      <c r="C5" s="9">
        <f>SUM(C6:C9)</f>
        <v>761301.7</v>
      </c>
      <c r="D5" s="9">
        <f>C5-B5</f>
        <v>-238698.30000000005</v>
      </c>
      <c r="E5" s="9">
        <f>C5/B5*100</f>
        <v>76.130169999999993</v>
      </c>
      <c r="F5" s="9">
        <f>SUM(F6:F9)</f>
        <v>0</v>
      </c>
      <c r="G5" s="9">
        <f>SUM(G6:G9)</f>
        <v>126596.26000000001</v>
      </c>
      <c r="H5" s="9">
        <f>SUM(H6:H9)</f>
        <v>0</v>
      </c>
      <c r="I5" s="9">
        <f t="shared" ref="I5:I26" si="1">G5/C5*100</f>
        <v>16.628921227944193</v>
      </c>
    </row>
    <row r="6" spans="1:9" ht="22.5" outlineLevel="1">
      <c r="A6" s="10" t="s">
        <v>25</v>
      </c>
      <c r="B6" s="10"/>
      <c r="C6" s="11">
        <v>313.73</v>
      </c>
      <c r="D6" s="11"/>
      <c r="E6" s="11"/>
      <c r="F6" s="5"/>
      <c r="G6" s="11">
        <v>44.55</v>
      </c>
      <c r="H6" s="5">
        <f>IF(OR(F6&lt;C6,F6=0),0,G6)</f>
        <v>0</v>
      </c>
      <c r="I6" s="22">
        <f t="shared" si="1"/>
        <v>14.200108373442131</v>
      </c>
    </row>
    <row r="7" spans="1:9" ht="22.5" outlineLevel="1">
      <c r="A7" s="10" t="s">
        <v>26</v>
      </c>
      <c r="B7" s="10"/>
      <c r="C7" s="12">
        <v>3724.56</v>
      </c>
      <c r="D7" s="12"/>
      <c r="E7" s="12"/>
      <c r="F7" s="5"/>
      <c r="G7" s="11">
        <v>621.16</v>
      </c>
      <c r="H7" s="5">
        <f>IF(OR(F7&lt;C7,F7=0),0,G7)</f>
        <v>0</v>
      </c>
      <c r="I7" s="22">
        <f t="shared" si="1"/>
        <v>16.677406190261397</v>
      </c>
    </row>
    <row r="8" spans="1:9" ht="22.5" outlineLevel="1">
      <c r="A8" s="10" t="s">
        <v>27</v>
      </c>
      <c r="B8" s="10"/>
      <c r="C8" s="12">
        <v>498096.39</v>
      </c>
      <c r="D8" s="12"/>
      <c r="E8" s="12"/>
      <c r="F8" s="16"/>
      <c r="G8" s="12">
        <v>82761.320000000007</v>
      </c>
      <c r="H8" s="5">
        <f>IF(OR(F8&lt;C8,F8=0),0,G8)</f>
        <v>0</v>
      </c>
      <c r="I8" s="22">
        <f t="shared" si="1"/>
        <v>16.615522951290615</v>
      </c>
    </row>
    <row r="9" spans="1:9" ht="22.5" outlineLevel="1">
      <c r="A9" s="10" t="s">
        <v>28</v>
      </c>
      <c r="B9" s="10"/>
      <c r="C9" s="12">
        <v>259167.02</v>
      </c>
      <c r="D9" s="12"/>
      <c r="E9" s="12"/>
      <c r="F9" s="16"/>
      <c r="G9" s="12">
        <v>43169.23</v>
      </c>
      <c r="H9" s="5">
        <f>IF(OR(F9&lt;C9,F9=0),0,G9)</f>
        <v>0</v>
      </c>
      <c r="I9" s="22">
        <f t="shared" si="1"/>
        <v>16.656914911472921</v>
      </c>
    </row>
    <row r="10" spans="1:9">
      <c r="A10" s="8" t="s">
        <v>32</v>
      </c>
      <c r="B10" s="8">
        <v>0</v>
      </c>
      <c r="C10" s="9">
        <f>SUM(C11:C12)</f>
        <v>130184.88999999998</v>
      </c>
      <c r="D10" s="9">
        <f>C10-B10</f>
        <v>130184.88999999998</v>
      </c>
      <c r="E10" s="9" t="e">
        <f>C10/B10*100</f>
        <v>#DIV/0!</v>
      </c>
      <c r="F10" s="9">
        <f>SUM(F11:F12)</f>
        <v>104632.03</v>
      </c>
      <c r="G10" s="9">
        <f>SUM(G11:G12)</f>
        <v>20813.7</v>
      </c>
      <c r="H10" s="9">
        <f t="shared" ref="H10" si="2">SUM(H11:H12)</f>
        <v>6595.66</v>
      </c>
      <c r="I10" s="9">
        <f t="shared" si="1"/>
        <v>15.987800120275097</v>
      </c>
    </row>
    <row r="11" spans="1:9" ht="22.5" outlineLevel="1">
      <c r="A11" s="10" t="s">
        <v>33</v>
      </c>
      <c r="B11" s="10"/>
      <c r="C11" s="12">
        <v>34171.019999999997</v>
      </c>
      <c r="D11" s="12"/>
      <c r="E11" s="12"/>
      <c r="F11" s="16">
        <v>87218.35</v>
      </c>
      <c r="G11" s="12">
        <v>6595.66</v>
      </c>
      <c r="H11" s="5">
        <f>IF(OR(F11&lt;C11,F11=0),0,G11)</f>
        <v>6595.66</v>
      </c>
      <c r="I11" s="22">
        <f t="shared" si="1"/>
        <v>19.301911385729781</v>
      </c>
    </row>
    <row r="12" spans="1:9" ht="22.5" outlineLevel="1">
      <c r="A12" s="10" t="s">
        <v>34</v>
      </c>
      <c r="B12" s="10"/>
      <c r="C12" s="12">
        <v>96013.87</v>
      </c>
      <c r="D12" s="12"/>
      <c r="E12" s="12"/>
      <c r="F12" s="16">
        <v>17413.68</v>
      </c>
      <c r="G12" s="12">
        <v>14218.04</v>
      </c>
      <c r="H12" s="5">
        <f>IF(OR(F12&lt;C12,F12=0),0,G12)</f>
        <v>0</v>
      </c>
      <c r="I12" s="22">
        <f t="shared" si="1"/>
        <v>14.808318839767631</v>
      </c>
    </row>
    <row r="13" spans="1:9">
      <c r="A13" s="8" t="s">
        <v>35</v>
      </c>
      <c r="B13" s="21">
        <v>1000000</v>
      </c>
      <c r="C13" s="9">
        <f>SUM(C14:C26)</f>
        <v>672913.71</v>
      </c>
      <c r="D13" s="9">
        <f>C13-B13</f>
        <v>-327086.29000000004</v>
      </c>
      <c r="E13" s="9">
        <f>C13/B13*100</f>
        <v>67.291370999999998</v>
      </c>
      <c r="F13" s="9">
        <f>SUM(F14:F26)</f>
        <v>355382.68</v>
      </c>
      <c r="G13" s="9">
        <f>SUM(G14:G26)</f>
        <v>160407.13999999998</v>
      </c>
      <c r="H13" s="9">
        <f>SUM(H14:H26)</f>
        <v>1299.08</v>
      </c>
      <c r="I13" s="9">
        <f t="shared" si="1"/>
        <v>23.837698298642181</v>
      </c>
    </row>
    <row r="14" spans="1:9" ht="22.5" outlineLevel="1">
      <c r="A14" s="10" t="s">
        <v>36</v>
      </c>
      <c r="B14" s="10"/>
      <c r="C14" s="12">
        <v>56949.61</v>
      </c>
      <c r="D14" s="12"/>
      <c r="E14" s="12"/>
      <c r="F14" s="16"/>
      <c r="G14" s="12">
        <v>8623.98</v>
      </c>
      <c r="H14" s="5">
        <f t="shared" ref="H14:H26" si="3">IF(OR(F14&lt;C14,F14=0),0,G14)</f>
        <v>0</v>
      </c>
      <c r="I14" s="22">
        <f t="shared" si="1"/>
        <v>15.143176573114372</v>
      </c>
    </row>
    <row r="15" spans="1:9" ht="22.5" outlineLevel="1">
      <c r="A15" s="10" t="s">
        <v>37</v>
      </c>
      <c r="B15" s="10"/>
      <c r="C15" s="12">
        <v>366906.82</v>
      </c>
      <c r="D15" s="12"/>
      <c r="E15" s="12"/>
      <c r="F15" s="16"/>
      <c r="G15" s="12">
        <v>70190.559999999998</v>
      </c>
      <c r="H15" s="5">
        <f t="shared" si="3"/>
        <v>0</v>
      </c>
      <c r="I15" s="22">
        <f t="shared" si="1"/>
        <v>19.130350316191997</v>
      </c>
    </row>
    <row r="16" spans="1:9" ht="22.5" outlineLevel="1">
      <c r="A16" s="10" t="s">
        <v>38</v>
      </c>
      <c r="B16" s="10"/>
      <c r="C16" s="12">
        <v>9560.93</v>
      </c>
      <c r="D16" s="12"/>
      <c r="E16" s="12"/>
      <c r="F16" s="16">
        <v>355382.68</v>
      </c>
      <c r="G16" s="12">
        <v>1299.08</v>
      </c>
      <c r="H16" s="5">
        <f t="shared" si="3"/>
        <v>1299.08</v>
      </c>
      <c r="I16" s="22">
        <f t="shared" si="1"/>
        <v>13.587381143884535</v>
      </c>
    </row>
    <row r="17" spans="1:9" ht="22.5" outlineLevel="1">
      <c r="A17" s="10" t="s">
        <v>39</v>
      </c>
      <c r="B17" s="10"/>
      <c r="C17" s="12">
        <v>47369.96</v>
      </c>
      <c r="D17" s="12"/>
      <c r="E17" s="12"/>
      <c r="F17" s="33"/>
      <c r="G17" s="12">
        <v>10936.09</v>
      </c>
      <c r="H17" s="5">
        <f t="shared" si="3"/>
        <v>0</v>
      </c>
      <c r="I17" s="22">
        <f t="shared" si="1"/>
        <v>23.086551054719067</v>
      </c>
    </row>
    <row r="18" spans="1:9" ht="22.5" outlineLevel="1">
      <c r="A18" s="10" t="s">
        <v>40</v>
      </c>
      <c r="B18" s="10"/>
      <c r="C18" s="12">
        <v>27314.18</v>
      </c>
      <c r="D18" s="12"/>
      <c r="E18" s="12"/>
      <c r="F18" s="33"/>
      <c r="G18" s="12">
        <v>1067.44</v>
      </c>
      <c r="H18" s="5">
        <f t="shared" si="3"/>
        <v>0</v>
      </c>
      <c r="I18" s="22">
        <f t="shared" si="1"/>
        <v>3.9080067569299173</v>
      </c>
    </row>
    <row r="19" spans="1:9" ht="22.5" outlineLevel="1">
      <c r="A19" s="10" t="s">
        <v>41</v>
      </c>
      <c r="B19" s="10"/>
      <c r="C19" s="12">
        <v>12376.17</v>
      </c>
      <c r="D19" s="12"/>
      <c r="E19" s="12"/>
      <c r="F19" s="33"/>
      <c r="G19" s="12">
        <v>2343.5</v>
      </c>
      <c r="H19" s="5">
        <f t="shared" si="3"/>
        <v>0</v>
      </c>
      <c r="I19" s="22">
        <f t="shared" si="1"/>
        <v>18.935583464028046</v>
      </c>
    </row>
    <row r="20" spans="1:9" ht="22.5" outlineLevel="1">
      <c r="A20" s="10" t="s">
        <v>42</v>
      </c>
      <c r="B20" s="10"/>
      <c r="C20" s="12">
        <v>46705.72</v>
      </c>
      <c r="D20" s="12"/>
      <c r="E20" s="12"/>
      <c r="F20" s="16"/>
      <c r="G20" s="12">
        <v>46705.72</v>
      </c>
      <c r="H20" s="5">
        <f t="shared" si="3"/>
        <v>0</v>
      </c>
      <c r="I20" s="22">
        <f t="shared" si="1"/>
        <v>100</v>
      </c>
    </row>
    <row r="21" spans="1:9" ht="22.5" outlineLevel="1">
      <c r="A21" s="10" t="s">
        <v>43</v>
      </c>
      <c r="B21" s="10"/>
      <c r="C21" s="12">
        <v>25301.24</v>
      </c>
      <c r="D21" s="12"/>
      <c r="E21" s="12"/>
      <c r="F21" s="16"/>
      <c r="G21" s="12">
        <v>5383.02</v>
      </c>
      <c r="H21" s="5">
        <f t="shared" si="3"/>
        <v>0</v>
      </c>
      <c r="I21" s="22">
        <f t="shared" si="1"/>
        <v>21.275716130909</v>
      </c>
    </row>
    <row r="22" spans="1:9" ht="22.5" outlineLevel="1">
      <c r="A22" s="10" t="s">
        <v>44</v>
      </c>
      <c r="B22" s="10"/>
      <c r="C22" s="12">
        <v>23480.53</v>
      </c>
      <c r="D22" s="12"/>
      <c r="E22" s="12"/>
      <c r="F22" s="16"/>
      <c r="G22" s="12">
        <v>3103.11</v>
      </c>
      <c r="H22" s="5">
        <f t="shared" si="3"/>
        <v>0</v>
      </c>
      <c r="I22" s="22">
        <f t="shared" si="1"/>
        <v>13.215672729704142</v>
      </c>
    </row>
    <row r="23" spans="1:9" ht="22.5" outlineLevel="1">
      <c r="A23" s="10" t="s">
        <v>45</v>
      </c>
      <c r="B23" s="10"/>
      <c r="C23" s="12">
        <v>25549.47</v>
      </c>
      <c r="D23" s="12"/>
      <c r="E23" s="12"/>
      <c r="F23" s="16"/>
      <c r="G23" s="12">
        <v>3378.69</v>
      </c>
      <c r="H23" s="5">
        <f t="shared" si="3"/>
        <v>0</v>
      </c>
      <c r="I23" s="22">
        <f t="shared" si="1"/>
        <v>13.224109932613084</v>
      </c>
    </row>
    <row r="24" spans="1:9" ht="22.5" outlineLevel="1">
      <c r="A24" s="10" t="s">
        <v>46</v>
      </c>
      <c r="B24" s="10"/>
      <c r="C24" s="12">
        <v>1939.21</v>
      </c>
      <c r="D24" s="12"/>
      <c r="E24" s="12"/>
      <c r="F24" s="16"/>
      <c r="G24" s="11">
        <v>407.04</v>
      </c>
      <c r="H24" s="5">
        <f t="shared" si="3"/>
        <v>0</v>
      </c>
      <c r="I24" s="22">
        <f t="shared" si="1"/>
        <v>20.989990769437039</v>
      </c>
    </row>
    <row r="25" spans="1:9" ht="22.5" outlineLevel="1">
      <c r="A25" s="10" t="s">
        <v>47</v>
      </c>
      <c r="B25" s="10"/>
      <c r="C25" s="12">
        <v>7150.49</v>
      </c>
      <c r="D25" s="12"/>
      <c r="E25" s="12"/>
      <c r="F25" s="16"/>
      <c r="G25" s="11">
        <v>960.74</v>
      </c>
      <c r="H25" s="5">
        <f t="shared" si="3"/>
        <v>0</v>
      </c>
      <c r="I25" s="22">
        <f t="shared" si="1"/>
        <v>13.436002287955093</v>
      </c>
    </row>
    <row r="26" spans="1:9" ht="22.5" outlineLevel="1">
      <c r="A26" s="10" t="s">
        <v>48</v>
      </c>
      <c r="B26" s="10"/>
      <c r="C26" s="12">
        <v>22309.38</v>
      </c>
      <c r="D26" s="12"/>
      <c r="E26" s="12"/>
      <c r="F26" s="16"/>
      <c r="G26" s="12">
        <v>6008.17</v>
      </c>
      <c r="H26" s="5">
        <f t="shared" si="3"/>
        <v>0</v>
      </c>
      <c r="I26" s="22">
        <f t="shared" si="1"/>
        <v>26.931138382151364</v>
      </c>
    </row>
    <row r="33" spans="1:9" hidden="1">
      <c r="A33" s="17" t="s">
        <v>53</v>
      </c>
      <c r="B33" s="17"/>
      <c r="C33" s="18">
        <v>42978</v>
      </c>
      <c r="D33" s="18"/>
      <c r="E33" s="18"/>
      <c r="F33" s="18" t="s">
        <v>22</v>
      </c>
      <c r="G33" s="18">
        <v>43039</v>
      </c>
    </row>
    <row r="34" spans="1:9" ht="30" hidden="1">
      <c r="A34" s="6" t="s">
        <v>52</v>
      </c>
      <c r="B34" s="6"/>
      <c r="C34" s="5">
        <v>7894.74</v>
      </c>
      <c r="D34" s="5"/>
      <c r="E34" s="5"/>
      <c r="F34" s="7">
        <v>100000</v>
      </c>
      <c r="G34" s="7">
        <v>100000</v>
      </c>
    </row>
    <row r="35" spans="1:9" hidden="1">
      <c r="A35" s="6"/>
      <c r="B35" s="6"/>
      <c r="C35" s="5"/>
      <c r="D35" s="5"/>
      <c r="E35" s="5"/>
      <c r="F35" s="5"/>
      <c r="G35" s="5"/>
    </row>
    <row r="36" spans="1:9" hidden="1">
      <c r="A36" s="6"/>
      <c r="B36" s="6"/>
      <c r="C36" s="5"/>
      <c r="D36" s="5"/>
      <c r="E36" s="5"/>
      <c r="F36" s="5"/>
      <c r="G36" s="5"/>
    </row>
    <row r="37" spans="1:9" hidden="1">
      <c r="A37" s="5"/>
      <c r="B37" s="5"/>
      <c r="C37" s="5"/>
      <c r="D37" s="5"/>
      <c r="E37" s="5"/>
      <c r="F37" s="5"/>
      <c r="G37" s="5"/>
    </row>
    <row r="38" spans="1:9" hidden="1">
      <c r="A38" s="19" t="s">
        <v>51</v>
      </c>
      <c r="B38" s="19"/>
      <c r="C38" s="18">
        <v>42978</v>
      </c>
      <c r="D38" s="18"/>
      <c r="E38" s="18"/>
      <c r="F38" s="18" t="s">
        <v>22</v>
      </c>
      <c r="G38" s="18">
        <v>43039</v>
      </c>
    </row>
    <row r="39" spans="1:9" ht="45" hidden="1">
      <c r="A39" s="6" t="s">
        <v>55</v>
      </c>
      <c r="B39" s="6"/>
      <c r="C39" s="7"/>
      <c r="D39" s="7"/>
      <c r="E39" s="7"/>
      <c r="F39" s="5">
        <v>156602.54999999999</v>
      </c>
      <c r="G39" s="5">
        <v>278586.32</v>
      </c>
    </row>
    <row r="40" spans="1:9" hidden="1">
      <c r="A40" s="6" t="s">
        <v>50</v>
      </c>
      <c r="B40" s="6"/>
      <c r="C40" s="14"/>
      <c r="D40" s="14"/>
      <c r="E40" s="14"/>
      <c r="F40" s="15">
        <f>F39-C34</f>
        <v>148707.81</v>
      </c>
      <c r="G40" s="13">
        <f>G39-F39</f>
        <v>121983.77000000002</v>
      </c>
      <c r="H40" s="4"/>
      <c r="I40" s="4"/>
    </row>
    <row r="41" spans="1:9" hidden="1">
      <c r="A41" s="6" t="s">
        <v>49</v>
      </c>
      <c r="B41" s="6"/>
      <c r="C41" s="7"/>
      <c r="D41" s="7"/>
      <c r="E41" s="7"/>
      <c r="F41" s="16">
        <v>307817.09999999998</v>
      </c>
      <c r="G41" s="16">
        <v>307817.09999999998</v>
      </c>
      <c r="H41" s="4"/>
      <c r="I41" s="4"/>
    </row>
    <row r="42" spans="1:9" ht="45" hidden="1">
      <c r="A42" s="6" t="s">
        <v>54</v>
      </c>
      <c r="B42" s="6"/>
      <c r="C42" s="7"/>
      <c r="D42" s="7"/>
      <c r="E42" s="7"/>
      <c r="F42" s="7">
        <f>F41-F39</f>
        <v>151214.54999999999</v>
      </c>
      <c r="G42" s="7">
        <f>G41-G39</f>
        <v>29230.77999999997</v>
      </c>
      <c r="H42" s="3"/>
      <c r="I42" s="3"/>
    </row>
    <row r="43" spans="1:9" hidden="1">
      <c r="A43" s="5" t="s">
        <v>20</v>
      </c>
      <c r="B43" s="5"/>
      <c r="C43" s="5">
        <f>C39*6%</f>
        <v>0</v>
      </c>
      <c r="D43" s="5"/>
      <c r="E43" s="5"/>
      <c r="F43" s="5">
        <f>F40*6%</f>
        <v>8922.4686000000002</v>
      </c>
      <c r="G43" s="5">
        <f>G40*6%</f>
        <v>7319.0262000000012</v>
      </c>
    </row>
  </sheetData>
  <mergeCells count="2">
    <mergeCell ref="B2:F2"/>
    <mergeCell ref="G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38"/>
  <sheetViews>
    <sheetView topLeftCell="A7" workbookViewId="0">
      <selection activeCell="B38" sqref="B38"/>
    </sheetView>
  </sheetViews>
  <sheetFormatPr defaultRowHeight="15"/>
  <cols>
    <col min="2" max="2" width="45.28515625" customWidth="1"/>
  </cols>
  <sheetData>
    <row r="2" spans="1:2">
      <c r="A2">
        <v>1</v>
      </c>
      <c r="B2" t="s">
        <v>69</v>
      </c>
    </row>
    <row r="33" spans="1:2">
      <c r="B33" t="s">
        <v>70</v>
      </c>
    </row>
    <row r="35" spans="1:2" ht="30">
      <c r="A35">
        <v>1</v>
      </c>
      <c r="B35" s="2" t="s">
        <v>71</v>
      </c>
    </row>
    <row r="36" spans="1:2" ht="45">
      <c r="A36">
        <v>2</v>
      </c>
      <c r="B36" s="2" t="s">
        <v>72</v>
      </c>
    </row>
    <row r="37" spans="1:2" ht="105">
      <c r="A37">
        <v>3</v>
      </c>
      <c r="B37" s="2" t="s">
        <v>75</v>
      </c>
    </row>
    <row r="38" spans="1:2" ht="150">
      <c r="A38">
        <v>4</v>
      </c>
      <c r="B38" s="2" t="s">
        <v>74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selection activeCell="L14" sqref="L14"/>
    </sheetView>
  </sheetViews>
  <sheetFormatPr defaultRowHeight="15" outlineLevelRow="1"/>
  <cols>
    <col min="1" max="1" width="32" customWidth="1"/>
    <col min="2" max="2" width="11.42578125" bestFit="1" customWidth="1"/>
    <col min="3" max="3" width="14.7109375" customWidth="1"/>
    <col min="4" max="6" width="19" customWidth="1"/>
    <col min="7" max="9" width="23" customWidth="1"/>
  </cols>
  <sheetData>
    <row r="1" spans="1:16">
      <c r="A1" s="24" t="s">
        <v>64</v>
      </c>
      <c r="B1" s="25">
        <v>42948</v>
      </c>
      <c r="C1" s="25">
        <v>42989</v>
      </c>
    </row>
    <row r="2" spans="1:16">
      <c r="A2" s="26" t="s">
        <v>63</v>
      </c>
      <c r="B2" s="48"/>
      <c r="C2" s="48"/>
      <c r="D2" s="48"/>
      <c r="E2" s="48"/>
      <c r="F2" s="48"/>
      <c r="G2" s="43"/>
      <c r="H2" s="43"/>
      <c r="I2" s="43"/>
    </row>
    <row r="3" spans="1:16">
      <c r="A3" s="46"/>
      <c r="B3" s="47"/>
      <c r="C3" s="47"/>
      <c r="D3" s="47"/>
      <c r="E3" s="47"/>
      <c r="F3" s="47"/>
      <c r="G3" s="43"/>
      <c r="H3" s="43"/>
      <c r="I3" s="43"/>
    </row>
    <row r="4" spans="1:16">
      <c r="A4" s="46"/>
      <c r="B4" s="47"/>
      <c r="C4" s="47"/>
      <c r="D4" s="47"/>
      <c r="E4" s="47"/>
      <c r="F4" s="47"/>
      <c r="G4" s="43"/>
      <c r="H4" s="43"/>
      <c r="I4" s="43"/>
    </row>
    <row r="5" spans="1:16" ht="15.75" thickBot="1">
      <c r="A5" s="46"/>
      <c r="B5" s="47"/>
      <c r="C5" s="47"/>
      <c r="D5" s="47"/>
      <c r="E5" s="47"/>
      <c r="F5" s="47"/>
      <c r="G5" s="43"/>
      <c r="H5" s="43"/>
      <c r="I5" s="43"/>
    </row>
    <row r="6" spans="1:16" ht="60.75" thickBot="1">
      <c r="A6" s="39" t="s">
        <v>31</v>
      </c>
      <c r="B6" s="40" t="s">
        <v>29</v>
      </c>
      <c r="C6" s="41" t="s">
        <v>80</v>
      </c>
      <c r="D6" s="41" t="s">
        <v>58</v>
      </c>
      <c r="E6" s="44" t="s">
        <v>78</v>
      </c>
      <c r="F6" s="41" t="s">
        <v>76</v>
      </c>
      <c r="G6" s="42" t="s">
        <v>81</v>
      </c>
      <c r="H6" s="42" t="s">
        <v>82</v>
      </c>
      <c r="I6" s="42" t="s">
        <v>77</v>
      </c>
    </row>
    <row r="7" spans="1:16">
      <c r="A7" s="27" t="s">
        <v>24</v>
      </c>
      <c r="B7" s="28">
        <f>B8+B14+B18</f>
        <v>1564400.2999999998</v>
      </c>
      <c r="C7" s="28">
        <f t="shared" ref="C7:I7" si="0">C8+C14+C18</f>
        <v>1110547.1400000001</v>
      </c>
      <c r="D7" s="28">
        <f t="shared" si="0"/>
        <v>0</v>
      </c>
      <c r="E7" s="28">
        <f t="shared" si="0"/>
        <v>0</v>
      </c>
      <c r="F7" s="28">
        <f t="shared" si="0"/>
        <v>0</v>
      </c>
      <c r="G7" s="28">
        <f t="shared" si="0"/>
        <v>381495.85</v>
      </c>
      <c r="H7" s="28">
        <f t="shared" ref="H7" si="1">H8+H14+H18</f>
        <v>471226.39</v>
      </c>
      <c r="I7" s="28">
        <f t="shared" si="0"/>
        <v>15</v>
      </c>
    </row>
    <row r="8" spans="1:16">
      <c r="A8" s="37" t="s">
        <v>61</v>
      </c>
      <c r="B8" s="38">
        <f>B9</f>
        <v>761301.7</v>
      </c>
      <c r="C8" s="38">
        <f t="shared" ref="C8:I8" si="2">C9</f>
        <v>498096.39</v>
      </c>
      <c r="D8" s="38">
        <f t="shared" si="2"/>
        <v>0</v>
      </c>
      <c r="E8" s="38">
        <f t="shared" si="2"/>
        <v>0</v>
      </c>
      <c r="F8" s="38">
        <f t="shared" si="2"/>
        <v>0</v>
      </c>
      <c r="G8" s="38">
        <f t="shared" si="2"/>
        <v>263205.31</v>
      </c>
      <c r="H8" s="38">
        <f t="shared" si="2"/>
        <v>0</v>
      </c>
      <c r="I8" s="38">
        <f t="shared" si="2"/>
        <v>0</v>
      </c>
    </row>
    <row r="9" spans="1:16">
      <c r="A9" s="35" t="s">
        <v>66</v>
      </c>
      <c r="B9" s="36">
        <f>SUM(B10:B13)</f>
        <v>761301.7</v>
      </c>
      <c r="C9" s="36">
        <f t="shared" ref="C9:I9" si="3">SUM(C10:C13)</f>
        <v>498096.39</v>
      </c>
      <c r="D9" s="36"/>
      <c r="E9" s="36"/>
      <c r="F9" s="36"/>
      <c r="G9" s="36">
        <f t="shared" si="3"/>
        <v>263205.31</v>
      </c>
      <c r="H9" s="36">
        <f t="shared" ref="H9" si="4">SUM(H10:H13)</f>
        <v>0</v>
      </c>
      <c r="I9" s="36">
        <f t="shared" si="3"/>
        <v>0</v>
      </c>
    </row>
    <row r="10" spans="1:16" ht="22.5" outlineLevel="1">
      <c r="A10" s="10" t="s">
        <v>25</v>
      </c>
      <c r="B10" s="11">
        <v>313.73</v>
      </c>
      <c r="C10" s="5"/>
      <c r="D10" s="23">
        <v>42972</v>
      </c>
      <c r="E10" s="23">
        <f>IF(F10&gt;0, "предоплата",D10+30)</f>
        <v>43002</v>
      </c>
      <c r="F10" s="5"/>
      <c r="G10" s="22">
        <f t="shared" ref="G10:G13" si="5">IF(E10="оплачено",0,IF(E10&gt;$C$1,(B10-C10),0))</f>
        <v>313.73</v>
      </c>
      <c r="H10" s="22">
        <f t="shared" ref="H10:H13" si="6">IF(E10="оплачено",0,IF(E10&lt;$C$1,(B10-C10),0))</f>
        <v>0</v>
      </c>
      <c r="I10" s="22">
        <f>IF(E10="оплачено",0,IF((E10-$C$1)&gt;0,0,($C$1-E10)))</f>
        <v>0</v>
      </c>
    </row>
    <row r="11" spans="1:16" ht="22.5" outlineLevel="1">
      <c r="A11" s="10" t="s">
        <v>26</v>
      </c>
      <c r="B11" s="12">
        <v>3724.56</v>
      </c>
      <c r="C11" s="5"/>
      <c r="D11" s="23">
        <v>42975</v>
      </c>
      <c r="E11" s="23">
        <f>IF(F11&gt;0, "предоплата",D11+30)</f>
        <v>43005</v>
      </c>
      <c r="F11" s="5"/>
      <c r="G11" s="22">
        <f t="shared" si="5"/>
        <v>3724.56</v>
      </c>
      <c r="H11" s="22">
        <f t="shared" si="6"/>
        <v>0</v>
      </c>
      <c r="I11" s="22">
        <f t="shared" ref="I11:I13" si="7">IF(E11="оплачено",0,IF((E11-$C$1)&gt;0,0,($C$1-E11)))</f>
        <v>0</v>
      </c>
    </row>
    <row r="12" spans="1:16" ht="22.5" outlineLevel="1">
      <c r="A12" s="10" t="s">
        <v>27</v>
      </c>
      <c r="B12" s="12">
        <v>498096.39</v>
      </c>
      <c r="C12" s="33">
        <v>498096.39</v>
      </c>
      <c r="D12" s="23">
        <v>42975</v>
      </c>
      <c r="E12" s="23" t="str">
        <f>IF(F12&gt;0, "оплачено",D12+30)</f>
        <v>оплачено</v>
      </c>
      <c r="F12" s="23">
        <v>42976</v>
      </c>
      <c r="G12" s="22">
        <f t="shared" si="5"/>
        <v>0</v>
      </c>
      <c r="H12" s="22">
        <f t="shared" si="6"/>
        <v>0</v>
      </c>
      <c r="I12" s="22">
        <f t="shared" si="7"/>
        <v>0</v>
      </c>
    </row>
    <row r="13" spans="1:16" ht="22.5" outlineLevel="1">
      <c r="A13" s="10" t="s">
        <v>28</v>
      </c>
      <c r="B13" s="12">
        <v>259167.02</v>
      </c>
      <c r="C13" s="16"/>
      <c r="D13" s="23">
        <v>42975</v>
      </c>
      <c r="E13" s="23">
        <f>IF(F13&gt;0, "предоплата",D13+30)</f>
        <v>43005</v>
      </c>
      <c r="F13" s="5"/>
      <c r="G13" s="22">
        <f t="shared" si="5"/>
        <v>259167.02</v>
      </c>
      <c r="H13" s="22">
        <f t="shared" si="6"/>
        <v>0</v>
      </c>
      <c r="I13" s="22">
        <f t="shared" si="7"/>
        <v>0</v>
      </c>
      <c r="P13" s="34"/>
    </row>
    <row r="14" spans="1:16">
      <c r="A14" s="37" t="s">
        <v>32</v>
      </c>
      <c r="B14" s="38">
        <f>B15</f>
        <v>130184.88999999998</v>
      </c>
      <c r="C14" s="38">
        <f t="shared" ref="C14:I14" si="8">C15</f>
        <v>104632.03</v>
      </c>
      <c r="D14" s="38">
        <f t="shared" si="8"/>
        <v>0</v>
      </c>
      <c r="E14" s="38">
        <f t="shared" si="8"/>
        <v>0</v>
      </c>
      <c r="F14" s="38">
        <f t="shared" si="8"/>
        <v>0</v>
      </c>
      <c r="G14" s="38">
        <f t="shared" si="8"/>
        <v>78600.19</v>
      </c>
      <c r="H14" s="38">
        <f t="shared" si="8"/>
        <v>0</v>
      </c>
      <c r="I14" s="38">
        <f t="shared" si="8"/>
        <v>0</v>
      </c>
    </row>
    <row r="15" spans="1:16" ht="22.5">
      <c r="A15" s="35" t="s">
        <v>67</v>
      </c>
      <c r="B15" s="36">
        <f>SUM(B16:B17)</f>
        <v>130184.88999999998</v>
      </c>
      <c r="C15" s="36">
        <f t="shared" ref="C15:I15" si="9">SUM(C16:C17)</f>
        <v>104632.03</v>
      </c>
      <c r="D15" s="36"/>
      <c r="E15" s="36"/>
      <c r="F15" s="36"/>
      <c r="G15" s="36">
        <f t="shared" si="9"/>
        <v>78600.19</v>
      </c>
      <c r="H15" s="36">
        <f t="shared" ref="H15" si="10">SUM(H16:H17)</f>
        <v>0</v>
      </c>
      <c r="I15" s="36">
        <f t="shared" si="9"/>
        <v>0</v>
      </c>
    </row>
    <row r="16" spans="1:16" ht="22.5" outlineLevel="1">
      <c r="A16" s="10" t="s">
        <v>33</v>
      </c>
      <c r="B16" s="12">
        <v>34171.019999999997</v>
      </c>
      <c r="C16" s="16">
        <v>87218.35</v>
      </c>
      <c r="D16" s="23">
        <v>42949</v>
      </c>
      <c r="E16" s="23" t="str">
        <f t="shared" ref="E16" si="11">IF(F16&gt;0, "оплачено",D16+30)</f>
        <v>оплачено</v>
      </c>
      <c r="F16" s="23">
        <v>42930</v>
      </c>
      <c r="G16" s="22">
        <f>IF(E16="оплачено",0,IF(E16&gt;$C$1,(B16-C16),0))</f>
        <v>0</v>
      </c>
      <c r="H16" s="22">
        <f>IF(E16="оплачено",0,IF(E16&lt;$C$1,(B16-C16),0))</f>
        <v>0</v>
      </c>
      <c r="I16" s="22">
        <f>IF(E16="оплачено",0,IF((E16-$C$1)&gt;0,0,($C$1-E16)))</f>
        <v>0</v>
      </c>
    </row>
    <row r="17" spans="1:9" ht="22.5" outlineLevel="1">
      <c r="A17" s="10" t="s">
        <v>34</v>
      </c>
      <c r="B17" s="12">
        <v>96013.87</v>
      </c>
      <c r="C17" s="16">
        <v>17413.68</v>
      </c>
      <c r="D17" s="23">
        <v>42970</v>
      </c>
      <c r="E17" s="23">
        <f>D17+30</f>
        <v>43000</v>
      </c>
      <c r="F17" s="23">
        <v>42964</v>
      </c>
      <c r="G17" s="22">
        <f>IF(E17="оплачено",0,IF(E17&gt;$C$1,(B17-C17),0))</f>
        <v>78600.19</v>
      </c>
      <c r="H17" s="22">
        <f>IF(E17="оплачено",0,IF(E17&lt;$C$1,(B17-C17),0))</f>
        <v>0</v>
      </c>
      <c r="I17" s="22">
        <f>IF(E17="оплачено",0,IF((E17-$C$1)&gt;0,0,($C$1-E17)))</f>
        <v>0</v>
      </c>
    </row>
    <row r="18" spans="1:9">
      <c r="A18" s="37" t="s">
        <v>35</v>
      </c>
      <c r="B18" s="38">
        <f>B19</f>
        <v>672913.71</v>
      </c>
      <c r="C18" s="38">
        <f t="shared" ref="C18:I18" si="12">C19</f>
        <v>507818.72000000003</v>
      </c>
      <c r="D18" s="38"/>
      <c r="E18" s="38"/>
      <c r="F18" s="38"/>
      <c r="G18" s="38">
        <f t="shared" si="12"/>
        <v>39690.35</v>
      </c>
      <c r="H18" s="38">
        <f t="shared" si="12"/>
        <v>471226.39</v>
      </c>
      <c r="I18" s="38">
        <f t="shared" si="12"/>
        <v>15</v>
      </c>
    </row>
    <row r="19" spans="1:9">
      <c r="A19" s="35" t="s">
        <v>68</v>
      </c>
      <c r="B19" s="36">
        <f>SUM(B20:B32)</f>
        <v>672913.71</v>
      </c>
      <c r="C19" s="36">
        <f t="shared" ref="C19:I19" si="13">SUM(C20:C32)</f>
        <v>507818.72000000003</v>
      </c>
      <c r="D19" s="36"/>
      <c r="E19" s="36"/>
      <c r="F19" s="36"/>
      <c r="G19" s="36">
        <f t="shared" si="13"/>
        <v>39690.35</v>
      </c>
      <c r="H19" s="36">
        <f t="shared" ref="H19" si="14">SUM(H20:H32)</f>
        <v>471226.39</v>
      </c>
      <c r="I19" s="36">
        <f t="shared" si="13"/>
        <v>15</v>
      </c>
    </row>
    <row r="20" spans="1:9" ht="22.5" outlineLevel="1">
      <c r="A20" s="10" t="s">
        <v>36</v>
      </c>
      <c r="B20" s="12">
        <v>56949.61</v>
      </c>
      <c r="C20" s="16"/>
      <c r="D20" s="23">
        <v>42954</v>
      </c>
      <c r="E20" s="23">
        <f t="shared" ref="E20:E32" si="15">IF(F20&gt;0, "оплачено",D20+30)</f>
        <v>42984</v>
      </c>
      <c r="F20" s="5"/>
      <c r="G20" s="22">
        <f t="shared" ref="G20:G32" si="16">IF(E20="оплачено",0,IF(E20&gt;$C$1,(B20-C20),0))</f>
        <v>0</v>
      </c>
      <c r="H20" s="22">
        <f t="shared" ref="H20:H32" si="17">IF(E20="оплачено",0,IF(E20&lt;$C$1,(B20-C20),0))</f>
        <v>56949.61</v>
      </c>
      <c r="I20" s="22">
        <f>IF(E20="оплачено",0,IF((E20-$C$1)&gt;0,0,($C$1-E20)))</f>
        <v>5</v>
      </c>
    </row>
    <row r="21" spans="1:9" ht="22.5" outlineLevel="1">
      <c r="A21" s="10" t="s">
        <v>37</v>
      </c>
      <c r="B21" s="12">
        <v>366906.82</v>
      </c>
      <c r="C21" s="16"/>
      <c r="D21" s="23">
        <v>42954</v>
      </c>
      <c r="E21" s="23">
        <f t="shared" si="15"/>
        <v>42984</v>
      </c>
      <c r="F21" s="5"/>
      <c r="G21" s="22">
        <f t="shared" si="16"/>
        <v>0</v>
      </c>
      <c r="H21" s="22">
        <f t="shared" si="17"/>
        <v>366906.82</v>
      </c>
      <c r="I21" s="22">
        <f t="shared" ref="I21:I32" si="18">IF(E21="оплачено",0,IF((E21-$C$1)&gt;0,0,($C$1-E21)))</f>
        <v>5</v>
      </c>
    </row>
    <row r="22" spans="1:9" ht="22.5" outlineLevel="1">
      <c r="A22" s="10" t="s">
        <v>38</v>
      </c>
      <c r="B22" s="12">
        <v>9560.93</v>
      </c>
      <c r="C22" s="16">
        <v>355382.68</v>
      </c>
      <c r="D22" s="23">
        <v>42954</v>
      </c>
      <c r="E22" s="23" t="str">
        <f t="shared" si="15"/>
        <v>оплачено</v>
      </c>
      <c r="F22" s="23">
        <v>42902</v>
      </c>
      <c r="G22" s="22">
        <f t="shared" si="16"/>
        <v>0</v>
      </c>
      <c r="H22" s="22">
        <f t="shared" si="17"/>
        <v>0</v>
      </c>
      <c r="I22" s="22">
        <f t="shared" si="18"/>
        <v>0</v>
      </c>
    </row>
    <row r="23" spans="1:9" ht="22.5" outlineLevel="1">
      <c r="A23" s="10" t="s">
        <v>39</v>
      </c>
      <c r="B23" s="12">
        <v>47369.96</v>
      </c>
      <c r="C23" s="33"/>
      <c r="D23" s="23">
        <v>42954</v>
      </c>
      <c r="E23" s="23">
        <f t="shared" si="15"/>
        <v>42984</v>
      </c>
      <c r="F23" s="5"/>
      <c r="G23" s="22">
        <f t="shared" si="16"/>
        <v>0</v>
      </c>
      <c r="H23" s="22">
        <f t="shared" si="17"/>
        <v>47369.96</v>
      </c>
      <c r="I23" s="22">
        <f t="shared" si="18"/>
        <v>5</v>
      </c>
    </row>
    <row r="24" spans="1:9" ht="22.5" outlineLevel="1">
      <c r="A24" s="10" t="s">
        <v>40</v>
      </c>
      <c r="B24" s="12">
        <v>27314.18</v>
      </c>
      <c r="C24" s="33"/>
      <c r="D24" s="23">
        <v>42962</v>
      </c>
      <c r="E24" s="23">
        <f t="shared" si="15"/>
        <v>42992</v>
      </c>
      <c r="F24" s="5"/>
      <c r="G24" s="22">
        <f t="shared" si="16"/>
        <v>27314.18</v>
      </c>
      <c r="H24" s="22">
        <f t="shared" si="17"/>
        <v>0</v>
      </c>
      <c r="I24" s="22">
        <f t="shared" si="18"/>
        <v>0</v>
      </c>
    </row>
    <row r="25" spans="1:9" ht="22.5" outlineLevel="1">
      <c r="A25" s="10" t="s">
        <v>41</v>
      </c>
      <c r="B25" s="12">
        <v>12376.17</v>
      </c>
      <c r="C25" s="33"/>
      <c r="D25" s="23">
        <v>42964</v>
      </c>
      <c r="E25" s="23">
        <f t="shared" si="15"/>
        <v>42994</v>
      </c>
      <c r="F25" s="5"/>
      <c r="G25" s="22">
        <f t="shared" si="16"/>
        <v>12376.17</v>
      </c>
      <c r="H25" s="22">
        <f t="shared" si="17"/>
        <v>0</v>
      </c>
      <c r="I25" s="22">
        <f t="shared" si="18"/>
        <v>0</v>
      </c>
    </row>
    <row r="26" spans="1:9" ht="22.5" outlineLevel="1">
      <c r="A26" s="10" t="s">
        <v>42</v>
      </c>
      <c r="B26" s="12">
        <v>46705.72</v>
      </c>
      <c r="C26" s="16">
        <f>B26</f>
        <v>46705.72</v>
      </c>
      <c r="D26" s="23">
        <v>42964</v>
      </c>
      <c r="E26" s="23" t="str">
        <f t="shared" si="15"/>
        <v>оплачено</v>
      </c>
      <c r="F26" s="23">
        <v>42978</v>
      </c>
      <c r="G26" s="22">
        <f t="shared" si="16"/>
        <v>0</v>
      </c>
      <c r="H26" s="22">
        <f t="shared" si="17"/>
        <v>0</v>
      </c>
      <c r="I26" s="22">
        <f t="shared" si="18"/>
        <v>0</v>
      </c>
    </row>
    <row r="27" spans="1:9" ht="22.5" outlineLevel="1">
      <c r="A27" s="10" t="s">
        <v>43</v>
      </c>
      <c r="B27" s="12">
        <v>25301.24</v>
      </c>
      <c r="C27" s="16">
        <f t="shared" ref="C27:C32" si="19">B27</f>
        <v>25301.24</v>
      </c>
      <c r="D27" s="23">
        <v>42964</v>
      </c>
      <c r="E27" s="23" t="str">
        <f t="shared" si="15"/>
        <v>оплачено</v>
      </c>
      <c r="F27" s="23">
        <v>42978</v>
      </c>
      <c r="G27" s="22">
        <f t="shared" si="16"/>
        <v>0</v>
      </c>
      <c r="H27" s="22">
        <f t="shared" si="17"/>
        <v>0</v>
      </c>
      <c r="I27" s="22">
        <f t="shared" si="18"/>
        <v>0</v>
      </c>
    </row>
    <row r="28" spans="1:9" ht="22.5" outlineLevel="1">
      <c r="A28" s="10" t="s">
        <v>44</v>
      </c>
      <c r="B28" s="12">
        <v>23480.53</v>
      </c>
      <c r="C28" s="16">
        <f t="shared" si="19"/>
        <v>23480.53</v>
      </c>
      <c r="D28" s="23">
        <v>42964</v>
      </c>
      <c r="E28" s="23" t="str">
        <f t="shared" si="15"/>
        <v>оплачено</v>
      </c>
      <c r="F28" s="23">
        <v>42978</v>
      </c>
      <c r="G28" s="22">
        <f t="shared" si="16"/>
        <v>0</v>
      </c>
      <c r="H28" s="22">
        <f t="shared" si="17"/>
        <v>0</v>
      </c>
      <c r="I28" s="22">
        <f t="shared" si="18"/>
        <v>0</v>
      </c>
    </row>
    <row r="29" spans="1:9" ht="22.5" outlineLevel="1">
      <c r="A29" s="10" t="s">
        <v>45</v>
      </c>
      <c r="B29" s="12">
        <v>25549.47</v>
      </c>
      <c r="C29" s="16">
        <f t="shared" si="19"/>
        <v>25549.47</v>
      </c>
      <c r="D29" s="23">
        <v>42969</v>
      </c>
      <c r="E29" s="23" t="str">
        <f t="shared" si="15"/>
        <v>оплачено</v>
      </c>
      <c r="F29" s="23">
        <v>42978</v>
      </c>
      <c r="G29" s="22">
        <f t="shared" si="16"/>
        <v>0</v>
      </c>
      <c r="H29" s="22">
        <f t="shared" si="17"/>
        <v>0</v>
      </c>
      <c r="I29" s="22">
        <f t="shared" si="18"/>
        <v>0</v>
      </c>
    </row>
    <row r="30" spans="1:9" ht="22.5" outlineLevel="1">
      <c r="A30" s="10" t="s">
        <v>46</v>
      </c>
      <c r="B30" s="12">
        <v>1939.21</v>
      </c>
      <c r="C30" s="16">
        <f t="shared" si="19"/>
        <v>1939.21</v>
      </c>
      <c r="D30" s="23">
        <v>42972</v>
      </c>
      <c r="E30" s="23" t="str">
        <f t="shared" si="15"/>
        <v>оплачено</v>
      </c>
      <c r="F30" s="23">
        <v>42978</v>
      </c>
      <c r="G30" s="22">
        <f t="shared" si="16"/>
        <v>0</v>
      </c>
      <c r="H30" s="22">
        <f t="shared" si="17"/>
        <v>0</v>
      </c>
      <c r="I30" s="22">
        <f t="shared" si="18"/>
        <v>0</v>
      </c>
    </row>
    <row r="31" spans="1:9" ht="22.5" outlineLevel="1">
      <c r="A31" s="10" t="s">
        <v>47</v>
      </c>
      <c r="B31" s="12">
        <v>7150.49</v>
      </c>
      <c r="C31" s="16">
        <f t="shared" si="19"/>
        <v>7150.49</v>
      </c>
      <c r="D31" s="23">
        <v>42976</v>
      </c>
      <c r="E31" s="23" t="str">
        <f t="shared" si="15"/>
        <v>оплачено</v>
      </c>
      <c r="F31" s="23">
        <v>42978</v>
      </c>
      <c r="G31" s="22">
        <f t="shared" si="16"/>
        <v>0</v>
      </c>
      <c r="H31" s="22">
        <f t="shared" si="17"/>
        <v>0</v>
      </c>
      <c r="I31" s="22">
        <f t="shared" si="18"/>
        <v>0</v>
      </c>
    </row>
    <row r="32" spans="1:9" ht="22.5" outlineLevel="1">
      <c r="A32" s="10" t="s">
        <v>48</v>
      </c>
      <c r="B32" s="12">
        <v>22309.38</v>
      </c>
      <c r="C32" s="16">
        <f t="shared" si="19"/>
        <v>22309.38</v>
      </c>
      <c r="D32" s="23">
        <v>42978</v>
      </c>
      <c r="E32" s="23" t="str">
        <f t="shared" si="15"/>
        <v>оплачено</v>
      </c>
      <c r="F32" s="23">
        <v>42978</v>
      </c>
      <c r="G32" s="22">
        <f t="shared" si="16"/>
        <v>0</v>
      </c>
      <c r="H32" s="22">
        <f t="shared" si="17"/>
        <v>0</v>
      </c>
      <c r="I32" s="22">
        <f t="shared" si="18"/>
        <v>0</v>
      </c>
    </row>
    <row r="35" spans="1:9">
      <c r="A35" s="45" t="s">
        <v>79</v>
      </c>
    </row>
    <row r="39" spans="1:9" hidden="1">
      <c r="A39" s="17" t="s">
        <v>53</v>
      </c>
      <c r="B39" s="18">
        <v>42978</v>
      </c>
      <c r="C39" s="18" t="s">
        <v>22</v>
      </c>
    </row>
    <row r="40" spans="1:9" ht="30" hidden="1">
      <c r="A40" s="6" t="s">
        <v>52</v>
      </c>
      <c r="B40" s="5">
        <v>7894.74</v>
      </c>
      <c r="C40" s="7">
        <v>100000</v>
      </c>
    </row>
    <row r="41" spans="1:9" hidden="1">
      <c r="A41" s="6"/>
      <c r="B41" s="5"/>
      <c r="C41" s="5"/>
    </row>
    <row r="42" spans="1:9" hidden="1">
      <c r="A42" s="6"/>
      <c r="B42" s="5"/>
      <c r="C42" s="5"/>
    </row>
    <row r="43" spans="1:9" hidden="1">
      <c r="A43" s="5"/>
      <c r="B43" s="5"/>
      <c r="C43" s="5"/>
    </row>
    <row r="44" spans="1:9" hidden="1">
      <c r="A44" s="19" t="s">
        <v>51</v>
      </c>
      <c r="B44" s="18">
        <v>42978</v>
      </c>
      <c r="C44" s="18" t="s">
        <v>22</v>
      </c>
    </row>
    <row r="45" spans="1:9" ht="45" hidden="1">
      <c r="A45" s="6" t="s">
        <v>55</v>
      </c>
      <c r="B45" s="7"/>
      <c r="C45" s="5">
        <v>156602.54999999999</v>
      </c>
    </row>
    <row r="46" spans="1:9" hidden="1">
      <c r="A46" s="6" t="s">
        <v>50</v>
      </c>
      <c r="B46" s="14"/>
      <c r="C46" s="15">
        <f>C45-B40</f>
        <v>148707.81</v>
      </c>
      <c r="D46" s="4"/>
      <c r="E46" s="4"/>
      <c r="F46" s="4"/>
      <c r="G46" s="4"/>
      <c r="H46" s="4"/>
      <c r="I46" s="4"/>
    </row>
    <row r="47" spans="1:9" hidden="1">
      <c r="A47" s="6" t="s">
        <v>49</v>
      </c>
      <c r="B47" s="7"/>
      <c r="C47" s="16">
        <v>307817.09999999998</v>
      </c>
      <c r="D47" s="4"/>
      <c r="E47" s="4"/>
      <c r="F47" s="4"/>
      <c r="G47" s="4"/>
      <c r="H47" s="4"/>
      <c r="I47" s="4"/>
    </row>
    <row r="48" spans="1:9" ht="45" hidden="1">
      <c r="A48" s="6" t="s">
        <v>54</v>
      </c>
      <c r="B48" s="7"/>
      <c r="C48" s="7">
        <f>C47-C45</f>
        <v>151214.54999999999</v>
      </c>
      <c r="D48" s="3"/>
      <c r="E48" s="3"/>
      <c r="F48" s="3"/>
      <c r="G48" s="3"/>
      <c r="H48" s="3"/>
      <c r="I48" s="3"/>
    </row>
    <row r="49" spans="1:3" hidden="1">
      <c r="A49" s="5" t="s">
        <v>20</v>
      </c>
      <c r="B49" s="5">
        <f>B45*6%</f>
        <v>0</v>
      </c>
      <c r="C49" s="5">
        <f>C46*6%</f>
        <v>8922.4686000000002</v>
      </c>
    </row>
  </sheetData>
  <mergeCells count="2">
    <mergeCell ref="B2:C2"/>
    <mergeCell ref="D2:F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Расчет бонусов к выплате</vt:lpstr>
      <vt:lpstr>август</vt:lpstr>
      <vt:lpstr>Тех задание</vt:lpstr>
      <vt:lpstr>дебиторская задолженность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Илдар</dc:creator>
  <cp:lastModifiedBy>Пользователь Windows</cp:lastModifiedBy>
  <dcterms:created xsi:type="dcterms:W3CDTF">2017-09-05T10:14:03Z</dcterms:created>
  <dcterms:modified xsi:type="dcterms:W3CDTF">2017-09-12T14:32:14Z</dcterms:modified>
</cp:coreProperties>
</file>