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Ежедневный отчет" sheetId="1" r:id="rId3"/>
    <sheet state="visible" name="Апрель" sheetId="2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Q5">
      <text>
        <t xml:space="preserve">Премия 5% от маржи (доход - расход - доп расход)
Согласно средним показателям по отделу
40%	% новая - просчетов
90%	% просчетов - подач
25%	% подач - побед
15%	Маржа (приход - расход - доп расход)
350 000 ₽	Средняя сумма победы</t>
      </text>
    </comment>
    <comment authorId="0" ref="R5">
      <text>
        <t xml:space="preserve">Премия 5% от маржи (доход - расход - доп расход)
Согласно средним показателям по отделу
40%	% новая - просчетов
90%	% просчетов - подач
25%	% подач - побед
15%	Маржа (приход - расход - доп расход)
350 000 ₽	Средняя сумма победы</t>
      </text>
    </comment>
  </commentList>
</comments>
</file>

<file path=xl/sharedStrings.xml><?xml version="1.0" encoding="utf-8"?>
<sst xmlns="http://schemas.openxmlformats.org/spreadsheetml/2006/main" count="127" uniqueCount="68">
  <si>
    <t>Ежедневный отчет РОПа</t>
  </si>
  <si>
    <t xml:space="preserve">ФИО РОПа: </t>
  </si>
  <si>
    <t>Правда И. А.</t>
  </si>
  <si>
    <t>до 22.00</t>
  </si>
  <si>
    <t>ВСЕГО</t>
  </si>
  <si>
    <t>С анализов</t>
  </si>
  <si>
    <t>С отобранных</t>
  </si>
  <si>
    <t>Еженедельный план-факт</t>
  </si>
  <si>
    <t>Дата</t>
  </si>
  <si>
    <t>Кол-во новых отобранных закупок за сегодня</t>
  </si>
  <si>
    <t>Кол-во закупок добавленных в 1с за сегодня (из отчета менеджера)</t>
  </si>
  <si>
    <t>Ежедневный план-фактный анализ</t>
  </si>
  <si>
    <t>Кол-во просчетов сегодня (из отчета менеджера)</t>
  </si>
  <si>
    <t>Кол-во анализов готовых просчетов сегодня</t>
  </si>
  <si>
    <t>Кол-во подач сегодня (из отчета менеджера)</t>
  </si>
  <si>
    <t>Кол-во побед сегодня (из отчета менеджера)</t>
  </si>
  <si>
    <t>Сумма побед сегодня (из отчета менеджера)</t>
  </si>
  <si>
    <t>Кол-во отгрузок сегодня (из отчета менеджера)</t>
  </si>
  <si>
    <t>Сумма отгрузок сегодня (из отчета менеджера)</t>
  </si>
  <si>
    <t>Кол-во оплат сегодня (из отчета менеджера)</t>
  </si>
  <si>
    <t>Сумма оплат по контракту сегодня (из отчета менеджера)</t>
  </si>
  <si>
    <t>Предварительная маржа в рублях по победам</t>
  </si>
  <si>
    <t>Плановая скорректированная маржа</t>
  </si>
  <si>
    <t xml:space="preserve">Кол-во зависших контрактов </t>
  </si>
  <si>
    <t>Апрель 2019</t>
  </si>
  <si>
    <t>Твоя возможная премия за прибыль с контрактов</t>
  </si>
  <si>
    <t>Месячный план-фактный анализ</t>
  </si>
  <si>
    <t>1 неделя</t>
  </si>
  <si>
    <t>2 неделя</t>
  </si>
  <si>
    <t>3 неделя</t>
  </si>
  <si>
    <t>4 неделя</t>
  </si>
  <si>
    <t xml:space="preserve"> + 29-30 апр</t>
  </si>
  <si>
    <t>Новые в 1с</t>
  </si>
  <si>
    <t>Просчеты</t>
  </si>
  <si>
    <t>Подачы</t>
  </si>
  <si>
    <t>Победы</t>
  </si>
  <si>
    <t>Сумма побед</t>
  </si>
  <si>
    <t>Сумма маржи</t>
  </si>
  <si>
    <t>Отгрузки</t>
  </si>
  <si>
    <t>Оплаты</t>
  </si>
  <si>
    <t>План</t>
  </si>
  <si>
    <t>Факт</t>
  </si>
  <si>
    <t>Дельта</t>
  </si>
  <si>
    <t>% выпол.</t>
  </si>
  <si>
    <t>%</t>
  </si>
  <si>
    <t>Ост.</t>
  </si>
  <si>
    <t>Сумма маржи (предварительная)</t>
  </si>
  <si>
    <t>Количество побед</t>
  </si>
  <si>
    <t>Количество подач</t>
  </si>
  <si>
    <t>Количество смет</t>
  </si>
  <si>
    <t>Количество новых в 1с</t>
  </si>
  <si>
    <t>Объем отгрузки за апр (план)</t>
  </si>
  <si>
    <t>Объем оплат за апр (план)</t>
  </si>
  <si>
    <t>Количество рабочих дней</t>
  </si>
  <si>
    <t>План-факт показатели конверсии</t>
  </si>
  <si>
    <t>Разница</t>
  </si>
  <si>
    <t>% новая - смет</t>
  </si>
  <si>
    <t>% смет - подач</t>
  </si>
  <si>
    <t>% подач - побед</t>
  </si>
  <si>
    <t>Маржа (приход - расх - доп расх)</t>
  </si>
  <si>
    <t>Средняя сумма победы</t>
  </si>
  <si>
    <t>Неделя</t>
  </si>
  <si>
    <t>План 3 неделя</t>
  </si>
  <si>
    <t>Количество просчетов</t>
  </si>
  <si>
    <t>Объем отгрузки за март (план)</t>
  </si>
  <si>
    <t>Объем оплат за март (план)</t>
  </si>
  <si>
    <t>Ежеденевно</t>
  </si>
  <si>
    <t>План 2 неделя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</si>
</sst>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dd.MM.yyyy"/>
    <numFmt numFmtId="165" formatCode="#,##0.00[$ ₽]"/>
    <numFmt numFmtId="166" formatCode="#,##0[$ ₽]"/>
    <numFmt numFmtId="167" formatCode="dd.mm.yyyy"/>
    <numFmt numFmtId="168" formatCode="#,##0.0[$ ₽]"/>
  </numFmts>
  <fonts count="10">
    <font>
      <sz val="10.0"/>
      <color rgb="FF000000"/>
      <name val="Arial"/>
    </font>
    <font>
      <b/>
      <sz val="14.0"/>
      <color rgb="FF000000"/>
      <name val="Calibri"/>
    </font>
    <font>
      <name val="Arial"/>
    </font>
    <font>
      <b/>
      <sz val="11.0"/>
      <color rgb="FF000000"/>
      <name val="Calibri"/>
    </font>
    <font>
      <b/>
      <sz val="14.0"/>
      <color rgb="FFCC0000"/>
      <name val="Calibri"/>
    </font>
    <font>
      <b/>
      <name val="Arial"/>
    </font>
    <font/>
    <font>
      <b/>
    </font>
    <font>
      <sz val="11.0"/>
      <color rgb="FF000000"/>
      <name val="Inconsolata"/>
    </font>
    <font>
      <sz val="11.0"/>
      <name val="Calibri"/>
    </font>
  </fonts>
  <fills count="8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  <fill>
      <patternFill patternType="solid">
        <fgColor rgb="FFC9DAF8"/>
        <bgColor rgb="FFC9DAF8"/>
      </patternFill>
    </fill>
    <fill>
      <patternFill patternType="solid">
        <fgColor rgb="FFB4A7D6"/>
        <bgColor rgb="FFB4A7D6"/>
      </patternFill>
    </fill>
    <fill>
      <patternFill patternType="solid">
        <fgColor rgb="FFFFFFFF"/>
        <bgColor rgb="FFFFFFFF"/>
      </patternFill>
    </fill>
    <fill>
      <patternFill patternType="solid">
        <fgColor rgb="FFF4CCCC"/>
        <bgColor rgb="FFF4CCCC"/>
      </patternFill>
    </fill>
    <fill>
      <patternFill patternType="solid">
        <fgColor rgb="FFFFFF00"/>
        <bgColor rgb="FFFFFF00"/>
      </patternFill>
    </fill>
  </fills>
  <borders count="8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/>
    </border>
  </borders>
  <cellStyleXfs count="1">
    <xf borderId="0" fillId="0" fontId="0" numFmtId="0" applyAlignment="1" applyFont="1"/>
  </cellStyleXfs>
  <cellXfs count="85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horizontal="center" readingOrder="0" shrinkToFit="0" vertical="bottom" wrapText="1"/>
    </xf>
    <xf borderId="0" fillId="0" fontId="2" numFmtId="0" xfId="0" applyAlignment="1" applyFont="1">
      <alignment vertical="bottom"/>
    </xf>
    <xf borderId="0" fillId="0" fontId="3" numFmtId="0" xfId="0" applyAlignment="1" applyFont="1">
      <alignment readingOrder="0" shrinkToFit="0" vertical="bottom" wrapText="1"/>
    </xf>
    <xf borderId="0" fillId="0" fontId="4" numFmtId="0" xfId="0" applyAlignment="1" applyFont="1">
      <alignment readingOrder="0" shrinkToFit="0" vertical="bottom" wrapText="1"/>
    </xf>
    <xf borderId="0" fillId="0" fontId="2" numFmtId="164" xfId="0" applyAlignment="1" applyFont="1" applyNumberFormat="1">
      <alignment vertical="bottom"/>
    </xf>
    <xf borderId="1" fillId="0" fontId="5" numFmtId="0" xfId="0" applyAlignment="1" applyBorder="1" applyFont="1">
      <alignment readingOrder="0" vertical="bottom"/>
    </xf>
    <xf borderId="1" fillId="0" fontId="5" numFmtId="0" xfId="0" applyAlignment="1" applyBorder="1" applyFont="1">
      <alignment vertical="bottom"/>
    </xf>
    <xf borderId="1" fillId="0" fontId="5" numFmtId="3" xfId="0" applyAlignment="1" applyBorder="1" applyFont="1" applyNumberFormat="1">
      <alignment vertical="bottom"/>
    </xf>
    <xf borderId="0" fillId="0" fontId="6" numFmtId="0" xfId="0" applyAlignment="1" applyFont="1">
      <alignment readingOrder="0"/>
    </xf>
    <xf borderId="1" fillId="0" fontId="5" numFmtId="165" xfId="0" applyAlignment="1" applyBorder="1" applyFont="1" applyNumberFormat="1">
      <alignment vertical="bottom"/>
    </xf>
    <xf borderId="1" fillId="0" fontId="5" numFmtId="166" xfId="0" applyAlignment="1" applyBorder="1" applyFont="1" applyNumberFormat="1">
      <alignment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2" fontId="7" numFmtId="0" xfId="0" applyAlignment="1" applyFill="1" applyFont="1">
      <alignment readingOrder="0"/>
    </xf>
    <xf borderId="2" fillId="3" fontId="3" numFmtId="164" xfId="0" applyAlignment="1" applyBorder="1" applyFill="1" applyFont="1" applyNumberFormat="1">
      <alignment horizontal="center" shrinkToFit="0" vertical="center" wrapText="1"/>
    </xf>
    <xf borderId="3" fillId="4" fontId="3" numFmtId="0" xfId="0" applyAlignment="1" applyBorder="1" applyFill="1" applyFont="1">
      <alignment horizontal="center" readingOrder="0" shrinkToFit="0" vertical="center" wrapText="1"/>
    </xf>
    <xf borderId="0" fillId="0" fontId="7" numFmtId="0" xfId="0" applyAlignment="1" applyFont="1">
      <alignment readingOrder="0"/>
    </xf>
    <xf borderId="3" fillId="3" fontId="3" numFmtId="0" xfId="0" applyAlignment="1" applyBorder="1" applyFont="1">
      <alignment horizontal="center" readingOrder="0" shrinkToFit="0" vertical="center" wrapText="1"/>
    </xf>
    <xf borderId="0" fillId="2" fontId="5" numFmtId="0" xfId="0" applyAlignment="1" applyFont="1">
      <alignment readingOrder="0" vertical="bottom"/>
    </xf>
    <xf borderId="0" fillId="2" fontId="6" numFmtId="0" xfId="0" applyFont="1"/>
    <xf borderId="0" fillId="0" fontId="2" numFmtId="0" xfId="0" applyAlignment="1" applyFont="1">
      <alignment shrinkToFit="0" vertical="bottom" wrapText="1"/>
    </xf>
    <xf borderId="0" fillId="2" fontId="6" numFmtId="0" xfId="0" applyAlignment="1" applyFont="1">
      <alignment readingOrder="0"/>
    </xf>
    <xf borderId="2" fillId="0" fontId="2" numFmtId="164" xfId="0" applyAlignment="1" applyBorder="1" applyFont="1" applyNumberFormat="1">
      <alignment readingOrder="0" vertical="bottom"/>
    </xf>
    <xf borderId="3" fillId="0" fontId="7" numFmtId="0" xfId="0" applyAlignment="1" applyBorder="1" applyFont="1">
      <alignment readingOrder="0"/>
    </xf>
    <xf borderId="3" fillId="0" fontId="2" numFmtId="0" xfId="0" applyAlignment="1" applyBorder="1" applyFont="1">
      <alignment readingOrder="0" vertical="bottom"/>
    </xf>
    <xf borderId="4" fillId="0" fontId="7" numFmtId="0" xfId="0" applyAlignment="1" applyBorder="1" applyFont="1">
      <alignment horizontal="center" readingOrder="0"/>
    </xf>
    <xf borderId="5" fillId="0" fontId="6" numFmtId="0" xfId="0" applyBorder="1" applyFont="1"/>
    <xf borderId="6" fillId="0" fontId="6" numFmtId="0" xfId="0" applyBorder="1" applyFont="1"/>
    <xf borderId="0" fillId="5" fontId="8" numFmtId="0" xfId="0" applyFill="1" applyFont="1"/>
    <xf borderId="3" fillId="0" fontId="2" numFmtId="0" xfId="0" applyAlignment="1" applyBorder="1" applyFont="1">
      <alignment horizontal="right" vertical="bottom"/>
    </xf>
    <xf borderId="3" fillId="0" fontId="7" numFmtId="167" xfId="0" applyAlignment="1" applyBorder="1" applyFont="1" applyNumberFormat="1">
      <alignment readingOrder="0"/>
    </xf>
    <xf borderId="6" fillId="0" fontId="2" numFmtId="3" xfId="0" applyAlignment="1" applyBorder="1" applyFont="1" applyNumberFormat="1">
      <alignment horizontal="right" vertical="bottom"/>
    </xf>
    <xf borderId="0" fillId="0" fontId="2" numFmtId="0" xfId="0" applyAlignment="1" applyFont="1">
      <alignment readingOrder="0" vertical="bottom"/>
    </xf>
    <xf borderId="6" fillId="0" fontId="2" numFmtId="165" xfId="0" applyAlignment="1" applyBorder="1" applyFont="1" applyNumberFormat="1">
      <alignment horizontal="right" vertical="bottom"/>
    </xf>
    <xf borderId="0" fillId="0" fontId="6" numFmtId="166" xfId="0" applyFont="1" applyNumberFormat="1"/>
    <xf borderId="3" fillId="0" fontId="2" numFmtId="166" xfId="0" applyAlignment="1" applyBorder="1" applyFont="1" applyNumberFormat="1">
      <alignment readingOrder="0" vertical="bottom"/>
    </xf>
    <xf borderId="0" fillId="0" fontId="6" numFmtId="9" xfId="0" applyFont="1" applyNumberFormat="1"/>
    <xf borderId="0" fillId="2" fontId="6" numFmtId="166" xfId="0" applyFont="1" applyNumberFormat="1"/>
    <xf borderId="0" fillId="0" fontId="9" numFmtId="166" xfId="0" applyAlignment="1" applyFont="1" applyNumberFormat="1">
      <alignment horizontal="right" vertical="bottom"/>
    </xf>
    <xf borderId="0" fillId="2" fontId="6" numFmtId="10" xfId="0" applyFont="1" applyNumberFormat="1"/>
    <xf borderId="3" fillId="0" fontId="6" numFmtId="0" xfId="0" applyBorder="1" applyFont="1"/>
    <xf borderId="3" fillId="0" fontId="2" numFmtId="165" xfId="0" applyAlignment="1" applyBorder="1" applyFont="1" applyNumberFormat="1">
      <alignment readingOrder="0" vertical="bottom"/>
    </xf>
    <xf borderId="3" fillId="0" fontId="2" numFmtId="3" xfId="0" applyAlignment="1" applyBorder="1" applyFont="1" applyNumberFormat="1">
      <alignment readingOrder="0" vertical="bottom"/>
    </xf>
    <xf borderId="0" fillId="2" fontId="6" numFmtId="9" xfId="0" applyFont="1" applyNumberFormat="1"/>
    <xf borderId="0" fillId="0" fontId="6" numFmtId="164" xfId="0" applyAlignment="1" applyFont="1" applyNumberFormat="1">
      <alignment readingOrder="0"/>
    </xf>
    <xf borderId="0" fillId="0" fontId="6" numFmtId="1" xfId="0" applyFont="1" applyNumberFormat="1"/>
    <xf borderId="3" fillId="0" fontId="2" numFmtId="0" xfId="0" applyAlignment="1" applyBorder="1" applyFont="1">
      <alignment vertical="bottom"/>
    </xf>
    <xf borderId="0" fillId="0" fontId="6" numFmtId="3" xfId="0" applyAlignment="1" applyFont="1" applyNumberFormat="1">
      <alignment readingOrder="0"/>
    </xf>
    <xf borderId="2" fillId="6" fontId="2" numFmtId="164" xfId="0" applyAlignment="1" applyBorder="1" applyFill="1" applyFont="1" applyNumberFormat="1">
      <alignment readingOrder="0" vertical="bottom"/>
    </xf>
    <xf borderId="3" fillId="6" fontId="2" numFmtId="0" xfId="0" applyAlignment="1" applyBorder="1" applyFont="1">
      <alignment readingOrder="0" vertical="bottom"/>
    </xf>
    <xf borderId="0" fillId="0" fontId="6" numFmtId="165" xfId="0" applyAlignment="1" applyFont="1" applyNumberFormat="1">
      <alignment readingOrder="0"/>
    </xf>
    <xf borderId="3" fillId="6" fontId="2" numFmtId="0" xfId="0" applyAlignment="1" applyBorder="1" applyFont="1">
      <alignment vertical="bottom"/>
    </xf>
    <xf borderId="3" fillId="6" fontId="2" numFmtId="166" xfId="0" applyAlignment="1" applyBorder="1" applyFont="1" applyNumberFormat="1">
      <alignment vertical="bottom"/>
    </xf>
    <xf borderId="0" fillId="0" fontId="6" numFmtId="166" xfId="0" applyAlignment="1" applyFont="1" applyNumberFormat="1">
      <alignment readingOrder="0"/>
    </xf>
    <xf borderId="3" fillId="6" fontId="2" numFmtId="165" xfId="0" applyAlignment="1" applyBorder="1" applyFont="1" applyNumberFormat="1">
      <alignment vertical="bottom"/>
    </xf>
    <xf borderId="3" fillId="6" fontId="2" numFmtId="3" xfId="0" applyAlignment="1" applyBorder="1" applyFont="1" applyNumberFormat="1">
      <alignment vertical="bottom"/>
    </xf>
    <xf borderId="3" fillId="6" fontId="2" numFmtId="166" xfId="0" applyAlignment="1" applyBorder="1" applyFont="1" applyNumberFormat="1">
      <alignment readingOrder="0" vertical="bottom"/>
    </xf>
    <xf borderId="3" fillId="0" fontId="2" numFmtId="4" xfId="0" applyAlignment="1" applyBorder="1" applyFont="1" applyNumberFormat="1">
      <alignment readingOrder="0" vertical="bottom"/>
    </xf>
    <xf borderId="3" fillId="0" fontId="2" numFmtId="4" xfId="0" applyAlignment="1" applyBorder="1" applyFont="1" applyNumberFormat="1">
      <alignment horizontal="right" vertical="bottom"/>
    </xf>
    <xf borderId="3" fillId="0" fontId="2" numFmtId="166" xfId="0" applyAlignment="1" applyBorder="1" applyFont="1" applyNumberFormat="1">
      <alignment vertical="bottom"/>
    </xf>
    <xf borderId="3" fillId="0" fontId="2" numFmtId="165" xfId="0" applyAlignment="1" applyBorder="1" applyFont="1" applyNumberFormat="1">
      <alignment vertical="bottom"/>
    </xf>
    <xf borderId="3" fillId="0" fontId="2" numFmtId="3" xfId="0" applyAlignment="1" applyBorder="1" applyFont="1" applyNumberFormat="1">
      <alignment vertical="bottom"/>
    </xf>
    <xf borderId="0" fillId="0" fontId="6" numFmtId="1" xfId="0" applyAlignment="1" applyFont="1" applyNumberFormat="1">
      <alignment readingOrder="0"/>
    </xf>
    <xf borderId="0" fillId="0" fontId="6" numFmtId="3" xfId="0" applyFont="1" applyNumberFormat="1"/>
    <xf borderId="0" fillId="2" fontId="6" numFmtId="1" xfId="0" applyFont="1" applyNumberFormat="1"/>
    <xf borderId="0" fillId="2" fontId="6" numFmtId="3" xfId="0" applyFont="1" applyNumberFormat="1"/>
    <xf borderId="0" fillId="6" fontId="6" numFmtId="1" xfId="0" applyFont="1" applyNumberFormat="1"/>
    <xf borderId="0" fillId="6" fontId="6" numFmtId="166" xfId="0" applyFont="1" applyNumberFormat="1"/>
    <xf borderId="7" fillId="0" fontId="2" numFmtId="0" xfId="0" applyAlignment="1" applyBorder="1" applyFont="1">
      <alignment readingOrder="0" shrinkToFit="0" vertical="bottom" wrapText="0"/>
    </xf>
    <xf borderId="0" fillId="0" fontId="2" numFmtId="166" xfId="0" applyAlignment="1" applyFont="1" applyNumberFormat="1">
      <alignment horizontal="right" readingOrder="0" vertical="bottom"/>
    </xf>
    <xf borderId="0" fillId="0" fontId="6" numFmtId="4" xfId="0" applyAlignment="1" applyFont="1" applyNumberFormat="1">
      <alignment readingOrder="0"/>
    </xf>
    <xf borderId="0" fillId="2" fontId="6" numFmtId="166" xfId="0" applyAlignment="1" applyFont="1" applyNumberFormat="1">
      <alignment readingOrder="0"/>
    </xf>
    <xf borderId="0" fillId="7" fontId="6" numFmtId="9" xfId="0" applyFill="1" applyFont="1" applyNumberFormat="1"/>
    <xf borderId="0" fillId="0" fontId="6" numFmtId="10" xfId="0" applyFont="1" applyNumberFormat="1"/>
    <xf borderId="0" fillId="0" fontId="5" numFmtId="0" xfId="0" applyAlignment="1" applyFont="1">
      <alignment horizontal="left" readingOrder="0" vertical="bottom"/>
    </xf>
    <xf borderId="7" fillId="0" fontId="2" numFmtId="0" xfId="0" applyAlignment="1" applyBorder="1" applyFont="1">
      <alignment horizontal="right" readingOrder="0" shrinkToFit="0" vertical="bottom" wrapText="0"/>
    </xf>
    <xf borderId="0" fillId="0" fontId="2" numFmtId="9" xfId="0" applyAlignment="1" applyFont="1" applyNumberFormat="1">
      <alignment horizontal="left" vertical="bottom"/>
    </xf>
    <xf borderId="0" fillId="0" fontId="6" numFmtId="9" xfId="0" applyAlignment="1" applyFont="1" applyNumberFormat="1">
      <alignment horizontal="left"/>
    </xf>
    <xf borderId="0" fillId="0" fontId="2" numFmtId="0" xfId="0" applyAlignment="1" applyFont="1">
      <alignment horizontal="right" vertical="bottom"/>
    </xf>
    <xf borderId="7" fillId="0" fontId="2" numFmtId="0" xfId="0" applyAlignment="1" applyBorder="1" applyFont="1">
      <alignment horizontal="right" shrinkToFit="0" vertical="bottom" wrapText="0"/>
    </xf>
    <xf borderId="0" fillId="0" fontId="2" numFmtId="166" xfId="0" applyAlignment="1" applyFont="1" applyNumberFormat="1">
      <alignment horizontal="left" readingOrder="0" vertical="bottom"/>
    </xf>
    <xf borderId="0" fillId="0" fontId="6" numFmtId="166" xfId="0" applyAlignment="1" applyFont="1" applyNumberFormat="1">
      <alignment horizontal="left"/>
    </xf>
    <xf borderId="7" fillId="0" fontId="2" numFmtId="0" xfId="0" applyAlignment="1" applyBorder="1" applyFont="1">
      <alignment shrinkToFit="0" vertical="bottom" wrapText="0"/>
    </xf>
    <xf borderId="0" fillId="0" fontId="6" numFmtId="168" xfId="0" applyFont="1" applyNumberFormat="1"/>
  </cellXfs>
  <cellStyles count="1">
    <cellStyle xfId="0" name="Normal" builtinId="0"/>
  </cellStyles>
  <dxfs count="4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93C47D"/>
          <bgColor rgb="FF93C47D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/>
      <fill>
        <patternFill patternType="solid">
          <fgColor rgb="FF6AA84F"/>
          <bgColor rgb="FF6AA84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4.43" defaultRowHeight="15.75"/>
  <cols>
    <col customWidth="1" min="1" max="1" width="11.86"/>
    <col customWidth="1" min="14" max="15" width="12.57"/>
  </cols>
  <sheetData>
    <row r="1">
      <c r="A1" s="1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>
      <c r="A2" s="3" t="s">
        <v>1</v>
      </c>
      <c r="B2" s="3" t="s">
        <v>2</v>
      </c>
      <c r="C2" s="3"/>
      <c r="D2" s="4" t="s">
        <v>3</v>
      </c>
      <c r="E2" s="3"/>
      <c r="F2" s="3"/>
      <c r="G2" s="3"/>
      <c r="H2" s="3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>
      <c r="A4" s="6" t="s">
        <v>4</v>
      </c>
      <c r="B4" s="7">
        <f t="shared" ref="B4:O4" si="1">SUM(B6:B35)</f>
        <v>150</v>
      </c>
      <c r="C4" s="7">
        <f t="shared" si="1"/>
        <v>153</v>
      </c>
      <c r="D4" s="7">
        <f t="shared" si="1"/>
        <v>119</v>
      </c>
      <c r="E4" s="7">
        <f t="shared" si="1"/>
        <v>119</v>
      </c>
      <c r="F4" s="7">
        <f t="shared" si="1"/>
        <v>89</v>
      </c>
      <c r="G4" s="8">
        <f t="shared" si="1"/>
        <v>21</v>
      </c>
      <c r="H4" s="10">
        <f t="shared" si="1"/>
        <v>3513488.37</v>
      </c>
      <c r="I4" s="8">
        <f t="shared" si="1"/>
        <v>3</v>
      </c>
      <c r="J4" s="10">
        <f t="shared" si="1"/>
        <v>310200</v>
      </c>
      <c r="K4" s="8">
        <f t="shared" si="1"/>
        <v>1</v>
      </c>
      <c r="L4" s="10">
        <f t="shared" si="1"/>
        <v>788527.1</v>
      </c>
      <c r="M4" s="11">
        <f t="shared" si="1"/>
        <v>847000</v>
      </c>
      <c r="N4" s="11">
        <f t="shared" si="1"/>
        <v>994000</v>
      </c>
      <c r="O4" s="7">
        <f t="shared" si="1"/>
        <v>89</v>
      </c>
      <c r="P4" s="12"/>
      <c r="Q4" s="13" t="s">
        <v>5</v>
      </c>
      <c r="R4" s="13" t="s">
        <v>6</v>
      </c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</row>
    <row r="5">
      <c r="A5" s="15" t="s">
        <v>8</v>
      </c>
      <c r="B5" s="16" t="s">
        <v>9</v>
      </c>
      <c r="C5" s="18" t="s">
        <v>10</v>
      </c>
      <c r="D5" s="18" t="s">
        <v>12</v>
      </c>
      <c r="E5" s="16" t="s">
        <v>13</v>
      </c>
      <c r="F5" s="18" t="s">
        <v>14</v>
      </c>
      <c r="G5" s="18" t="s">
        <v>15</v>
      </c>
      <c r="H5" s="18" t="s">
        <v>16</v>
      </c>
      <c r="I5" s="18" t="s">
        <v>17</v>
      </c>
      <c r="J5" s="18" t="s">
        <v>18</v>
      </c>
      <c r="K5" s="18" t="s">
        <v>19</v>
      </c>
      <c r="L5" s="18" t="s">
        <v>20</v>
      </c>
      <c r="M5" s="16" t="s">
        <v>21</v>
      </c>
      <c r="N5" s="16" t="s">
        <v>22</v>
      </c>
      <c r="O5" s="16" t="s">
        <v>23</v>
      </c>
      <c r="P5" s="21"/>
      <c r="Q5" s="18" t="s">
        <v>25</v>
      </c>
      <c r="R5" s="18" t="s">
        <v>25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>
      <c r="A6" s="23">
        <v>43556.0</v>
      </c>
      <c r="B6" s="25">
        <v>11.0</v>
      </c>
      <c r="C6" s="29">
        <f>IFERROR(__xludf.DUMMYFUNCTION("IMPORTRANGE(""https://docs.google.com/spreadsheets/d/13szibirwRkXPaEUMtJctRPYaMVy8qhVSiMbS2Xkjd1o/edit?usp=sharing"",""Ежедневный отчет!B58:B87"")"),9.0)</f>
        <v>9</v>
      </c>
      <c r="D6" s="25">
        <f>IFERROR(__xludf.DUMMYFUNCTION("IMPORTRANGE(""https://docs.google.com/spreadsheets/d/13szibirwRkXPaEUMtJctRPYaMVy8qhVSiMbS2Xkjd1o"", ""Нагрузка просчетчиков!E45:E74"")"),5.0)</f>
        <v>5</v>
      </c>
      <c r="E6" s="25">
        <v>0.0</v>
      </c>
      <c r="F6" s="30">
        <f>IFERROR(__xludf.DUMMYFUNCTION("IMPORTRANGE(""https://docs.google.com/spreadsheets/d/13szibirwRkXPaEUMtJctRPYaMVy8qhVSiMbS2Xkjd1o/edit?usp=sharing"",""Ежедневный отчет!M58:M87"")"),2.0)</f>
        <v>2</v>
      </c>
      <c r="G6" s="32">
        <f>IFERROR(__xludf.DUMMYFUNCTION("IMPORTRANGE(""https://docs.google.com/spreadsheets/d/13szibirwRkXPaEUMtJctRPYaMVy8qhVSiMbS2Xkjd1o/edit?usp=sharing"",""Ежедневный отчет!R58:R87"")"),1.0)</f>
        <v>1</v>
      </c>
      <c r="H6" s="34">
        <f>IFERROR(__xludf.DUMMYFUNCTION("IMPORTRANGE(""https://docs.google.com/spreadsheets/d/13szibirwRkXPaEUMtJctRPYaMVy8qhVSiMbS2Xkjd1o/edit?usp=sharing"",""Ежедневный отчет!S58:S87"")"),104275.82)</f>
        <v>104275.82</v>
      </c>
      <c r="I6" s="32">
        <f>IFERROR(__xludf.DUMMYFUNCTION("IMPORTRANGE(""https://docs.google.com/spreadsheets/d/13szibirwRkXPaEUMtJctRPYaMVy8qhVSiMbS2Xkjd1o/edit?usp=sharing"",""Ежедневный отчет!T58:T87"")"),0.0)</f>
        <v>0</v>
      </c>
      <c r="J6" s="34">
        <f>IFERROR(__xludf.DUMMYFUNCTION("IMPORTRANGE(""https://docs.google.com/spreadsheets/d/13szibirwRkXPaEUMtJctRPYaMVy8qhVSiMbS2Xkjd1o/edit?usp=sharing"",""Ежедневный отчет!U58:U87"")"),0.0)</f>
        <v>0</v>
      </c>
      <c r="K6" s="32">
        <f>IFERROR(__xludf.DUMMYFUNCTION("IMPORTRANGE(""https://docs.google.com/spreadsheets/d/13szibirwRkXPaEUMtJctRPYaMVy8qhVSiMbS2Xkjd1o/edit?usp=sharing"",""Ежедневный отчет!V58:V87"")"),0.0)</f>
        <v>0</v>
      </c>
      <c r="L6" s="34">
        <f>IFERROR(__xludf.DUMMYFUNCTION("IMPORTRANGE(""https://docs.google.com/spreadsheets/d/13szibirwRkXPaEUMtJctRPYaMVy8qhVSiMbS2Xkjd1o/edit?usp=sharing"",""Ежедневный отчет!W58:W87"")"),0.0)</f>
        <v>0</v>
      </c>
      <c r="M6" s="36">
        <v>27000.0</v>
      </c>
      <c r="N6" s="25">
        <v>41000.0</v>
      </c>
      <c r="O6" s="25">
        <v>4.0</v>
      </c>
      <c r="P6" s="2"/>
      <c r="Q6" s="39">
        <f>E4*0.9*0.25*350000*0.15*0.05</f>
        <v>70284.375</v>
      </c>
      <c r="R6" s="39">
        <f>B4*0.4*0.9*0.25*350000*0.15*0.05</f>
        <v>35437.5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>
      <c r="A7" s="23">
        <v>43557.0</v>
      </c>
      <c r="B7" s="25">
        <v>0.0</v>
      </c>
      <c r="C7" s="25">
        <f>IFERROR(__xludf.DUMMYFUNCTION("""COMPUTED_VALUE"""),11.0)</f>
        <v>11</v>
      </c>
      <c r="D7" s="25">
        <f>IFERROR(__xludf.DUMMYFUNCTION("""COMPUTED_VALUE"""),3.0)</f>
        <v>3</v>
      </c>
      <c r="E7" s="25">
        <v>9.0</v>
      </c>
      <c r="F7" s="41">
        <f>IFERROR(__xludf.DUMMYFUNCTION("""COMPUTED_VALUE"""),2.0)</f>
        <v>2</v>
      </c>
      <c r="G7" s="25">
        <f>IFERROR(__xludf.DUMMYFUNCTION("""COMPUTED_VALUE"""),1.0)</f>
        <v>1</v>
      </c>
      <c r="H7" s="36">
        <f>IFERROR(__xludf.DUMMYFUNCTION("""COMPUTED_VALUE"""),299000.0)</f>
        <v>299000</v>
      </c>
      <c r="I7" s="25">
        <f>IFERROR(__xludf.DUMMYFUNCTION("""COMPUTED_VALUE"""),0.0)</f>
        <v>0</v>
      </c>
      <c r="J7" s="42">
        <f>IFERROR(__xludf.DUMMYFUNCTION("""COMPUTED_VALUE"""),0.0)</f>
        <v>0</v>
      </c>
      <c r="K7" s="43">
        <f>IFERROR(__xludf.DUMMYFUNCTION("""COMPUTED_VALUE"""),0.0)</f>
        <v>0</v>
      </c>
      <c r="L7" s="42">
        <f>IFERROR(__xludf.DUMMYFUNCTION("""COMPUTED_VALUE"""),0.0)</f>
        <v>0</v>
      </c>
      <c r="M7" s="36">
        <v>50000.0</v>
      </c>
      <c r="N7" s="25">
        <f>165000</f>
        <v>165000</v>
      </c>
      <c r="O7" s="25">
        <v>4.0</v>
      </c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>
      <c r="A8" s="23">
        <v>43558.0</v>
      </c>
      <c r="B8" s="25">
        <v>15.0</v>
      </c>
      <c r="C8" s="25">
        <f>IFERROR(__xludf.DUMMYFUNCTION("""COMPUTED_VALUE"""),0.0)</f>
        <v>0</v>
      </c>
      <c r="D8" s="25">
        <f>IFERROR(__xludf.DUMMYFUNCTION("""COMPUTED_VALUE"""),6.0)</f>
        <v>6</v>
      </c>
      <c r="E8" s="25">
        <v>6.0</v>
      </c>
      <c r="F8" s="41">
        <f>IFERROR(__xludf.DUMMYFUNCTION("""COMPUTED_VALUE"""),7.0)</f>
        <v>7</v>
      </c>
      <c r="G8" s="25">
        <f>IFERROR(__xludf.DUMMYFUNCTION("""COMPUTED_VALUE"""),2.0)</f>
        <v>2</v>
      </c>
      <c r="H8" s="36">
        <f>IFERROR(__xludf.DUMMYFUNCTION("""COMPUTED_VALUE"""),433000.0)</f>
        <v>433000</v>
      </c>
      <c r="I8" s="25">
        <f>IFERROR(__xludf.DUMMYFUNCTION("""COMPUTED_VALUE"""),0.0)</f>
        <v>0</v>
      </c>
      <c r="J8" s="42">
        <f>IFERROR(__xludf.DUMMYFUNCTION("""COMPUTED_VALUE"""),0.0)</f>
        <v>0</v>
      </c>
      <c r="K8" s="43">
        <f>IFERROR(__xludf.DUMMYFUNCTION("""COMPUTED_VALUE"""),0.0)</f>
        <v>0</v>
      </c>
      <c r="L8" s="42">
        <f>IFERROR(__xludf.DUMMYFUNCTION("""COMPUTED_VALUE"""),0.0)</f>
        <v>0</v>
      </c>
      <c r="M8" s="36">
        <f>30000+35000</f>
        <v>65000</v>
      </c>
      <c r="N8" s="25">
        <f>14000+19000</f>
        <v>33000</v>
      </c>
      <c r="O8" s="25">
        <v>4.0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>
      <c r="A9" s="23">
        <v>43559.0</v>
      </c>
      <c r="B9" s="25">
        <v>0.0</v>
      </c>
      <c r="C9" s="25">
        <f>IFERROR(__xludf.DUMMYFUNCTION("""COMPUTED_VALUE"""),13.0)</f>
        <v>13</v>
      </c>
      <c r="D9" s="25">
        <f>IFERROR(__xludf.DUMMYFUNCTION("""COMPUTED_VALUE"""),2.0)</f>
        <v>2</v>
      </c>
      <c r="E9" s="25">
        <v>4.0</v>
      </c>
      <c r="F9" s="41">
        <f>IFERROR(__xludf.DUMMYFUNCTION("""COMPUTED_VALUE"""),7.0)</f>
        <v>7</v>
      </c>
      <c r="G9" s="25">
        <f>IFERROR(__xludf.DUMMYFUNCTION("""COMPUTED_VALUE"""),0.0)</f>
        <v>0</v>
      </c>
      <c r="H9" s="36">
        <f>IFERROR(__xludf.DUMMYFUNCTION("""COMPUTED_VALUE"""),0.0)</f>
        <v>0</v>
      </c>
      <c r="I9" s="25">
        <f>IFERROR(__xludf.DUMMYFUNCTION("""COMPUTED_VALUE"""),0.0)</f>
        <v>0</v>
      </c>
      <c r="J9" s="42">
        <f>IFERROR(__xludf.DUMMYFUNCTION("""COMPUTED_VALUE"""),0.0)</f>
        <v>0</v>
      </c>
      <c r="K9" s="43">
        <f>IFERROR(__xludf.DUMMYFUNCTION("""COMPUTED_VALUE"""),0.0)</f>
        <v>0</v>
      </c>
      <c r="L9" s="42">
        <f>IFERROR(__xludf.DUMMYFUNCTION("""COMPUTED_VALUE"""),0.0)</f>
        <v>0</v>
      </c>
      <c r="M9" s="36">
        <v>0.0</v>
      </c>
      <c r="N9" s="25"/>
      <c r="O9" s="25">
        <v>4.0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>
      <c r="A10" s="23">
        <v>43560.0</v>
      </c>
      <c r="B10" s="25">
        <v>0.0</v>
      </c>
      <c r="C10" s="47">
        <f>IFERROR(__xludf.DUMMYFUNCTION("""COMPUTED_VALUE"""),0.0)</f>
        <v>0</v>
      </c>
      <c r="D10" s="47">
        <f>IFERROR(__xludf.DUMMYFUNCTION("""COMPUTED_VALUE"""),0.0)</f>
        <v>0</v>
      </c>
      <c r="E10" s="25">
        <v>0.0</v>
      </c>
      <c r="F10" s="47">
        <f>IFERROR(__xludf.DUMMYFUNCTION("""COMPUTED_VALUE"""),3.0)</f>
        <v>3</v>
      </c>
      <c r="G10" s="25">
        <f>IFERROR(__xludf.DUMMYFUNCTION("""COMPUTED_VALUE"""),3.0)</f>
        <v>3</v>
      </c>
      <c r="H10" s="36">
        <f>IFERROR(__xludf.DUMMYFUNCTION("""COMPUTED_VALUE"""),290590.0)</f>
        <v>290590</v>
      </c>
      <c r="I10" s="25">
        <f>IFERROR(__xludf.DUMMYFUNCTION("""COMPUTED_VALUE"""),0.0)</f>
        <v>0</v>
      </c>
      <c r="J10" s="42">
        <f>IFERROR(__xludf.DUMMYFUNCTION("""COMPUTED_VALUE"""),0.0)</f>
        <v>0</v>
      </c>
      <c r="K10" s="43">
        <f>IFERROR(__xludf.DUMMYFUNCTION("""COMPUTED_VALUE"""),0.0)</f>
        <v>0</v>
      </c>
      <c r="L10" s="42">
        <f>IFERROR(__xludf.DUMMYFUNCTION("""COMPUTED_VALUE"""),0.0)</f>
        <v>0</v>
      </c>
      <c r="M10" s="36">
        <f>40000+20000</f>
        <v>60000</v>
      </c>
      <c r="N10" s="25">
        <f>10000+45000+40000</f>
        <v>95000</v>
      </c>
      <c r="O10" s="25">
        <v>4.0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>
      <c r="A11" s="49">
        <v>43561.0</v>
      </c>
      <c r="B11" s="50">
        <v>0.0</v>
      </c>
      <c r="C11" s="52" t="str">
        <f>IFERROR(__xludf.DUMMYFUNCTION("""COMPUTED_VALUE"""),"")</f>
        <v/>
      </c>
      <c r="D11" s="52">
        <f>IFERROR(__xludf.DUMMYFUNCTION("""COMPUTED_VALUE"""),0.0)</f>
        <v>0</v>
      </c>
      <c r="E11" s="50">
        <v>4.0</v>
      </c>
      <c r="F11" s="52" t="str">
        <f>IFERROR(__xludf.DUMMYFUNCTION("""COMPUTED_VALUE"""),"")</f>
        <v/>
      </c>
      <c r="G11" s="52" t="str">
        <f>IFERROR(__xludf.DUMMYFUNCTION("""COMPUTED_VALUE"""),"")</f>
        <v/>
      </c>
      <c r="H11" s="53" t="str">
        <f>IFERROR(__xludf.DUMMYFUNCTION("""COMPUTED_VALUE"""),"")</f>
        <v/>
      </c>
      <c r="I11" s="52" t="str">
        <f>IFERROR(__xludf.DUMMYFUNCTION("""COMPUTED_VALUE"""),"")</f>
        <v/>
      </c>
      <c r="J11" s="55" t="str">
        <f>IFERROR(__xludf.DUMMYFUNCTION("""COMPUTED_VALUE"""),"")</f>
        <v/>
      </c>
      <c r="K11" s="56" t="str">
        <f>IFERROR(__xludf.DUMMYFUNCTION("""COMPUTED_VALUE"""),"")</f>
        <v/>
      </c>
      <c r="L11" s="55" t="str">
        <f>IFERROR(__xludf.DUMMYFUNCTION("""COMPUTED_VALUE"""),"")</f>
        <v/>
      </c>
      <c r="M11" s="57">
        <v>0.0</v>
      </c>
      <c r="N11" s="50"/>
      <c r="O11" s="50">
        <v>4.0</v>
      </c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>
      <c r="A12" s="49">
        <v>43562.0</v>
      </c>
      <c r="B12" s="50">
        <v>8.0</v>
      </c>
      <c r="C12" s="52" t="str">
        <f>IFERROR(__xludf.DUMMYFUNCTION("""COMPUTED_VALUE"""),"")</f>
        <v/>
      </c>
      <c r="D12" s="52">
        <f>IFERROR(__xludf.DUMMYFUNCTION("""COMPUTED_VALUE"""),4.0)</f>
        <v>4</v>
      </c>
      <c r="E12" s="50">
        <v>3.0</v>
      </c>
      <c r="F12" s="52" t="str">
        <f>IFERROR(__xludf.DUMMYFUNCTION("""COMPUTED_VALUE"""),"")</f>
        <v/>
      </c>
      <c r="G12" s="52" t="str">
        <f>IFERROR(__xludf.DUMMYFUNCTION("""COMPUTED_VALUE"""),"")</f>
        <v/>
      </c>
      <c r="H12" s="53" t="str">
        <f>IFERROR(__xludf.DUMMYFUNCTION("""COMPUTED_VALUE"""),"")</f>
        <v/>
      </c>
      <c r="I12" s="52" t="str">
        <f>IFERROR(__xludf.DUMMYFUNCTION("""COMPUTED_VALUE"""),"")</f>
        <v/>
      </c>
      <c r="J12" s="55" t="str">
        <f>IFERROR(__xludf.DUMMYFUNCTION("""COMPUTED_VALUE"""),"")</f>
        <v/>
      </c>
      <c r="K12" s="56" t="str">
        <f>IFERROR(__xludf.DUMMYFUNCTION("""COMPUTED_VALUE"""),"")</f>
        <v/>
      </c>
      <c r="L12" s="55" t="str">
        <f>IFERROR(__xludf.DUMMYFUNCTION("""COMPUTED_VALUE"""),"")</f>
        <v/>
      </c>
      <c r="M12" s="57">
        <v>0.0</v>
      </c>
      <c r="N12" s="50"/>
      <c r="O12" s="50">
        <v>4.0</v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>
      <c r="A13" s="23">
        <v>43563.0</v>
      </c>
      <c r="B13" s="25">
        <v>0.0</v>
      </c>
      <c r="C13" s="25">
        <f>IFERROR(__xludf.DUMMYFUNCTION("""COMPUTED_VALUE"""),7.0)</f>
        <v>7</v>
      </c>
      <c r="D13" s="47">
        <f>IFERROR(__xludf.DUMMYFUNCTION("""COMPUTED_VALUE"""),6.0)</f>
        <v>6</v>
      </c>
      <c r="E13" s="25">
        <v>2.0</v>
      </c>
      <c r="F13" s="25">
        <f>IFERROR(__xludf.DUMMYFUNCTION("""COMPUTED_VALUE"""),3.0)</f>
        <v>3</v>
      </c>
      <c r="G13" s="43">
        <f>IFERROR(__xludf.DUMMYFUNCTION("""COMPUTED_VALUE"""),1.0)</f>
        <v>1</v>
      </c>
      <c r="H13" s="58">
        <f>IFERROR(__xludf.DUMMYFUNCTION("""COMPUTED_VALUE"""),280800.0)</f>
        <v>280800</v>
      </c>
      <c r="I13" s="43">
        <f>IFERROR(__xludf.DUMMYFUNCTION("""COMPUTED_VALUE"""),0.0)</f>
        <v>0</v>
      </c>
      <c r="J13" s="42">
        <f>IFERROR(__xludf.DUMMYFUNCTION("""COMPUTED_VALUE"""),0.0)</f>
        <v>0</v>
      </c>
      <c r="K13" s="43">
        <f>IFERROR(__xludf.DUMMYFUNCTION("""COMPUTED_VALUE"""),0.0)</f>
        <v>0</v>
      </c>
      <c r="L13" s="42">
        <f>IFERROR(__xludf.DUMMYFUNCTION("""COMPUTED_VALUE"""),0.0)</f>
        <v>0</v>
      </c>
      <c r="M13" s="36">
        <v>50000.0</v>
      </c>
      <c r="N13" s="25">
        <f>20000</f>
        <v>20000</v>
      </c>
      <c r="O13" s="25">
        <v>4.0</v>
      </c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>
      <c r="A14" s="23">
        <v>43564.0</v>
      </c>
      <c r="B14" s="25">
        <v>0.0</v>
      </c>
      <c r="C14" s="25">
        <f>IFERROR(__xludf.DUMMYFUNCTION("""COMPUTED_VALUE"""),0.0)</f>
        <v>0</v>
      </c>
      <c r="D14" s="47">
        <f>IFERROR(__xludf.DUMMYFUNCTION("""COMPUTED_VALUE"""),2.0)</f>
        <v>2</v>
      </c>
      <c r="E14" s="25">
        <v>0.0</v>
      </c>
      <c r="F14" s="25">
        <f>IFERROR(__xludf.DUMMYFUNCTION("""COMPUTED_VALUE"""),4.0)</f>
        <v>4</v>
      </c>
      <c r="G14" s="25">
        <f>IFERROR(__xludf.DUMMYFUNCTION("""COMPUTED_VALUE"""),0.0)</f>
        <v>0</v>
      </c>
      <c r="H14" s="36">
        <f>IFERROR(__xludf.DUMMYFUNCTION("""COMPUTED_VALUE"""),0.0)</f>
        <v>0</v>
      </c>
      <c r="I14" s="25">
        <f>IFERROR(__xludf.DUMMYFUNCTION("""COMPUTED_VALUE"""),0.0)</f>
        <v>0</v>
      </c>
      <c r="J14" s="42">
        <f>IFERROR(__xludf.DUMMYFUNCTION("""COMPUTED_VALUE"""),0.0)</f>
        <v>0</v>
      </c>
      <c r="K14" s="43">
        <f>IFERROR(__xludf.DUMMYFUNCTION("""COMPUTED_VALUE"""),0.0)</f>
        <v>0</v>
      </c>
      <c r="L14" s="42">
        <f>IFERROR(__xludf.DUMMYFUNCTION("""COMPUTED_VALUE"""),0.0)</f>
        <v>0</v>
      </c>
      <c r="M14" s="36">
        <v>0.0</v>
      </c>
      <c r="N14" s="25"/>
      <c r="O14" s="25">
        <v>3.0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>
      <c r="A15" s="23">
        <v>43565.0</v>
      </c>
      <c r="B15" s="25">
        <v>12.0</v>
      </c>
      <c r="C15" s="25">
        <f>IFERROR(__xludf.DUMMYFUNCTION("""COMPUTED_VALUE"""),12.0)</f>
        <v>12</v>
      </c>
      <c r="D15" s="47">
        <f>IFERROR(__xludf.DUMMYFUNCTION("""COMPUTED_VALUE"""),4.0)</f>
        <v>4</v>
      </c>
      <c r="E15" s="25">
        <v>8.0</v>
      </c>
      <c r="F15" s="25">
        <f>IFERROR(__xludf.DUMMYFUNCTION("""COMPUTED_VALUE"""),0.0)</f>
        <v>0</v>
      </c>
      <c r="G15" s="25">
        <f>IFERROR(__xludf.DUMMYFUNCTION("""COMPUTED_VALUE"""),0.0)</f>
        <v>0</v>
      </c>
      <c r="H15" s="36">
        <f>IFERROR(__xludf.DUMMYFUNCTION("""COMPUTED_VALUE"""),0.0)</f>
        <v>0</v>
      </c>
      <c r="I15" s="25">
        <f>IFERROR(__xludf.DUMMYFUNCTION("""COMPUTED_VALUE"""),0.0)</f>
        <v>0</v>
      </c>
      <c r="J15" s="42">
        <f>IFERROR(__xludf.DUMMYFUNCTION("""COMPUTED_VALUE"""),0.0)</f>
        <v>0</v>
      </c>
      <c r="K15" s="43">
        <f>IFERROR(__xludf.DUMMYFUNCTION("""COMPUTED_VALUE"""),0.0)</f>
        <v>0</v>
      </c>
      <c r="L15" s="42">
        <f>IFERROR(__xludf.DUMMYFUNCTION("""COMPUTED_VALUE"""),0.0)</f>
        <v>0</v>
      </c>
      <c r="M15" s="36">
        <v>0.0</v>
      </c>
      <c r="N15" s="25"/>
      <c r="O15" s="25">
        <v>3.0</v>
      </c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>
      <c r="A16" s="23">
        <v>43566.0</v>
      </c>
      <c r="B16" s="25">
        <v>0.0</v>
      </c>
      <c r="C16" s="25">
        <f>IFERROR(__xludf.DUMMYFUNCTION("""COMPUTED_VALUE"""),0.0)</f>
        <v>0</v>
      </c>
      <c r="D16" s="47">
        <f>IFERROR(__xludf.DUMMYFUNCTION("""COMPUTED_VALUE"""),2.0)</f>
        <v>2</v>
      </c>
      <c r="E16" s="25">
        <v>0.0</v>
      </c>
      <c r="F16" s="47">
        <f>IFERROR(__xludf.DUMMYFUNCTION("""COMPUTED_VALUE"""),5.0)</f>
        <v>5</v>
      </c>
      <c r="G16" s="47">
        <f>IFERROR(__xludf.DUMMYFUNCTION("""COMPUTED_VALUE"""),2.0)</f>
        <v>2</v>
      </c>
      <c r="H16" s="59">
        <f>IFERROR(__xludf.DUMMYFUNCTION("""COMPUTED_VALUE"""),732242.26)</f>
        <v>732242.26</v>
      </c>
      <c r="I16" s="25">
        <f>IFERROR(__xludf.DUMMYFUNCTION("""COMPUTED_VALUE"""),0.0)</f>
        <v>0</v>
      </c>
      <c r="J16" s="42">
        <f>IFERROR(__xludf.DUMMYFUNCTION("""COMPUTED_VALUE"""),0.0)</f>
        <v>0</v>
      </c>
      <c r="K16" s="43">
        <f>IFERROR(__xludf.DUMMYFUNCTION("""COMPUTED_VALUE"""),0.0)</f>
        <v>0</v>
      </c>
      <c r="L16" s="42">
        <f>IFERROR(__xludf.DUMMYFUNCTION("""COMPUTED_VALUE"""),0.0)</f>
        <v>0</v>
      </c>
      <c r="M16" s="36">
        <v>275000.0</v>
      </c>
      <c r="N16" s="25">
        <f>180000+95000</f>
        <v>275000</v>
      </c>
      <c r="O16" s="25">
        <v>3.0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>
      <c r="A17" s="23">
        <v>43567.0</v>
      </c>
      <c r="B17" s="25">
        <v>7.0</v>
      </c>
      <c r="C17" s="25">
        <f>IFERROR(__xludf.DUMMYFUNCTION("""COMPUTED_VALUE"""),7.0)</f>
        <v>7</v>
      </c>
      <c r="D17" s="47">
        <f>IFERROR(__xludf.DUMMYFUNCTION("""COMPUTED_VALUE"""),2.0)</f>
        <v>2</v>
      </c>
      <c r="E17" s="25">
        <v>0.0</v>
      </c>
      <c r="F17" s="47">
        <f>IFERROR(__xludf.DUMMYFUNCTION("""COMPUTED_VALUE"""),4.0)</f>
        <v>4</v>
      </c>
      <c r="G17" s="47">
        <f>IFERROR(__xludf.DUMMYFUNCTION("""COMPUTED_VALUE"""),1.0)</f>
        <v>1</v>
      </c>
      <c r="H17" s="60">
        <f>IFERROR(__xludf.DUMMYFUNCTION("""COMPUTED_VALUE"""),71670.99)</f>
        <v>71670.99</v>
      </c>
      <c r="I17" s="47">
        <f>IFERROR(__xludf.DUMMYFUNCTION("""COMPUTED_VALUE"""),0.0)</f>
        <v>0</v>
      </c>
      <c r="J17" s="61">
        <f>IFERROR(__xludf.DUMMYFUNCTION("""COMPUTED_VALUE"""),0.0)</f>
        <v>0</v>
      </c>
      <c r="K17" s="62">
        <f>IFERROR(__xludf.DUMMYFUNCTION("""COMPUTED_VALUE"""),0.0)</f>
        <v>0</v>
      </c>
      <c r="L17" s="61">
        <f>IFERROR(__xludf.DUMMYFUNCTION("""COMPUTED_VALUE"""),0.0)</f>
        <v>0</v>
      </c>
      <c r="M17" s="36">
        <v>30000.0</v>
      </c>
      <c r="N17" s="25">
        <f>32000</f>
        <v>32000</v>
      </c>
      <c r="O17" s="25">
        <v>3.0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>
      <c r="A18" s="49">
        <v>43568.0</v>
      </c>
      <c r="B18" s="50">
        <v>0.0</v>
      </c>
      <c r="C18" s="50" t="str">
        <f>IFERROR(__xludf.DUMMYFUNCTION("""COMPUTED_VALUE"""),"")</f>
        <v/>
      </c>
      <c r="D18" s="52">
        <f>IFERROR(__xludf.DUMMYFUNCTION("""COMPUTED_VALUE"""),0.0)</f>
        <v>0</v>
      </c>
      <c r="E18" s="50">
        <v>8.0</v>
      </c>
      <c r="F18" s="52" t="str">
        <f>IFERROR(__xludf.DUMMYFUNCTION("""COMPUTED_VALUE"""),"")</f>
        <v/>
      </c>
      <c r="G18" s="52" t="str">
        <f>IFERROR(__xludf.DUMMYFUNCTION("""COMPUTED_VALUE"""),"")</f>
        <v/>
      </c>
      <c r="H18" s="53" t="str">
        <f>IFERROR(__xludf.DUMMYFUNCTION("""COMPUTED_VALUE"""),"")</f>
        <v/>
      </c>
      <c r="I18" s="52" t="str">
        <f>IFERROR(__xludf.DUMMYFUNCTION("""COMPUTED_VALUE"""),"")</f>
        <v/>
      </c>
      <c r="J18" s="55" t="str">
        <f>IFERROR(__xludf.DUMMYFUNCTION("""COMPUTED_VALUE"""),"")</f>
        <v/>
      </c>
      <c r="K18" s="56" t="str">
        <f>IFERROR(__xludf.DUMMYFUNCTION("""COMPUTED_VALUE"""),"")</f>
        <v/>
      </c>
      <c r="L18" s="55" t="str">
        <f>IFERROR(__xludf.DUMMYFUNCTION("""COMPUTED_VALUE"""),"")</f>
        <v/>
      </c>
      <c r="M18" s="57">
        <v>0.0</v>
      </c>
      <c r="N18" s="50"/>
      <c r="O18" s="50">
        <v>3.0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>
      <c r="A19" s="49">
        <v>43569.0</v>
      </c>
      <c r="B19" s="50">
        <v>13.0</v>
      </c>
      <c r="C19" s="50" t="str">
        <f>IFERROR(__xludf.DUMMYFUNCTION("""COMPUTED_VALUE"""),"")</f>
        <v/>
      </c>
      <c r="D19" s="52">
        <f>IFERROR(__xludf.DUMMYFUNCTION("""COMPUTED_VALUE"""),3.0)</f>
        <v>3</v>
      </c>
      <c r="E19" s="50">
        <v>0.0</v>
      </c>
      <c r="F19" s="52" t="str">
        <f>IFERROR(__xludf.DUMMYFUNCTION("""COMPUTED_VALUE"""),"")</f>
        <v/>
      </c>
      <c r="G19" s="52" t="str">
        <f>IFERROR(__xludf.DUMMYFUNCTION("""COMPUTED_VALUE"""),"")</f>
        <v/>
      </c>
      <c r="H19" s="53" t="str">
        <f>IFERROR(__xludf.DUMMYFUNCTION("""COMPUTED_VALUE"""),"")</f>
        <v/>
      </c>
      <c r="I19" s="52" t="str">
        <f>IFERROR(__xludf.DUMMYFUNCTION("""COMPUTED_VALUE"""),"")</f>
        <v/>
      </c>
      <c r="J19" s="55" t="str">
        <f>IFERROR(__xludf.DUMMYFUNCTION("""COMPUTED_VALUE"""),"")</f>
        <v/>
      </c>
      <c r="K19" s="56" t="str">
        <f>IFERROR(__xludf.DUMMYFUNCTION("""COMPUTED_VALUE"""),"")</f>
        <v/>
      </c>
      <c r="L19" s="55" t="str">
        <f>IFERROR(__xludf.DUMMYFUNCTION("""COMPUTED_VALUE"""),"")</f>
        <v/>
      </c>
      <c r="M19" s="57">
        <v>0.0</v>
      </c>
      <c r="N19" s="50"/>
      <c r="O19" s="50">
        <v>3.0</v>
      </c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>
      <c r="A20" s="23">
        <v>43570.0</v>
      </c>
      <c r="B20" s="25">
        <v>3.0</v>
      </c>
      <c r="C20" s="47">
        <f>IFERROR(__xludf.DUMMYFUNCTION("""COMPUTED_VALUE"""),11.0)</f>
        <v>11</v>
      </c>
      <c r="D20" s="47">
        <f>IFERROR(__xludf.DUMMYFUNCTION("""COMPUTED_VALUE"""),3.0)</f>
        <v>3</v>
      </c>
      <c r="E20" s="25">
        <v>8.0</v>
      </c>
      <c r="F20" s="25">
        <f>IFERROR(__xludf.DUMMYFUNCTION("""COMPUTED_VALUE"""),0.0)</f>
        <v>0</v>
      </c>
      <c r="G20" s="47">
        <f>IFERROR(__xludf.DUMMYFUNCTION("""COMPUTED_VALUE"""),3.0)</f>
        <v>3</v>
      </c>
      <c r="H20" s="36">
        <f>IFERROR(__xludf.DUMMYFUNCTION("""COMPUTED_VALUE"""),127308.99)</f>
        <v>127308.99</v>
      </c>
      <c r="I20" s="47">
        <f>IFERROR(__xludf.DUMMYFUNCTION("""COMPUTED_VALUE"""),0.0)</f>
        <v>0</v>
      </c>
      <c r="J20" s="61">
        <f>IFERROR(__xludf.DUMMYFUNCTION("""COMPUTED_VALUE"""),0.0)</f>
        <v>0</v>
      </c>
      <c r="K20" s="62">
        <f>IFERROR(__xludf.DUMMYFUNCTION("""COMPUTED_VALUE"""),0.0)</f>
        <v>0</v>
      </c>
      <c r="L20" s="61">
        <f>IFERROR(__xludf.DUMMYFUNCTION("""COMPUTED_VALUE"""),0.0)</f>
        <v>0</v>
      </c>
      <c r="M20" s="36">
        <v>25000.0</v>
      </c>
      <c r="N20" s="25">
        <f>8000+14000+21000</f>
        <v>43000</v>
      </c>
      <c r="O20" s="25">
        <v>3.0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>
      <c r="A21" s="23">
        <v>43571.0</v>
      </c>
      <c r="B21" s="25">
        <v>0.0</v>
      </c>
      <c r="C21" s="47">
        <f>IFERROR(__xludf.DUMMYFUNCTION("""COMPUTED_VALUE"""),4.0)</f>
        <v>4</v>
      </c>
      <c r="D21" s="47">
        <f>IFERROR(__xludf.DUMMYFUNCTION("""COMPUTED_VALUE"""),7.0)</f>
        <v>7</v>
      </c>
      <c r="E21" s="25">
        <v>2.0</v>
      </c>
      <c r="F21" s="47">
        <f>IFERROR(__xludf.DUMMYFUNCTION("""COMPUTED_VALUE"""),6.0)</f>
        <v>6</v>
      </c>
      <c r="G21" s="47">
        <f>IFERROR(__xludf.DUMMYFUNCTION("""COMPUTED_VALUE"""),0.0)</f>
        <v>0</v>
      </c>
      <c r="H21" s="60">
        <f>IFERROR(__xludf.DUMMYFUNCTION("""COMPUTED_VALUE"""),0.0)</f>
        <v>0</v>
      </c>
      <c r="I21" s="47">
        <f>IFERROR(__xludf.DUMMYFUNCTION("""COMPUTED_VALUE"""),0.0)</f>
        <v>0</v>
      </c>
      <c r="J21" s="61">
        <f>IFERROR(__xludf.DUMMYFUNCTION("""COMPUTED_VALUE"""),0.0)</f>
        <v>0</v>
      </c>
      <c r="K21" s="62">
        <f>IFERROR(__xludf.DUMMYFUNCTION("""COMPUTED_VALUE"""),0.0)</f>
        <v>0</v>
      </c>
      <c r="L21" s="61">
        <f>IFERROR(__xludf.DUMMYFUNCTION("""COMPUTED_VALUE"""),0.0)</f>
        <v>0</v>
      </c>
      <c r="M21" s="36">
        <v>0.0</v>
      </c>
      <c r="N21" s="25"/>
      <c r="O21" s="25">
        <v>3.0</v>
      </c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>
      <c r="A22" s="23">
        <v>43572.0</v>
      </c>
      <c r="B22" s="25">
        <v>9.0</v>
      </c>
      <c r="C22" s="47">
        <f>IFERROR(__xludf.DUMMYFUNCTION("""COMPUTED_VALUE"""),0.0)</f>
        <v>0</v>
      </c>
      <c r="D22" s="47">
        <f>IFERROR(__xludf.DUMMYFUNCTION("""COMPUTED_VALUE"""),6.0)</f>
        <v>6</v>
      </c>
      <c r="E22" s="25">
        <v>1.0</v>
      </c>
      <c r="F22" s="47">
        <f>IFERROR(__xludf.DUMMYFUNCTION("""COMPUTED_VALUE"""),1.0)</f>
        <v>1</v>
      </c>
      <c r="G22" s="47">
        <f>IFERROR(__xludf.DUMMYFUNCTION("""COMPUTED_VALUE"""),0.0)</f>
        <v>0</v>
      </c>
      <c r="H22" s="60">
        <f>IFERROR(__xludf.DUMMYFUNCTION("""COMPUTED_VALUE"""),0.0)</f>
        <v>0</v>
      </c>
      <c r="I22" s="47">
        <f>IFERROR(__xludf.DUMMYFUNCTION("""COMPUTED_VALUE"""),0.0)</f>
        <v>0</v>
      </c>
      <c r="J22" s="61">
        <f>IFERROR(__xludf.DUMMYFUNCTION("""COMPUTED_VALUE"""),0.0)</f>
        <v>0</v>
      </c>
      <c r="K22" s="62">
        <f>IFERROR(__xludf.DUMMYFUNCTION("""COMPUTED_VALUE"""),0.0)</f>
        <v>0</v>
      </c>
      <c r="L22" s="61">
        <f>IFERROR(__xludf.DUMMYFUNCTION("""COMPUTED_VALUE"""),0.0)</f>
        <v>0</v>
      </c>
      <c r="M22" s="36">
        <v>0.0</v>
      </c>
      <c r="N22" s="25"/>
      <c r="O22" s="25">
        <v>3.0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>
      <c r="A23" s="23">
        <v>43573.0</v>
      </c>
      <c r="B23" s="25">
        <v>0.0</v>
      </c>
      <c r="C23" s="47">
        <f>IFERROR(__xludf.DUMMYFUNCTION("""COMPUTED_VALUE"""),9.0)</f>
        <v>9</v>
      </c>
      <c r="D23" s="47">
        <f>IFERROR(__xludf.DUMMYFUNCTION("""COMPUTED_VALUE"""),10.0)</f>
        <v>10</v>
      </c>
      <c r="E23" s="25">
        <v>6.0</v>
      </c>
      <c r="F23" s="47">
        <f>IFERROR(__xludf.DUMMYFUNCTION("""COMPUTED_VALUE"""),3.0)</f>
        <v>3</v>
      </c>
      <c r="G23" s="47">
        <f>IFERROR(__xludf.DUMMYFUNCTION("""COMPUTED_VALUE"""),0.0)</f>
        <v>0</v>
      </c>
      <c r="H23" s="60">
        <f>IFERROR(__xludf.DUMMYFUNCTION("""COMPUTED_VALUE"""),0.0)</f>
        <v>0</v>
      </c>
      <c r="I23" s="47">
        <f>IFERROR(__xludf.DUMMYFUNCTION("""COMPUTED_VALUE"""),0.0)</f>
        <v>0</v>
      </c>
      <c r="J23" s="61">
        <f>IFERROR(__xludf.DUMMYFUNCTION("""COMPUTED_VALUE"""),0.0)</f>
        <v>0</v>
      </c>
      <c r="K23" s="62">
        <f>IFERROR(__xludf.DUMMYFUNCTION("""COMPUTED_VALUE"""),0.0)</f>
        <v>0</v>
      </c>
      <c r="L23" s="61">
        <f>IFERROR(__xludf.DUMMYFUNCTION("""COMPUTED_VALUE"""),0.0)</f>
        <v>0</v>
      </c>
      <c r="M23" s="36">
        <v>0.0</v>
      </c>
      <c r="N23" s="25"/>
      <c r="O23" s="25">
        <v>3.0</v>
      </c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>
      <c r="A24" s="23">
        <v>43574.0</v>
      </c>
      <c r="B24" s="25">
        <v>23.0</v>
      </c>
      <c r="C24" s="47">
        <f>IFERROR(__xludf.DUMMYFUNCTION("""COMPUTED_VALUE"""),23.0)</f>
        <v>23</v>
      </c>
      <c r="D24" s="47">
        <f>IFERROR(__xludf.DUMMYFUNCTION("""COMPUTED_VALUE"""),6.0)</f>
        <v>6</v>
      </c>
      <c r="E24" s="25">
        <v>0.0</v>
      </c>
      <c r="F24" s="47">
        <f>IFERROR(__xludf.DUMMYFUNCTION("""COMPUTED_VALUE"""),7.0)</f>
        <v>7</v>
      </c>
      <c r="G24" s="47">
        <f>IFERROR(__xludf.DUMMYFUNCTION("""COMPUTED_VALUE"""),0.0)</f>
        <v>0</v>
      </c>
      <c r="H24" s="60">
        <f>IFERROR(__xludf.DUMMYFUNCTION("""COMPUTED_VALUE"""),0.0)</f>
        <v>0</v>
      </c>
      <c r="I24" s="47">
        <f>IFERROR(__xludf.DUMMYFUNCTION("""COMPUTED_VALUE"""),0.0)</f>
        <v>0</v>
      </c>
      <c r="J24" s="61">
        <f>IFERROR(__xludf.DUMMYFUNCTION("""COMPUTED_VALUE"""),0.0)</f>
        <v>0</v>
      </c>
      <c r="K24" s="62">
        <f>IFERROR(__xludf.DUMMYFUNCTION("""COMPUTED_VALUE"""),0.0)</f>
        <v>0</v>
      </c>
      <c r="L24" s="61">
        <f>IFERROR(__xludf.DUMMYFUNCTION("""COMPUTED_VALUE"""),0.0)</f>
        <v>0</v>
      </c>
      <c r="M24" s="36">
        <v>0.0</v>
      </c>
      <c r="N24" s="25"/>
      <c r="O24" s="25">
        <v>3.0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>
      <c r="A25" s="49">
        <v>43575.0</v>
      </c>
      <c r="B25" s="50">
        <v>0.0</v>
      </c>
      <c r="C25" s="52" t="str">
        <f>IFERROR(__xludf.DUMMYFUNCTION("""COMPUTED_VALUE"""),"")</f>
        <v/>
      </c>
      <c r="D25" s="52">
        <f>IFERROR(__xludf.DUMMYFUNCTION("""COMPUTED_VALUE"""),1.0)</f>
        <v>1</v>
      </c>
      <c r="E25" s="50">
        <v>9.0</v>
      </c>
      <c r="F25" s="52" t="str">
        <f>IFERROR(__xludf.DUMMYFUNCTION("""COMPUTED_VALUE"""),"")</f>
        <v/>
      </c>
      <c r="G25" s="52" t="str">
        <f>IFERROR(__xludf.DUMMYFUNCTION("""COMPUTED_VALUE"""),"")</f>
        <v/>
      </c>
      <c r="H25" s="53" t="str">
        <f>IFERROR(__xludf.DUMMYFUNCTION("""COMPUTED_VALUE"""),"")</f>
        <v/>
      </c>
      <c r="I25" s="52" t="str">
        <f>IFERROR(__xludf.DUMMYFUNCTION("""COMPUTED_VALUE"""),"")</f>
        <v/>
      </c>
      <c r="J25" s="55" t="str">
        <f>IFERROR(__xludf.DUMMYFUNCTION("""COMPUTED_VALUE"""),"")</f>
        <v/>
      </c>
      <c r="K25" s="56" t="str">
        <f>IFERROR(__xludf.DUMMYFUNCTION("""COMPUTED_VALUE"""),"")</f>
        <v/>
      </c>
      <c r="L25" s="55" t="str">
        <f>IFERROR(__xludf.DUMMYFUNCTION("""COMPUTED_VALUE"""),"")</f>
        <v/>
      </c>
      <c r="M25" s="57">
        <v>0.0</v>
      </c>
      <c r="N25" s="50"/>
      <c r="O25" s="50">
        <v>3.0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>
      <c r="A26" s="49">
        <v>43576.0</v>
      </c>
      <c r="B26" s="50">
        <v>0.0</v>
      </c>
      <c r="C26" s="52" t="str">
        <f>IFERROR(__xludf.DUMMYFUNCTION("""COMPUTED_VALUE"""),"")</f>
        <v/>
      </c>
      <c r="D26" s="52">
        <f>IFERROR(__xludf.DUMMYFUNCTION("""COMPUTED_VALUE"""),3.0)</f>
        <v>3</v>
      </c>
      <c r="E26" s="50">
        <v>11.0</v>
      </c>
      <c r="F26" s="52" t="str">
        <f>IFERROR(__xludf.DUMMYFUNCTION("""COMPUTED_VALUE"""),"")</f>
        <v/>
      </c>
      <c r="G26" s="52" t="str">
        <f>IFERROR(__xludf.DUMMYFUNCTION("""COMPUTED_VALUE"""),"")</f>
        <v/>
      </c>
      <c r="H26" s="53" t="str">
        <f>IFERROR(__xludf.DUMMYFUNCTION("""COMPUTED_VALUE"""),"")</f>
        <v/>
      </c>
      <c r="I26" s="52" t="str">
        <f>IFERROR(__xludf.DUMMYFUNCTION("""COMPUTED_VALUE"""),"")</f>
        <v/>
      </c>
      <c r="J26" s="55" t="str">
        <f>IFERROR(__xludf.DUMMYFUNCTION("""COMPUTED_VALUE"""),"")</f>
        <v/>
      </c>
      <c r="K26" s="56" t="str">
        <f>IFERROR(__xludf.DUMMYFUNCTION("""COMPUTED_VALUE"""),"")</f>
        <v/>
      </c>
      <c r="L26" s="55" t="str">
        <f>IFERROR(__xludf.DUMMYFUNCTION("""COMPUTED_VALUE"""),"")</f>
        <v/>
      </c>
      <c r="M26" s="57">
        <v>0.0</v>
      </c>
      <c r="N26" s="50"/>
      <c r="O26" s="50">
        <v>3.0</v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>
      <c r="A27" s="23">
        <v>43577.0</v>
      </c>
      <c r="B27" s="25">
        <v>0.0</v>
      </c>
      <c r="C27" s="47">
        <f>IFERROR(__xludf.DUMMYFUNCTION("""COMPUTED_VALUE"""),0.0)</f>
        <v>0</v>
      </c>
      <c r="D27" s="47">
        <f>IFERROR(__xludf.DUMMYFUNCTION("""COMPUTED_VALUE"""),6.0)</f>
        <v>6</v>
      </c>
      <c r="E27" s="25">
        <v>4.0</v>
      </c>
      <c r="F27" s="47">
        <f>IFERROR(__xludf.DUMMYFUNCTION("""COMPUTED_VALUE"""),3.0)</f>
        <v>3</v>
      </c>
      <c r="G27" s="47">
        <f>IFERROR(__xludf.DUMMYFUNCTION("""COMPUTED_VALUE"""),2.0)</f>
        <v>2</v>
      </c>
      <c r="H27" s="60">
        <f>IFERROR(__xludf.DUMMYFUNCTION("""COMPUTED_VALUE"""),477069.64)</f>
        <v>477069.64</v>
      </c>
      <c r="I27" s="47">
        <f>IFERROR(__xludf.DUMMYFUNCTION("""COMPUTED_VALUE"""),0.0)</f>
        <v>0</v>
      </c>
      <c r="J27" s="61">
        <f>IFERROR(__xludf.DUMMYFUNCTION("""COMPUTED_VALUE"""),0.0)</f>
        <v>0</v>
      </c>
      <c r="K27" s="62">
        <f>IFERROR(__xludf.DUMMYFUNCTION("""COMPUTED_VALUE"""),0.0)</f>
        <v>0</v>
      </c>
      <c r="L27" s="61">
        <f>IFERROR(__xludf.DUMMYFUNCTION("""COMPUTED_VALUE"""),0.0)</f>
        <v>0</v>
      </c>
      <c r="M27" s="36">
        <v>100000.0</v>
      </c>
      <c r="N27" s="25">
        <f>78000+52000</f>
        <v>130000</v>
      </c>
      <c r="O27" s="25">
        <v>3.0</v>
      </c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>
      <c r="A28" s="23">
        <v>43578.0</v>
      </c>
      <c r="B28" s="25">
        <v>11.0</v>
      </c>
      <c r="C28" s="47">
        <f>IFERROR(__xludf.DUMMYFUNCTION("""COMPUTED_VALUE"""),11.0)</f>
        <v>11</v>
      </c>
      <c r="D28" s="47">
        <f>IFERROR(__xludf.DUMMYFUNCTION("""COMPUTED_VALUE"""),8.0)</f>
        <v>8</v>
      </c>
      <c r="E28" s="25">
        <v>11.0</v>
      </c>
      <c r="F28" s="47">
        <f>IFERROR(__xludf.DUMMYFUNCTION("""COMPUTED_VALUE"""),7.0)</f>
        <v>7</v>
      </c>
      <c r="G28" s="47">
        <f>IFERROR(__xludf.DUMMYFUNCTION("""COMPUTED_VALUE"""),0.0)</f>
        <v>0</v>
      </c>
      <c r="H28" s="60">
        <f>IFERROR(__xludf.DUMMYFUNCTION("""COMPUTED_VALUE"""),0.0)</f>
        <v>0</v>
      </c>
      <c r="I28" s="47">
        <f>IFERROR(__xludf.DUMMYFUNCTION("""COMPUTED_VALUE"""),0.0)</f>
        <v>0</v>
      </c>
      <c r="J28" s="61">
        <f>IFERROR(__xludf.DUMMYFUNCTION("""COMPUTED_VALUE"""),0.0)</f>
        <v>0</v>
      </c>
      <c r="K28" s="62">
        <f>IFERROR(__xludf.DUMMYFUNCTION("""COMPUTED_VALUE"""),0.0)</f>
        <v>0</v>
      </c>
      <c r="L28" s="61">
        <f>IFERROR(__xludf.DUMMYFUNCTION("""COMPUTED_VALUE"""),0.0)</f>
        <v>0</v>
      </c>
      <c r="M28" s="36">
        <v>0.0</v>
      </c>
      <c r="N28" s="25"/>
      <c r="O28" s="25">
        <v>3.0</v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>
      <c r="A29" s="23">
        <v>43579.0</v>
      </c>
      <c r="B29" s="25">
        <v>20.0</v>
      </c>
      <c r="C29" s="47">
        <f>IFERROR(__xludf.DUMMYFUNCTION("""COMPUTED_VALUE"""),0.0)</f>
        <v>0</v>
      </c>
      <c r="D29" s="47">
        <f>IFERROR(__xludf.DUMMYFUNCTION("""COMPUTED_VALUE"""),10.0)</f>
        <v>10</v>
      </c>
      <c r="E29" s="25">
        <v>9.0</v>
      </c>
      <c r="F29" s="47">
        <f>IFERROR(__xludf.DUMMYFUNCTION("""COMPUTED_VALUE"""),8.0)</f>
        <v>8</v>
      </c>
      <c r="G29" s="47">
        <f>IFERROR(__xludf.DUMMYFUNCTION("""COMPUTED_VALUE"""),0.0)</f>
        <v>0</v>
      </c>
      <c r="H29" s="60">
        <f>IFERROR(__xludf.DUMMYFUNCTION("""COMPUTED_VALUE"""),0.0)</f>
        <v>0</v>
      </c>
      <c r="I29" s="47">
        <f>IFERROR(__xludf.DUMMYFUNCTION("""COMPUTED_VALUE"""),0.0)</f>
        <v>0</v>
      </c>
      <c r="J29" s="61">
        <f>IFERROR(__xludf.DUMMYFUNCTION("""COMPUTED_VALUE"""),0.0)</f>
        <v>0</v>
      </c>
      <c r="K29" s="62">
        <f>IFERROR(__xludf.DUMMYFUNCTION("""COMPUTED_VALUE"""),0.0)</f>
        <v>0</v>
      </c>
      <c r="L29" s="61">
        <f>IFERROR(__xludf.DUMMYFUNCTION("""COMPUTED_VALUE"""),0.0)</f>
        <v>0</v>
      </c>
      <c r="M29" s="36">
        <v>0.0</v>
      </c>
      <c r="N29" s="25"/>
      <c r="O29" s="25">
        <v>3.0</v>
      </c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>
      <c r="A30" s="23">
        <v>43580.0</v>
      </c>
      <c r="B30" s="25">
        <v>0.0</v>
      </c>
      <c r="C30" s="47">
        <f>IFERROR(__xludf.DUMMYFUNCTION("""COMPUTED_VALUE"""),20.0)</f>
        <v>20</v>
      </c>
      <c r="D30" s="47">
        <f>IFERROR(__xludf.DUMMYFUNCTION("""COMPUTED_VALUE"""),1.0)</f>
        <v>1</v>
      </c>
      <c r="E30" s="25">
        <v>5.0</v>
      </c>
      <c r="F30" s="47">
        <f>IFERROR(__xludf.DUMMYFUNCTION("""COMPUTED_VALUE"""),5.0)</f>
        <v>5</v>
      </c>
      <c r="G30" s="47">
        <f>IFERROR(__xludf.DUMMYFUNCTION("""COMPUTED_VALUE"""),0.0)</f>
        <v>0</v>
      </c>
      <c r="H30" s="60">
        <f>IFERROR(__xludf.DUMMYFUNCTION("""COMPUTED_VALUE"""),0.0)</f>
        <v>0</v>
      </c>
      <c r="I30" s="47">
        <f>IFERROR(__xludf.DUMMYFUNCTION("""COMPUTED_VALUE"""),0.0)</f>
        <v>0</v>
      </c>
      <c r="J30" s="61">
        <f>IFERROR(__xludf.DUMMYFUNCTION("""COMPUTED_VALUE"""),0.0)</f>
        <v>0</v>
      </c>
      <c r="K30" s="62">
        <f>IFERROR(__xludf.DUMMYFUNCTION("""COMPUTED_VALUE"""),0.0)</f>
        <v>0</v>
      </c>
      <c r="L30" s="61">
        <f>IFERROR(__xludf.DUMMYFUNCTION("""COMPUTED_VALUE"""),0.0)</f>
        <v>0</v>
      </c>
      <c r="M30" s="36">
        <v>0.0</v>
      </c>
      <c r="N30" s="25"/>
      <c r="O30" s="25">
        <v>3.0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>
      <c r="A31" s="23">
        <v>43581.0</v>
      </c>
      <c r="B31" s="25">
        <v>0.0</v>
      </c>
      <c r="C31" s="47">
        <f>IFERROR(__xludf.DUMMYFUNCTION("""COMPUTED_VALUE"""),0.0)</f>
        <v>0</v>
      </c>
      <c r="D31" s="47">
        <f>IFERROR(__xludf.DUMMYFUNCTION("""COMPUTED_VALUE"""),7.0)</f>
        <v>7</v>
      </c>
      <c r="E31" s="25">
        <v>1.0</v>
      </c>
      <c r="F31" s="47">
        <f>IFERROR(__xludf.DUMMYFUNCTION("""COMPUTED_VALUE"""),8.0)</f>
        <v>8</v>
      </c>
      <c r="G31" s="47">
        <f>IFERROR(__xludf.DUMMYFUNCTION("""COMPUTED_VALUE"""),3.0)</f>
        <v>3</v>
      </c>
      <c r="H31" s="60">
        <f>IFERROR(__xludf.DUMMYFUNCTION("""COMPUTED_VALUE"""),493739.72)</f>
        <v>493739.72</v>
      </c>
      <c r="I31" s="47">
        <f>IFERROR(__xludf.DUMMYFUNCTION("""COMPUTED_VALUE"""),1.0)</f>
        <v>1</v>
      </c>
      <c r="J31" s="61">
        <f>IFERROR(__xludf.DUMMYFUNCTION("""COMPUTED_VALUE"""),310200.0)</f>
        <v>310200</v>
      </c>
      <c r="K31" s="62">
        <f>IFERROR(__xludf.DUMMYFUNCTION("""COMPUTED_VALUE"""),0.0)</f>
        <v>0</v>
      </c>
      <c r="L31" s="61">
        <f>IFERROR(__xludf.DUMMYFUNCTION("""COMPUTED_VALUE"""),0.0)</f>
        <v>0</v>
      </c>
      <c r="M31" s="36">
        <v>110000.0</v>
      </c>
      <c r="N31" s="25">
        <f>33000+52000+19000</f>
        <v>104000</v>
      </c>
      <c r="O31" s="25">
        <v>3.0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>
      <c r="A32" s="49">
        <v>43582.0</v>
      </c>
      <c r="B32" s="50">
        <v>0.0</v>
      </c>
      <c r="C32" s="52" t="str">
        <f>IFERROR(__xludf.DUMMYFUNCTION("""COMPUTED_VALUE"""),"")</f>
        <v/>
      </c>
      <c r="D32" s="52">
        <f>IFERROR(__xludf.DUMMYFUNCTION("""COMPUTED_VALUE"""),2.0)</f>
        <v>2</v>
      </c>
      <c r="E32" s="50">
        <v>0.0</v>
      </c>
      <c r="F32" s="52" t="str">
        <f>IFERROR(__xludf.DUMMYFUNCTION("""COMPUTED_VALUE"""),"")</f>
        <v/>
      </c>
      <c r="G32" s="52" t="str">
        <f>IFERROR(__xludf.DUMMYFUNCTION("""COMPUTED_VALUE"""),"")</f>
        <v/>
      </c>
      <c r="H32" s="53" t="str">
        <f>IFERROR(__xludf.DUMMYFUNCTION("""COMPUTED_VALUE"""),"")</f>
        <v/>
      </c>
      <c r="I32" s="52" t="str">
        <f>IFERROR(__xludf.DUMMYFUNCTION("""COMPUTED_VALUE"""),"")</f>
        <v/>
      </c>
      <c r="J32" s="55" t="str">
        <f>IFERROR(__xludf.DUMMYFUNCTION("""COMPUTED_VALUE"""),"")</f>
        <v/>
      </c>
      <c r="K32" s="56" t="str">
        <f>IFERROR(__xludf.DUMMYFUNCTION("""COMPUTED_VALUE"""),"")</f>
        <v/>
      </c>
      <c r="L32" s="55" t="str">
        <f>IFERROR(__xludf.DUMMYFUNCTION("""COMPUTED_VALUE"""),"")</f>
        <v/>
      </c>
      <c r="M32" s="53"/>
      <c r="N32" s="52"/>
      <c r="O32" s="5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>
      <c r="A33" s="49">
        <v>43583.0</v>
      </c>
      <c r="B33" s="50">
        <v>18.0</v>
      </c>
      <c r="C33" s="52" t="str">
        <f>IFERROR(__xludf.DUMMYFUNCTION("""COMPUTED_VALUE"""),"")</f>
        <v/>
      </c>
      <c r="D33" s="52">
        <f>IFERROR(__xludf.DUMMYFUNCTION("""COMPUTED_VALUE"""),2.0)</f>
        <v>2</v>
      </c>
      <c r="E33" s="50">
        <v>5.0</v>
      </c>
      <c r="F33" s="52" t="str">
        <f>IFERROR(__xludf.DUMMYFUNCTION("""COMPUTED_VALUE"""),"")</f>
        <v/>
      </c>
      <c r="G33" s="52" t="str">
        <f>IFERROR(__xludf.DUMMYFUNCTION("""COMPUTED_VALUE"""),"")</f>
        <v/>
      </c>
      <c r="H33" s="53" t="str">
        <f>IFERROR(__xludf.DUMMYFUNCTION("""COMPUTED_VALUE"""),"")</f>
        <v/>
      </c>
      <c r="I33" s="52" t="str">
        <f>IFERROR(__xludf.DUMMYFUNCTION("""COMPUTED_VALUE"""),"")</f>
        <v/>
      </c>
      <c r="J33" s="55" t="str">
        <f>IFERROR(__xludf.DUMMYFUNCTION("""COMPUTED_VALUE"""),"")</f>
        <v/>
      </c>
      <c r="K33" s="56" t="str">
        <f>IFERROR(__xludf.DUMMYFUNCTION("""COMPUTED_VALUE"""),"")</f>
        <v/>
      </c>
      <c r="L33" s="55" t="str">
        <f>IFERROR(__xludf.DUMMYFUNCTION("""COMPUTED_VALUE"""),"")</f>
        <v/>
      </c>
      <c r="M33" s="53"/>
      <c r="N33" s="52"/>
      <c r="O33" s="5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>
      <c r="A34" s="23">
        <v>43584.0</v>
      </c>
      <c r="B34" s="25">
        <v>0.0</v>
      </c>
      <c r="C34" s="47">
        <f>IFERROR(__xludf.DUMMYFUNCTION("""COMPUTED_VALUE"""),0.0)</f>
        <v>0</v>
      </c>
      <c r="D34" s="47">
        <f>IFERROR(__xludf.DUMMYFUNCTION("""COMPUTED_VALUE"""),4.0)</f>
        <v>4</v>
      </c>
      <c r="E34" s="25">
        <v>3.0</v>
      </c>
      <c r="F34" s="47">
        <f>IFERROR(__xludf.DUMMYFUNCTION("""COMPUTED_VALUE"""),3.0)</f>
        <v>3</v>
      </c>
      <c r="G34" s="47">
        <f>IFERROR(__xludf.DUMMYFUNCTION("""COMPUTED_VALUE"""),2.0)</f>
        <v>2</v>
      </c>
      <c r="H34" s="60">
        <f>IFERROR(__xludf.DUMMYFUNCTION("""COMPUTED_VALUE"""),203790.95)</f>
        <v>203790.95</v>
      </c>
      <c r="I34" s="47">
        <f>IFERROR(__xludf.DUMMYFUNCTION("""COMPUTED_VALUE"""),2.0)</f>
        <v>2</v>
      </c>
      <c r="J34" s="61" t="str">
        <f>IFERROR(__xludf.DUMMYFUNCTION("""COMPUTED_VALUE""")," ")</f>
        <v> </v>
      </c>
      <c r="K34" s="62">
        <f>IFERROR(__xludf.DUMMYFUNCTION("""COMPUTED_VALUE"""),0.0)</f>
        <v>0</v>
      </c>
      <c r="L34" s="61">
        <f>IFERROR(__xludf.DUMMYFUNCTION("""COMPUTED_VALUE"""),0.0)</f>
        <v>0</v>
      </c>
      <c r="M34" s="36">
        <v>55000.0</v>
      </c>
      <c r="N34" s="25">
        <f>12000+44000</f>
        <v>56000</v>
      </c>
      <c r="O34" s="25">
        <v>3.0</v>
      </c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>
      <c r="A35" s="23">
        <v>43585.0</v>
      </c>
      <c r="B35" s="47"/>
      <c r="C35" s="47">
        <f>IFERROR(__xludf.DUMMYFUNCTION("""COMPUTED_VALUE"""),16.0)</f>
        <v>16</v>
      </c>
      <c r="D35" s="47">
        <f>IFERROR(__xludf.DUMMYFUNCTION("""COMPUTED_VALUE"""),4.0)</f>
        <v>4</v>
      </c>
      <c r="E35" s="47"/>
      <c r="F35" s="47">
        <f>IFERROR(__xludf.DUMMYFUNCTION("""COMPUTED_VALUE"""),1.0)</f>
        <v>1</v>
      </c>
      <c r="G35" s="47">
        <f>IFERROR(__xludf.DUMMYFUNCTION("""COMPUTED_VALUE"""),0.0)</f>
        <v>0</v>
      </c>
      <c r="H35" s="60">
        <f>IFERROR(__xludf.DUMMYFUNCTION("""COMPUTED_VALUE"""),0.0)</f>
        <v>0</v>
      </c>
      <c r="I35" s="47">
        <f>IFERROR(__xludf.DUMMYFUNCTION("""COMPUTED_VALUE"""),0.0)</f>
        <v>0</v>
      </c>
      <c r="J35" s="61">
        <f>IFERROR(__xludf.DUMMYFUNCTION("""COMPUTED_VALUE"""),0.0)</f>
        <v>0</v>
      </c>
      <c r="K35" s="62">
        <f>IFERROR(__xludf.DUMMYFUNCTION("""COMPUTED_VALUE"""),1.0)</f>
        <v>1</v>
      </c>
      <c r="L35" s="61">
        <f>IFERROR(__xludf.DUMMYFUNCTION("""COMPUTED_VALUE"""),788527.1)</f>
        <v>788527.1</v>
      </c>
      <c r="M35" s="60"/>
      <c r="N35" s="47"/>
      <c r="O35" s="47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>
      <c r="A36" s="5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>
      <c r="A37" s="5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>
      <c r="A38" s="5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>
      <c r="A39" s="5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>
      <c r="A40" s="5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>
      <c r="A41" s="5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>
      <c r="A42" s="5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>
      <c r="A43" s="5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>
      <c r="A44" s="5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>
      <c r="A45" s="5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>
      <c r="A46" s="5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>
      <c r="A59" s="5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>
      <c r="A63" s="5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>
      <c r="A64" s="5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>
      <c r="A65" s="5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>
      <c r="A66" s="5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>
      <c r="A67" s="5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</row>
    <row r="81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>
      <c r="A87" s="5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>
      <c r="A88" s="5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</row>
    <row r="91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</row>
    <row r="99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</row>
    <row r="100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</row>
    <row r="101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</row>
    <row r="102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</row>
    <row r="103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</row>
    <row r="104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</row>
    <row r="105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</row>
    <row r="106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</row>
    <row r="107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</row>
    <row r="108">
      <c r="A108" s="5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</row>
    <row r="109">
      <c r="A109" s="5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</row>
    <row r="110">
      <c r="A110" s="5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</row>
    <row r="111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</row>
    <row r="112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</row>
    <row r="113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</row>
    <row r="114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</row>
    <row r="115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</row>
    <row r="116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</row>
    <row r="117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</row>
    <row r="118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</row>
    <row r="119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</row>
    <row r="120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</row>
    <row r="121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</row>
    <row r="122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</row>
    <row r="123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</row>
    <row r="124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</row>
    <row r="125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</row>
    <row r="126">
      <c r="A126" s="5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</row>
    <row r="127">
      <c r="A127" s="5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</row>
    <row r="128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</row>
    <row r="129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</row>
    <row r="130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</row>
    <row r="131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</row>
    <row r="132">
      <c r="A132" s="5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</row>
    <row r="133">
      <c r="A133" s="5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</row>
    <row r="134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</row>
    <row r="135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</row>
    <row r="136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</row>
    <row r="137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</row>
    <row r="138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</row>
    <row r="139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</row>
    <row r="140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</row>
    <row r="141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</row>
    <row r="142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</row>
    <row r="143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</row>
    <row r="144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</row>
    <row r="145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</row>
    <row r="146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</row>
    <row r="147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</row>
    <row r="148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</row>
    <row r="149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</row>
    <row r="150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</row>
    <row r="151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</row>
    <row r="152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</row>
    <row r="153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</row>
    <row r="154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</row>
    <row r="155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</row>
    <row r="156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</row>
    <row r="157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</row>
    <row r="158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</row>
    <row r="159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</row>
    <row r="160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</row>
    <row r="161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</row>
    <row r="162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</row>
    <row r="163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</row>
    <row r="164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</row>
    <row r="165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</row>
    <row r="166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</row>
    <row r="167">
      <c r="A167" s="5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</row>
    <row r="168">
      <c r="A168" s="5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</row>
    <row r="169">
      <c r="A169" s="5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</row>
    <row r="170">
      <c r="A170" s="5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</row>
    <row r="171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</row>
    <row r="172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</row>
    <row r="173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</row>
    <row r="174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</row>
    <row r="175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</row>
    <row r="176">
      <c r="A176" s="5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</row>
    <row r="177">
      <c r="A177" s="5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</row>
    <row r="178">
      <c r="A178" s="5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</row>
    <row r="179">
      <c r="A179" s="5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</row>
    <row r="180">
      <c r="A180" s="5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</row>
    <row r="181">
      <c r="A181" s="5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</row>
    <row r="182">
      <c r="A182" s="5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</row>
    <row r="183">
      <c r="A183" s="5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</row>
    <row r="184">
      <c r="A184" s="5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</row>
    <row r="185">
      <c r="A185" s="5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</row>
    <row r="186">
      <c r="A186" s="5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</row>
    <row r="187">
      <c r="A187" s="5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</row>
    <row r="188">
      <c r="A188" s="5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</row>
    <row r="189">
      <c r="A189" s="5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</row>
    <row r="190">
      <c r="A190" s="5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</row>
    <row r="191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</row>
    <row r="192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</row>
    <row r="193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</row>
    <row r="194">
      <c r="A194" s="5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</row>
    <row r="195">
      <c r="A195" s="5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</row>
    <row r="196">
      <c r="A196" s="5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</row>
    <row r="197">
      <c r="A197" s="5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</row>
    <row r="198">
      <c r="A198" s="5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</row>
    <row r="199">
      <c r="A199" s="5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</row>
    <row r="200">
      <c r="A200" s="5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</row>
    <row r="201">
      <c r="A201" s="5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</row>
    <row r="202">
      <c r="A202" s="5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</row>
    <row r="203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</row>
    <row r="204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</row>
    <row r="205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</row>
    <row r="206">
      <c r="A206" s="5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</row>
    <row r="207">
      <c r="A207" s="5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</row>
    <row r="208">
      <c r="A208" s="5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</row>
    <row r="209">
      <c r="A209" s="5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</row>
    <row r="210">
      <c r="A210" s="5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</row>
    <row r="211">
      <c r="A211" s="5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</row>
    <row r="212">
      <c r="A212" s="5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</row>
    <row r="213">
      <c r="A213" s="5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</row>
    <row r="214">
      <c r="A214" s="5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</row>
    <row r="215">
      <c r="A215" s="5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</row>
    <row r="216">
      <c r="A216" s="5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</row>
    <row r="217">
      <c r="A217" s="5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</row>
    <row r="218">
      <c r="A218" s="5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</row>
    <row r="219">
      <c r="A219" s="5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</row>
    <row r="220">
      <c r="A220" s="5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</row>
    <row r="221">
      <c r="A221" s="5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</row>
    <row r="222">
      <c r="A222" s="5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</row>
    <row r="223">
      <c r="A223" s="5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</row>
    <row r="224">
      <c r="A224" s="5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</row>
    <row r="225">
      <c r="A225" s="5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</row>
    <row r="226">
      <c r="A226" s="5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</row>
    <row r="227">
      <c r="A227" s="5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</row>
    <row r="228">
      <c r="A228" s="5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</row>
    <row r="229">
      <c r="A229" s="5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</row>
    <row r="230">
      <c r="A230" s="5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</row>
    <row r="231">
      <c r="A231" s="5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</row>
    <row r="232">
      <c r="A232" s="5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</row>
    <row r="233">
      <c r="A233" s="5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</row>
    <row r="234">
      <c r="A234" s="5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</row>
    <row r="235">
      <c r="A235" s="5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</row>
    <row r="236">
      <c r="A236" s="5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</row>
    <row r="237">
      <c r="A237" s="5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</row>
    <row r="238">
      <c r="A238" s="5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</row>
    <row r="239">
      <c r="A239" s="5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</row>
    <row r="240">
      <c r="A240" s="5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</row>
    <row r="241">
      <c r="A241" s="5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</row>
    <row r="242">
      <c r="A242" s="5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</row>
    <row r="243">
      <c r="A243" s="5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</row>
    <row r="244">
      <c r="A244" s="5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</row>
    <row r="245">
      <c r="A245" s="5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</row>
    <row r="246">
      <c r="A246" s="5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</row>
    <row r="247">
      <c r="A247" s="5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</row>
    <row r="248">
      <c r="A248" s="5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</row>
    <row r="249">
      <c r="A249" s="5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</row>
    <row r="250">
      <c r="A250" s="5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</row>
    <row r="251">
      <c r="A251" s="5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</row>
    <row r="252">
      <c r="A252" s="5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</row>
    <row r="253">
      <c r="A253" s="5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</row>
    <row r="254">
      <c r="A254" s="5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</row>
    <row r="255">
      <c r="A255" s="5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</row>
    <row r="256">
      <c r="A256" s="5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</row>
    <row r="257">
      <c r="A257" s="5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</row>
    <row r="258">
      <c r="A258" s="5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</row>
    <row r="259">
      <c r="A259" s="5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</row>
    <row r="260">
      <c r="A260" s="5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</row>
    <row r="261">
      <c r="A261" s="5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</row>
    <row r="262">
      <c r="A262" s="5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</row>
    <row r="263">
      <c r="A263" s="5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</row>
    <row r="264">
      <c r="A264" s="5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</row>
    <row r="265">
      <c r="A265" s="5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</row>
    <row r="266">
      <c r="A266" s="5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</row>
    <row r="267">
      <c r="A267" s="5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</row>
    <row r="268">
      <c r="A268" s="5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</row>
    <row r="269">
      <c r="A269" s="5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</row>
    <row r="270">
      <c r="A270" s="5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</row>
    <row r="271">
      <c r="A271" s="5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</row>
    <row r="272">
      <c r="A272" s="5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</row>
    <row r="273">
      <c r="A273" s="5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</row>
    <row r="274">
      <c r="A274" s="5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</row>
    <row r="275">
      <c r="A275" s="5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</row>
    <row r="276">
      <c r="A276" s="5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</row>
    <row r="277">
      <c r="A277" s="5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</row>
    <row r="278">
      <c r="A278" s="5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</row>
    <row r="279">
      <c r="A279" s="5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</row>
    <row r="280">
      <c r="A280" s="5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</row>
    <row r="281">
      <c r="A281" s="5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</row>
    <row r="282">
      <c r="A282" s="5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</row>
    <row r="283">
      <c r="A283" s="5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</row>
    <row r="284">
      <c r="A284" s="5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</row>
    <row r="285">
      <c r="A285" s="5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</row>
    <row r="286">
      <c r="A286" s="5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</row>
    <row r="287">
      <c r="A287" s="5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</row>
    <row r="288">
      <c r="A288" s="5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</row>
    <row r="289">
      <c r="A289" s="5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</row>
    <row r="290">
      <c r="A290" s="5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</row>
    <row r="291">
      <c r="A291" s="5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</row>
    <row r="292">
      <c r="A292" s="5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</row>
    <row r="293">
      <c r="A293" s="5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</row>
    <row r="294">
      <c r="A294" s="5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</row>
    <row r="295">
      <c r="A295" s="5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</row>
    <row r="296">
      <c r="A296" s="5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</row>
    <row r="297">
      <c r="A297" s="5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</row>
    <row r="298">
      <c r="A298" s="5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</row>
    <row r="299">
      <c r="A299" s="5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</row>
    <row r="300">
      <c r="A300" s="5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</row>
    <row r="301">
      <c r="A301" s="5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</row>
    <row r="302">
      <c r="A302" s="5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</row>
    <row r="303">
      <c r="A303" s="5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</row>
    <row r="304">
      <c r="A304" s="5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</row>
    <row r="305">
      <c r="A305" s="5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</row>
    <row r="306">
      <c r="A306" s="5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</row>
    <row r="307">
      <c r="A307" s="5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</row>
    <row r="308">
      <c r="A308" s="5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</row>
    <row r="309">
      <c r="A309" s="5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</row>
    <row r="310">
      <c r="A310" s="5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</row>
    <row r="311">
      <c r="A311" s="5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</row>
    <row r="312">
      <c r="A312" s="5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</row>
    <row r="313">
      <c r="A313" s="5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</row>
    <row r="314">
      <c r="A314" s="5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</row>
    <row r="315">
      <c r="A315" s="5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</row>
    <row r="316">
      <c r="A316" s="5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</row>
    <row r="317">
      <c r="A317" s="5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</row>
    <row r="318">
      <c r="A318" s="5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</row>
    <row r="319">
      <c r="A319" s="5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</row>
    <row r="320">
      <c r="A320" s="5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</row>
    <row r="321">
      <c r="A321" s="5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</row>
    <row r="322">
      <c r="A322" s="5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</row>
    <row r="323">
      <c r="A323" s="5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</row>
    <row r="324">
      <c r="A324" s="5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</row>
    <row r="325">
      <c r="A325" s="5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</row>
    <row r="326">
      <c r="A326" s="5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</row>
    <row r="327">
      <c r="A327" s="5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</row>
    <row r="328">
      <c r="A328" s="5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</row>
    <row r="329">
      <c r="A329" s="5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</row>
    <row r="330">
      <c r="A330" s="5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</row>
    <row r="331">
      <c r="A331" s="5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</row>
    <row r="332">
      <c r="A332" s="5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</row>
    <row r="333">
      <c r="A333" s="5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</row>
    <row r="334">
      <c r="A334" s="5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</row>
    <row r="335">
      <c r="A335" s="5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</row>
    <row r="336">
      <c r="A336" s="5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</row>
    <row r="337">
      <c r="A337" s="5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</row>
    <row r="338">
      <c r="A338" s="5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</row>
    <row r="339">
      <c r="A339" s="5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</row>
    <row r="340">
      <c r="A340" s="5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</row>
    <row r="341">
      <c r="A341" s="5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</row>
    <row r="342">
      <c r="A342" s="5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</row>
    <row r="343">
      <c r="A343" s="5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</row>
    <row r="344">
      <c r="A344" s="5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</row>
    <row r="345">
      <c r="A345" s="5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</row>
    <row r="346">
      <c r="A346" s="5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</row>
    <row r="347">
      <c r="A347" s="5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</row>
    <row r="348">
      <c r="A348" s="5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</row>
    <row r="349">
      <c r="A349" s="5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</row>
    <row r="350">
      <c r="A350" s="5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</row>
    <row r="351">
      <c r="A351" s="5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</row>
    <row r="352">
      <c r="A352" s="5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</row>
    <row r="353">
      <c r="A353" s="5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</row>
    <row r="354">
      <c r="A354" s="5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</row>
    <row r="355">
      <c r="A355" s="5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</row>
    <row r="356">
      <c r="A356" s="5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</row>
    <row r="357">
      <c r="A357" s="5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</row>
    <row r="358">
      <c r="A358" s="5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</row>
    <row r="359">
      <c r="A359" s="5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</row>
    <row r="360">
      <c r="A360" s="5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</row>
    <row r="361">
      <c r="A361" s="5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</row>
    <row r="362">
      <c r="A362" s="5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</row>
    <row r="363">
      <c r="A363" s="5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</row>
    <row r="364">
      <c r="A364" s="5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</row>
    <row r="365">
      <c r="A365" s="5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</row>
    <row r="366">
      <c r="A366" s="5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</row>
    <row r="367">
      <c r="A367" s="5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</row>
    <row r="368">
      <c r="A368" s="5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</row>
    <row r="369">
      <c r="A369" s="5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</row>
    <row r="370">
      <c r="A370" s="5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</row>
    <row r="371">
      <c r="A371" s="5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</row>
    <row r="372">
      <c r="A372" s="5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</row>
    <row r="373">
      <c r="A373" s="5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</row>
    <row r="374">
      <c r="A374" s="5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</row>
    <row r="375">
      <c r="A375" s="5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</row>
    <row r="376">
      <c r="A376" s="5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</row>
    <row r="377">
      <c r="A377" s="5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</row>
    <row r="378">
      <c r="A378" s="5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</row>
    <row r="379">
      <c r="A379" s="5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</row>
    <row r="380">
      <c r="A380" s="5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</row>
    <row r="381">
      <c r="A381" s="5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</row>
    <row r="382">
      <c r="A382" s="5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</row>
    <row r="383">
      <c r="A383" s="5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</row>
    <row r="384">
      <c r="A384" s="5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</row>
    <row r="385">
      <c r="A385" s="5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</row>
    <row r="386">
      <c r="A386" s="5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</row>
    <row r="387">
      <c r="A387" s="5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</row>
    <row r="388">
      <c r="A388" s="5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</row>
    <row r="389">
      <c r="A389" s="5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</row>
    <row r="390">
      <c r="A390" s="5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</row>
    <row r="391">
      <c r="A391" s="5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</row>
    <row r="392">
      <c r="A392" s="5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</row>
    <row r="393">
      <c r="A393" s="5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</row>
    <row r="394">
      <c r="A394" s="5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</row>
    <row r="395">
      <c r="A395" s="5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</row>
    <row r="396">
      <c r="A396" s="5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</row>
    <row r="397">
      <c r="A397" s="5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</row>
    <row r="398">
      <c r="A398" s="5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</row>
    <row r="399">
      <c r="A399" s="5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</row>
    <row r="400">
      <c r="A400" s="5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</row>
    <row r="401">
      <c r="A401" s="5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</row>
    <row r="402">
      <c r="A402" s="5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</row>
    <row r="403">
      <c r="A403" s="5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</row>
    <row r="404">
      <c r="A404" s="5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</row>
    <row r="405">
      <c r="A405" s="5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</row>
    <row r="406">
      <c r="A406" s="5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</row>
    <row r="407">
      <c r="A407" s="5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</row>
    <row r="408">
      <c r="A408" s="5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</row>
    <row r="409">
      <c r="A409" s="5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</row>
    <row r="410">
      <c r="A410" s="5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</row>
    <row r="411">
      <c r="A411" s="5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</row>
    <row r="412">
      <c r="A412" s="5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</row>
    <row r="413">
      <c r="A413" s="5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</row>
    <row r="414">
      <c r="A414" s="5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</row>
    <row r="415">
      <c r="A415" s="5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</row>
    <row r="416">
      <c r="A416" s="5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</row>
    <row r="417">
      <c r="A417" s="5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</row>
    <row r="418">
      <c r="A418" s="5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</row>
    <row r="419">
      <c r="A419" s="5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</row>
    <row r="420">
      <c r="A420" s="5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</row>
    <row r="421">
      <c r="A421" s="5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</row>
    <row r="422">
      <c r="A422" s="5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</row>
    <row r="423">
      <c r="A423" s="5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</row>
    <row r="424">
      <c r="A424" s="5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</row>
    <row r="425">
      <c r="A425" s="5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</row>
    <row r="426">
      <c r="A426" s="5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</row>
    <row r="427">
      <c r="A427" s="5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</row>
    <row r="428">
      <c r="A428" s="5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</row>
    <row r="429">
      <c r="A429" s="5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</row>
    <row r="430">
      <c r="A430" s="5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</row>
    <row r="431">
      <c r="A431" s="5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</row>
    <row r="432">
      <c r="A432" s="5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</row>
    <row r="433">
      <c r="A433" s="5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</row>
    <row r="434">
      <c r="A434" s="5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</row>
    <row r="435">
      <c r="A435" s="5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</row>
    <row r="436">
      <c r="A436" s="5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</row>
    <row r="437">
      <c r="A437" s="5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</row>
    <row r="438">
      <c r="A438" s="5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</row>
    <row r="439">
      <c r="A439" s="5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</row>
    <row r="440">
      <c r="A440" s="5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</row>
    <row r="441">
      <c r="A441" s="5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</row>
    <row r="442">
      <c r="A442" s="5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</row>
    <row r="443">
      <c r="A443" s="5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</row>
    <row r="444">
      <c r="A444" s="5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</row>
    <row r="445">
      <c r="A445" s="5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</row>
    <row r="446">
      <c r="A446" s="5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</row>
    <row r="447">
      <c r="A447" s="5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</row>
    <row r="448">
      <c r="A448" s="5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</row>
    <row r="449">
      <c r="A449" s="5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</row>
    <row r="450">
      <c r="A450" s="5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</row>
    <row r="451">
      <c r="A451" s="5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</row>
    <row r="452">
      <c r="A452" s="5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</row>
    <row r="453">
      <c r="A453" s="5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</row>
    <row r="454">
      <c r="A454" s="5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</row>
    <row r="455">
      <c r="A455" s="5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</row>
    <row r="456">
      <c r="A456" s="5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</row>
    <row r="457">
      <c r="A457" s="5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</row>
    <row r="458">
      <c r="A458" s="5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</row>
    <row r="459">
      <c r="A459" s="5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</row>
    <row r="460">
      <c r="A460" s="5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</row>
    <row r="461">
      <c r="A461" s="5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</row>
    <row r="462">
      <c r="A462" s="5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</row>
    <row r="463">
      <c r="A463" s="5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</row>
    <row r="464">
      <c r="A464" s="5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</row>
    <row r="465">
      <c r="A465" s="5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</row>
    <row r="466">
      <c r="A466" s="5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</row>
    <row r="467">
      <c r="A467" s="5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</row>
    <row r="468">
      <c r="A468" s="5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</row>
    <row r="469">
      <c r="A469" s="5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</row>
    <row r="470">
      <c r="A470" s="5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</row>
    <row r="471">
      <c r="A471" s="5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</row>
    <row r="472">
      <c r="A472" s="5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</row>
    <row r="473">
      <c r="A473" s="5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</row>
    <row r="474">
      <c r="A474" s="5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</row>
    <row r="475">
      <c r="A475" s="5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</row>
    <row r="476">
      <c r="A476" s="5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</row>
    <row r="477">
      <c r="A477" s="5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</row>
    <row r="478">
      <c r="A478" s="5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</row>
    <row r="479">
      <c r="A479" s="5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</row>
    <row r="480">
      <c r="A480" s="5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</row>
    <row r="481">
      <c r="A481" s="5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</row>
    <row r="482">
      <c r="A482" s="5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</row>
    <row r="483">
      <c r="A483" s="5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</row>
    <row r="484">
      <c r="A484" s="5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</row>
    <row r="485">
      <c r="A485" s="5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</row>
    <row r="486">
      <c r="A486" s="5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</row>
    <row r="487">
      <c r="A487" s="5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</row>
    <row r="488">
      <c r="A488" s="5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</row>
    <row r="489">
      <c r="A489" s="5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</row>
    <row r="490">
      <c r="A490" s="5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</row>
    <row r="491">
      <c r="A491" s="5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</row>
    <row r="492">
      <c r="A492" s="5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</row>
    <row r="493">
      <c r="A493" s="5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</row>
    <row r="494">
      <c r="A494" s="5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</row>
    <row r="495">
      <c r="A495" s="5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</row>
    <row r="496">
      <c r="A496" s="5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</row>
    <row r="497">
      <c r="A497" s="5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</row>
    <row r="498">
      <c r="A498" s="5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</row>
    <row r="499">
      <c r="A499" s="5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</row>
    <row r="500">
      <c r="A500" s="5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</row>
    <row r="501">
      <c r="A501" s="5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</row>
    <row r="502">
      <c r="A502" s="5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</row>
    <row r="503">
      <c r="A503" s="5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</row>
    <row r="504">
      <c r="A504" s="5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</row>
    <row r="505">
      <c r="A505" s="5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</row>
    <row r="506">
      <c r="A506" s="5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</row>
    <row r="507">
      <c r="A507" s="5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</row>
    <row r="508">
      <c r="A508" s="5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</row>
    <row r="509">
      <c r="A509" s="5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</row>
    <row r="510">
      <c r="A510" s="5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</row>
    <row r="511">
      <c r="A511" s="5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</row>
    <row r="512">
      <c r="A512" s="5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</row>
    <row r="513">
      <c r="A513" s="5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</row>
    <row r="514">
      <c r="A514" s="5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</row>
    <row r="515">
      <c r="A515" s="5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</row>
    <row r="516">
      <c r="A516" s="5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</row>
    <row r="517">
      <c r="A517" s="5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</row>
    <row r="518">
      <c r="A518" s="5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</row>
    <row r="519">
      <c r="A519" s="5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</row>
    <row r="520">
      <c r="A520" s="5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</row>
    <row r="521">
      <c r="A521" s="5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</row>
    <row r="522">
      <c r="A522" s="5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</row>
    <row r="523">
      <c r="A523" s="5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</row>
    <row r="524">
      <c r="A524" s="5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</row>
    <row r="525">
      <c r="A525" s="5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</row>
    <row r="526">
      <c r="A526" s="5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</row>
    <row r="527">
      <c r="A527" s="5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</row>
    <row r="528">
      <c r="A528" s="5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</row>
    <row r="529">
      <c r="A529" s="5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</row>
    <row r="530">
      <c r="A530" s="5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</row>
    <row r="531">
      <c r="A531" s="5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</row>
    <row r="532">
      <c r="A532" s="5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</row>
    <row r="533">
      <c r="A533" s="5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</row>
    <row r="534">
      <c r="A534" s="5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</row>
    <row r="535">
      <c r="A535" s="5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</row>
    <row r="536">
      <c r="A536" s="5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</row>
    <row r="537">
      <c r="A537" s="5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</row>
    <row r="538">
      <c r="A538" s="5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</row>
    <row r="539">
      <c r="A539" s="5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</row>
    <row r="540">
      <c r="A540" s="5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</row>
    <row r="541">
      <c r="A541" s="5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</row>
    <row r="542">
      <c r="A542" s="5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</row>
    <row r="543">
      <c r="A543" s="5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</row>
    <row r="544">
      <c r="A544" s="5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</row>
    <row r="545">
      <c r="A545" s="5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</row>
    <row r="546">
      <c r="A546" s="5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</row>
    <row r="547">
      <c r="A547" s="5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</row>
    <row r="548">
      <c r="A548" s="5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</row>
    <row r="549">
      <c r="A549" s="5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</row>
    <row r="550">
      <c r="A550" s="5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</row>
    <row r="551">
      <c r="A551" s="5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</row>
    <row r="552">
      <c r="A552" s="5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</row>
    <row r="553">
      <c r="A553" s="5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</row>
    <row r="554">
      <c r="A554" s="5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</row>
    <row r="555">
      <c r="A555" s="5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</row>
    <row r="556">
      <c r="A556" s="5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</row>
    <row r="557">
      <c r="A557" s="5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</row>
    <row r="558">
      <c r="A558" s="5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</row>
    <row r="559">
      <c r="A559" s="5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</row>
    <row r="560">
      <c r="A560" s="5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</row>
    <row r="561">
      <c r="A561" s="5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</row>
    <row r="562">
      <c r="A562" s="5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</row>
    <row r="563">
      <c r="A563" s="5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</row>
    <row r="564">
      <c r="A564" s="5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</row>
    <row r="565">
      <c r="A565" s="5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</row>
    <row r="566">
      <c r="A566" s="5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</row>
    <row r="567">
      <c r="A567" s="5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</row>
    <row r="568">
      <c r="A568" s="5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</row>
    <row r="569">
      <c r="A569" s="5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</row>
    <row r="570">
      <c r="A570" s="5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</row>
    <row r="571">
      <c r="A571" s="5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</row>
    <row r="572">
      <c r="A572" s="5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</row>
    <row r="573">
      <c r="A573" s="5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</row>
    <row r="574">
      <c r="A574" s="5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</row>
    <row r="575">
      <c r="A575" s="5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</row>
    <row r="576">
      <c r="A576" s="5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</row>
    <row r="577">
      <c r="A577" s="5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</row>
    <row r="578">
      <c r="A578" s="5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</row>
    <row r="579">
      <c r="A579" s="5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</row>
    <row r="580">
      <c r="A580" s="5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</row>
    <row r="581">
      <c r="A581" s="5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</row>
    <row r="582">
      <c r="A582" s="5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</row>
    <row r="583">
      <c r="A583" s="5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</row>
    <row r="584">
      <c r="A584" s="5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</row>
    <row r="585">
      <c r="A585" s="5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</row>
    <row r="586">
      <c r="A586" s="5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</row>
    <row r="587">
      <c r="A587" s="5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</row>
    <row r="588">
      <c r="A588" s="5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</row>
    <row r="589">
      <c r="A589" s="5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</row>
    <row r="590">
      <c r="A590" s="5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</row>
    <row r="591">
      <c r="A591" s="5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</row>
    <row r="592">
      <c r="A592" s="5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</row>
    <row r="593">
      <c r="A593" s="5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</row>
    <row r="594">
      <c r="A594" s="5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</row>
    <row r="595">
      <c r="A595" s="5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</row>
    <row r="596">
      <c r="A596" s="5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</row>
    <row r="597">
      <c r="A597" s="5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</row>
    <row r="598">
      <c r="A598" s="5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</row>
    <row r="599">
      <c r="A599" s="5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</row>
    <row r="600">
      <c r="A600" s="5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</row>
    <row r="601">
      <c r="A601" s="5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</row>
    <row r="602">
      <c r="A602" s="5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</row>
    <row r="603">
      <c r="A603" s="5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</row>
    <row r="604">
      <c r="A604" s="5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</row>
    <row r="605">
      <c r="A605" s="5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</row>
    <row r="606">
      <c r="A606" s="5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</row>
    <row r="607">
      <c r="A607" s="5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</row>
    <row r="608">
      <c r="A608" s="5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</row>
    <row r="609">
      <c r="A609" s="5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</row>
    <row r="610">
      <c r="A610" s="5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</row>
    <row r="611">
      <c r="A611" s="5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</row>
    <row r="612">
      <c r="A612" s="5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</row>
    <row r="613">
      <c r="A613" s="5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</row>
    <row r="614">
      <c r="A614" s="5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</row>
    <row r="615">
      <c r="A615" s="5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</row>
    <row r="616">
      <c r="A616" s="5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</row>
    <row r="617">
      <c r="A617" s="5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</row>
    <row r="618">
      <c r="A618" s="5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</row>
    <row r="619">
      <c r="A619" s="5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</row>
    <row r="620">
      <c r="A620" s="5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</row>
    <row r="621">
      <c r="A621" s="5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</row>
    <row r="622">
      <c r="A622" s="5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</row>
    <row r="623">
      <c r="A623" s="5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</row>
    <row r="624">
      <c r="A624" s="5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</row>
    <row r="625">
      <c r="A625" s="5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</row>
    <row r="626">
      <c r="A626" s="5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</row>
    <row r="627">
      <c r="A627" s="5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</row>
    <row r="628">
      <c r="A628" s="5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</row>
    <row r="629">
      <c r="A629" s="5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</row>
    <row r="630">
      <c r="A630" s="5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</row>
    <row r="631">
      <c r="A631" s="5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</row>
    <row r="632">
      <c r="A632" s="5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</row>
    <row r="633">
      <c r="A633" s="5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</row>
    <row r="634">
      <c r="A634" s="5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</row>
    <row r="635">
      <c r="A635" s="5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</row>
    <row r="636">
      <c r="A636" s="5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</row>
    <row r="637">
      <c r="A637" s="5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</row>
    <row r="638">
      <c r="A638" s="5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</row>
    <row r="639">
      <c r="A639" s="5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</row>
    <row r="640">
      <c r="A640" s="5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</row>
    <row r="641">
      <c r="A641" s="5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</row>
    <row r="642">
      <c r="A642" s="5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</row>
    <row r="643">
      <c r="A643" s="5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</row>
    <row r="644">
      <c r="A644" s="5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</row>
    <row r="645">
      <c r="A645" s="5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</row>
    <row r="646">
      <c r="A646" s="5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</row>
    <row r="647">
      <c r="A647" s="5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</row>
    <row r="648">
      <c r="A648" s="5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</row>
    <row r="649">
      <c r="A649" s="5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</row>
    <row r="650">
      <c r="A650" s="5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</row>
    <row r="651">
      <c r="A651" s="5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</row>
    <row r="652">
      <c r="A652" s="5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</row>
    <row r="653">
      <c r="A653" s="5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</row>
    <row r="654">
      <c r="A654" s="5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</row>
    <row r="655">
      <c r="A655" s="5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</row>
    <row r="656">
      <c r="A656" s="5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</row>
    <row r="657">
      <c r="A657" s="5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</row>
    <row r="658">
      <c r="A658" s="5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</row>
    <row r="659">
      <c r="A659" s="5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</row>
    <row r="660">
      <c r="A660" s="5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</row>
    <row r="661">
      <c r="A661" s="5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</row>
    <row r="662">
      <c r="A662" s="5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</row>
    <row r="663">
      <c r="A663" s="5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</row>
    <row r="664">
      <c r="A664" s="5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</row>
    <row r="665">
      <c r="A665" s="5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</row>
    <row r="666">
      <c r="A666" s="5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</row>
    <row r="667">
      <c r="A667" s="5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</row>
    <row r="668">
      <c r="A668" s="5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</row>
    <row r="669">
      <c r="A669" s="5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</row>
    <row r="670">
      <c r="A670" s="5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</row>
    <row r="671">
      <c r="A671" s="5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</row>
    <row r="672">
      <c r="A672" s="5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</row>
    <row r="673">
      <c r="A673" s="5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</row>
    <row r="674">
      <c r="A674" s="5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</row>
    <row r="675">
      <c r="A675" s="5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</row>
    <row r="676">
      <c r="A676" s="5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</row>
    <row r="677">
      <c r="A677" s="5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</row>
    <row r="678">
      <c r="A678" s="5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</row>
    <row r="679">
      <c r="A679" s="5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</row>
    <row r="680">
      <c r="A680" s="5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</row>
    <row r="681">
      <c r="A681" s="5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</row>
    <row r="682">
      <c r="A682" s="5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</row>
    <row r="683">
      <c r="A683" s="5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</row>
    <row r="684">
      <c r="A684" s="5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</row>
    <row r="685">
      <c r="A685" s="5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</row>
    <row r="686">
      <c r="A686" s="5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</row>
    <row r="687">
      <c r="A687" s="5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</row>
    <row r="688">
      <c r="A688" s="5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</row>
    <row r="689">
      <c r="A689" s="5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</row>
    <row r="690">
      <c r="A690" s="5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</row>
    <row r="691">
      <c r="A691" s="5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</row>
    <row r="692">
      <c r="A692" s="5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</row>
    <row r="693">
      <c r="A693" s="5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</row>
    <row r="694">
      <c r="A694" s="5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</row>
    <row r="695">
      <c r="A695" s="5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</row>
    <row r="696">
      <c r="A696" s="5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</row>
    <row r="697">
      <c r="A697" s="5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</row>
    <row r="698">
      <c r="A698" s="5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</row>
    <row r="699">
      <c r="A699" s="5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</row>
    <row r="700">
      <c r="A700" s="5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</row>
    <row r="701">
      <c r="A701" s="5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</row>
    <row r="702">
      <c r="A702" s="5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</row>
    <row r="703">
      <c r="A703" s="5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</row>
    <row r="704">
      <c r="A704" s="5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</row>
    <row r="705">
      <c r="A705" s="5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</row>
    <row r="706">
      <c r="A706" s="5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</row>
    <row r="707">
      <c r="A707" s="5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</row>
    <row r="708">
      <c r="A708" s="5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</row>
    <row r="709">
      <c r="A709" s="5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</row>
    <row r="710">
      <c r="A710" s="5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</row>
    <row r="711">
      <c r="A711" s="5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</row>
    <row r="712">
      <c r="A712" s="5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</row>
    <row r="713">
      <c r="A713" s="5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</row>
    <row r="714">
      <c r="A714" s="5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</row>
    <row r="715">
      <c r="A715" s="5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</row>
    <row r="716">
      <c r="A716" s="5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</row>
    <row r="717">
      <c r="A717" s="5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</row>
    <row r="718">
      <c r="A718" s="5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</row>
    <row r="719">
      <c r="A719" s="5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</row>
    <row r="720">
      <c r="A720" s="5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</row>
    <row r="721">
      <c r="A721" s="5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</row>
    <row r="722">
      <c r="A722" s="5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</row>
    <row r="723">
      <c r="A723" s="5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</row>
    <row r="724">
      <c r="A724" s="5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</row>
    <row r="725">
      <c r="A725" s="5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</row>
    <row r="726">
      <c r="A726" s="5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</row>
    <row r="727">
      <c r="A727" s="5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</row>
    <row r="728">
      <c r="A728" s="5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</row>
    <row r="729">
      <c r="A729" s="5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</row>
    <row r="730">
      <c r="A730" s="5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</row>
    <row r="731">
      <c r="A731" s="5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</row>
    <row r="732">
      <c r="A732" s="5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</row>
    <row r="733">
      <c r="A733" s="5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</row>
    <row r="734">
      <c r="A734" s="5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</row>
    <row r="735">
      <c r="A735" s="5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</row>
    <row r="736">
      <c r="A736" s="5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</row>
    <row r="737">
      <c r="A737" s="5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</row>
    <row r="738">
      <c r="A738" s="5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</row>
    <row r="739">
      <c r="A739" s="5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</row>
    <row r="740">
      <c r="A740" s="5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</row>
    <row r="741">
      <c r="A741" s="5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</row>
    <row r="742">
      <c r="A742" s="5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</row>
    <row r="743">
      <c r="A743" s="5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</row>
    <row r="744">
      <c r="A744" s="5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</row>
    <row r="745">
      <c r="A745" s="5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</row>
    <row r="746">
      <c r="A746" s="5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</row>
    <row r="747">
      <c r="A747" s="5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</row>
    <row r="748">
      <c r="A748" s="5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</row>
    <row r="749">
      <c r="A749" s="5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</row>
    <row r="750">
      <c r="A750" s="5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</row>
    <row r="751">
      <c r="A751" s="5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</row>
    <row r="752">
      <c r="A752" s="5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</row>
    <row r="753">
      <c r="A753" s="5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</row>
    <row r="754">
      <c r="A754" s="5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</row>
    <row r="755">
      <c r="A755" s="5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</row>
    <row r="756">
      <c r="A756" s="5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</row>
    <row r="757">
      <c r="A757" s="5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</row>
    <row r="758">
      <c r="A758" s="5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</row>
    <row r="759">
      <c r="A759" s="5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</row>
    <row r="760">
      <c r="A760" s="5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</row>
    <row r="761">
      <c r="A761" s="5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</row>
    <row r="762">
      <c r="A762" s="5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</row>
    <row r="763">
      <c r="A763" s="5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</row>
    <row r="764">
      <c r="A764" s="5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</row>
    <row r="765">
      <c r="A765" s="5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</row>
    <row r="766">
      <c r="A766" s="5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</row>
    <row r="767">
      <c r="A767" s="5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</row>
    <row r="768">
      <c r="A768" s="5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</row>
    <row r="769">
      <c r="A769" s="5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</row>
    <row r="770">
      <c r="A770" s="5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</row>
    <row r="771">
      <c r="A771" s="5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</row>
    <row r="772">
      <c r="A772" s="5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</row>
    <row r="773">
      <c r="A773" s="5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</row>
    <row r="774">
      <c r="A774" s="5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</row>
    <row r="775">
      <c r="A775" s="5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</row>
    <row r="776">
      <c r="A776" s="5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</row>
    <row r="777">
      <c r="A777" s="5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</row>
    <row r="778">
      <c r="A778" s="5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</row>
    <row r="779">
      <c r="A779" s="5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</row>
    <row r="780">
      <c r="A780" s="5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</row>
    <row r="781">
      <c r="A781" s="5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</row>
    <row r="782">
      <c r="A782" s="5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</row>
    <row r="783">
      <c r="A783" s="5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</row>
    <row r="784">
      <c r="A784" s="5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</row>
    <row r="785">
      <c r="A785" s="5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</row>
    <row r="786">
      <c r="A786" s="5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</row>
    <row r="787">
      <c r="A787" s="5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</row>
    <row r="788">
      <c r="A788" s="5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</row>
    <row r="789">
      <c r="A789" s="5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</row>
    <row r="790">
      <c r="A790" s="5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</row>
    <row r="791">
      <c r="A791" s="5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</row>
    <row r="792">
      <c r="A792" s="5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</row>
    <row r="793">
      <c r="A793" s="5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</row>
    <row r="794">
      <c r="A794" s="5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</row>
    <row r="795">
      <c r="A795" s="5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</row>
    <row r="796">
      <c r="A796" s="5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</row>
    <row r="797">
      <c r="A797" s="5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</row>
    <row r="798">
      <c r="A798" s="5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</row>
    <row r="799">
      <c r="A799" s="5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</row>
    <row r="800">
      <c r="A800" s="5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</row>
    <row r="801">
      <c r="A801" s="5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</row>
    <row r="802">
      <c r="A802" s="5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</row>
    <row r="803">
      <c r="A803" s="5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</row>
    <row r="804">
      <c r="A804" s="5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</row>
    <row r="805">
      <c r="A805" s="5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</row>
    <row r="806">
      <c r="A806" s="5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</row>
    <row r="807">
      <c r="A807" s="5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</row>
    <row r="808">
      <c r="A808" s="5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</row>
    <row r="809">
      <c r="A809" s="5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</row>
    <row r="810">
      <c r="A810" s="5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</row>
    <row r="811">
      <c r="A811" s="5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</row>
    <row r="812">
      <c r="A812" s="5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</row>
    <row r="813">
      <c r="A813" s="5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</row>
    <row r="814">
      <c r="A814" s="5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</row>
    <row r="815">
      <c r="A815" s="5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</row>
    <row r="816">
      <c r="A816" s="5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</row>
    <row r="817">
      <c r="A817" s="5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</row>
    <row r="818">
      <c r="A818" s="5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</row>
    <row r="819">
      <c r="A819" s="5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</row>
    <row r="820">
      <c r="A820" s="5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</row>
    <row r="821">
      <c r="A821" s="5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</row>
    <row r="822">
      <c r="A822" s="5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</row>
    <row r="823">
      <c r="A823" s="5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</row>
    <row r="824">
      <c r="A824" s="5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</row>
    <row r="825">
      <c r="A825" s="5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</row>
    <row r="826">
      <c r="A826" s="5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</row>
    <row r="827">
      <c r="A827" s="5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</row>
    <row r="828">
      <c r="A828" s="5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</row>
    <row r="829">
      <c r="A829" s="5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</row>
    <row r="830">
      <c r="A830" s="5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</row>
    <row r="831">
      <c r="A831" s="5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</row>
    <row r="832">
      <c r="A832" s="5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</row>
    <row r="833">
      <c r="A833" s="5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</row>
    <row r="834">
      <c r="A834" s="5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</row>
    <row r="835">
      <c r="A835" s="5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</row>
    <row r="836">
      <c r="A836" s="5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</row>
    <row r="837">
      <c r="A837" s="5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</row>
    <row r="838">
      <c r="A838" s="5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</row>
    <row r="839">
      <c r="A839" s="5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</row>
    <row r="840">
      <c r="A840" s="5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</row>
    <row r="841">
      <c r="A841" s="5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</row>
    <row r="842">
      <c r="A842" s="5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</row>
    <row r="843">
      <c r="A843" s="5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</row>
    <row r="844">
      <c r="A844" s="5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</row>
    <row r="845">
      <c r="A845" s="5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</row>
    <row r="846">
      <c r="A846" s="5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</row>
    <row r="847">
      <c r="A847" s="5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</row>
    <row r="848">
      <c r="A848" s="5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</row>
    <row r="849">
      <c r="A849" s="5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</row>
    <row r="850">
      <c r="A850" s="5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</row>
    <row r="851">
      <c r="A851" s="5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</row>
    <row r="852">
      <c r="A852" s="5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</row>
    <row r="853">
      <c r="A853" s="5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</row>
    <row r="854">
      <c r="A854" s="5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</row>
    <row r="855">
      <c r="A855" s="5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</row>
    <row r="856">
      <c r="A856" s="5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</row>
    <row r="857">
      <c r="A857" s="5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</row>
    <row r="858">
      <c r="A858" s="5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</row>
    <row r="859">
      <c r="A859" s="5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</row>
    <row r="860">
      <c r="A860" s="5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</row>
    <row r="861">
      <c r="A861" s="5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</row>
    <row r="862">
      <c r="A862" s="5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</row>
    <row r="863">
      <c r="A863" s="5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</row>
    <row r="864">
      <c r="A864" s="5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</row>
    <row r="865">
      <c r="A865" s="5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</row>
    <row r="866">
      <c r="A866" s="5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</row>
    <row r="867">
      <c r="A867" s="5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</row>
    <row r="868">
      <c r="A868" s="5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</row>
    <row r="869">
      <c r="A869" s="5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</row>
    <row r="870">
      <c r="A870" s="5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</row>
    <row r="871">
      <c r="A871" s="5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</row>
    <row r="872">
      <c r="A872" s="5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</row>
    <row r="873">
      <c r="A873" s="5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</row>
    <row r="874">
      <c r="A874" s="5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</row>
    <row r="875">
      <c r="A875" s="5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</row>
    <row r="876">
      <c r="A876" s="5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</row>
    <row r="877">
      <c r="A877" s="5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</row>
    <row r="878">
      <c r="A878" s="5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</row>
    <row r="879">
      <c r="A879" s="5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</row>
    <row r="880">
      <c r="A880" s="5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</row>
    <row r="881">
      <c r="A881" s="5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</row>
    <row r="882">
      <c r="A882" s="5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</row>
    <row r="883">
      <c r="A883" s="5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</row>
    <row r="884">
      <c r="A884" s="5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</row>
    <row r="885">
      <c r="A885" s="5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</row>
    <row r="886">
      <c r="A886" s="5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</row>
    <row r="887">
      <c r="A887" s="5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</row>
    <row r="888">
      <c r="A888" s="5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</row>
    <row r="889">
      <c r="A889" s="5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</row>
    <row r="890">
      <c r="A890" s="5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</row>
    <row r="891">
      <c r="A891" s="5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</row>
    <row r="892">
      <c r="A892" s="5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</row>
    <row r="893">
      <c r="A893" s="5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</row>
    <row r="894">
      <c r="A894" s="5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</row>
    <row r="895">
      <c r="A895" s="5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</row>
    <row r="896">
      <c r="A896" s="5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</row>
    <row r="897">
      <c r="A897" s="5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</row>
    <row r="898">
      <c r="A898" s="5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</row>
    <row r="899">
      <c r="A899" s="5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</row>
    <row r="900">
      <c r="A900" s="5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</row>
    <row r="901">
      <c r="A901" s="5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</row>
    <row r="902">
      <c r="A902" s="5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</row>
    <row r="903">
      <c r="A903" s="5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</row>
    <row r="904">
      <c r="A904" s="5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</row>
    <row r="905">
      <c r="A905" s="5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</row>
    <row r="906">
      <c r="A906" s="5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</row>
    <row r="907">
      <c r="A907" s="5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</row>
    <row r="908">
      <c r="A908" s="5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</row>
    <row r="909">
      <c r="A909" s="5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</row>
    <row r="910">
      <c r="A910" s="5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</row>
    <row r="911">
      <c r="A911" s="5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</row>
    <row r="912">
      <c r="A912" s="5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</row>
    <row r="913">
      <c r="A913" s="5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</row>
    <row r="914">
      <c r="A914" s="5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</row>
    <row r="915">
      <c r="A915" s="5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</row>
    <row r="916">
      <c r="A916" s="5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</row>
    <row r="917">
      <c r="A917" s="5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</row>
    <row r="918">
      <c r="A918" s="5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</row>
    <row r="919">
      <c r="A919" s="5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</row>
    <row r="920">
      <c r="A920" s="5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</row>
    <row r="921">
      <c r="A921" s="5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</row>
    <row r="922">
      <c r="A922" s="5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</row>
    <row r="923">
      <c r="A923" s="5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</row>
    <row r="924">
      <c r="A924" s="5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</row>
    <row r="925">
      <c r="A925" s="5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</row>
    <row r="926">
      <c r="A926" s="5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</row>
    <row r="927">
      <c r="A927" s="5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</row>
    <row r="928">
      <c r="A928" s="5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</row>
    <row r="929">
      <c r="A929" s="5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</row>
    <row r="930">
      <c r="A930" s="5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</row>
    <row r="931">
      <c r="A931" s="5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</row>
    <row r="932">
      <c r="A932" s="5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</row>
    <row r="933">
      <c r="A933" s="5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</row>
    <row r="934">
      <c r="A934" s="5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</row>
    <row r="935">
      <c r="A935" s="5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</row>
    <row r="936">
      <c r="A936" s="5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</row>
    <row r="937">
      <c r="A937" s="5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</row>
    <row r="938">
      <c r="A938" s="5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</row>
    <row r="939">
      <c r="A939" s="5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</row>
    <row r="940">
      <c r="A940" s="5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</row>
    <row r="941">
      <c r="A941" s="5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</row>
    <row r="942">
      <c r="A942" s="5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</row>
    <row r="943">
      <c r="A943" s="5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</row>
    <row r="944">
      <c r="A944" s="5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</row>
    <row r="945">
      <c r="A945" s="5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</row>
    <row r="946">
      <c r="A946" s="5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</row>
    <row r="947">
      <c r="A947" s="5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</row>
    <row r="948">
      <c r="A948" s="5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</row>
    <row r="949">
      <c r="A949" s="5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</row>
    <row r="950">
      <c r="A950" s="5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</row>
    <row r="951">
      <c r="A951" s="5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</row>
    <row r="952">
      <c r="A952" s="5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</row>
    <row r="953">
      <c r="A953" s="5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</row>
    <row r="954">
      <c r="A954" s="5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</row>
    <row r="955">
      <c r="A955" s="5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</row>
    <row r="956">
      <c r="A956" s="5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</row>
    <row r="957">
      <c r="A957" s="5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</row>
    <row r="958">
      <c r="A958" s="5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</row>
    <row r="959">
      <c r="A959" s="5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</row>
    <row r="960">
      <c r="A960" s="5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</row>
    <row r="961">
      <c r="A961" s="5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</row>
    <row r="962">
      <c r="A962" s="5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</row>
    <row r="963">
      <c r="A963" s="5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</row>
    <row r="964">
      <c r="A964" s="5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</row>
    <row r="965">
      <c r="A965" s="5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</row>
    <row r="966">
      <c r="A966" s="5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</row>
    <row r="967">
      <c r="A967" s="5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</row>
    <row r="968">
      <c r="A968" s="5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</row>
    <row r="969">
      <c r="A969" s="5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</row>
    <row r="970">
      <c r="A970" s="5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</row>
    <row r="971">
      <c r="A971" s="5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</row>
    <row r="972">
      <c r="A972" s="5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</row>
    <row r="973">
      <c r="A973" s="5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</row>
    <row r="974">
      <c r="A974" s="5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</row>
    <row r="975">
      <c r="A975" s="5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</row>
    <row r="976">
      <c r="A976" s="5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</row>
    <row r="977">
      <c r="A977" s="5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</row>
    <row r="978">
      <c r="A978" s="5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</row>
    <row r="979">
      <c r="A979" s="5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</row>
    <row r="980">
      <c r="A980" s="5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</row>
    <row r="981">
      <c r="A981" s="5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</row>
    <row r="982">
      <c r="A982" s="5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</row>
    <row r="983">
      <c r="A983" s="5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</row>
    <row r="984">
      <c r="A984" s="5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</row>
    <row r="985">
      <c r="A985" s="5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</row>
    <row r="986">
      <c r="A986" s="5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</row>
    <row r="987">
      <c r="A987" s="5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</row>
    <row r="988">
      <c r="A988" s="5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</row>
    <row r="989">
      <c r="A989" s="5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</row>
    <row r="990">
      <c r="A990" s="5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</row>
    <row r="991">
      <c r="A991" s="5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</row>
    <row r="992">
      <c r="A992" s="5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</row>
    <row r="993">
      <c r="A993" s="5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</row>
    <row r="994">
      <c r="A994" s="5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</row>
    <row r="995">
      <c r="A995" s="5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</row>
    <row r="996">
      <c r="A996" s="5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</row>
    <row r="997">
      <c r="A997" s="5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</row>
    <row r="998">
      <c r="A998" s="5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</row>
    <row r="999">
      <c r="A999" s="5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</row>
    <row r="1000">
      <c r="A1000" s="5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</row>
  </sheetData>
  <mergeCells count="1">
    <mergeCell ref="A1:I1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3.0" topLeftCell="B4" activePane="bottomRight" state="frozen"/>
      <selection activeCell="B1" sqref="B1" pane="topRight"/>
      <selection activeCell="A4" sqref="A4" pane="bottomLeft"/>
      <selection activeCell="B4" sqref="B4" pane="bottomRight"/>
    </sheetView>
  </sheetViews>
  <sheetFormatPr customHeight="1" defaultColWidth="14.43" defaultRowHeight="15.75"/>
  <cols>
    <col customWidth="1" min="1" max="1" width="31.14"/>
    <col customWidth="1" min="2" max="2" width="14.43"/>
    <col customWidth="1" min="3" max="4" width="11.0"/>
    <col customWidth="1" min="5" max="5" width="10.0"/>
    <col customWidth="1" min="7" max="7" width="9.43"/>
    <col customWidth="1" min="8" max="8" width="11.0"/>
    <col customWidth="1" min="9" max="9" width="9.43"/>
    <col customWidth="1" min="10" max="10" width="8.43"/>
    <col customWidth="1" min="11" max="11" width="9.43"/>
    <col customWidth="1" min="12" max="12" width="11.0"/>
    <col customWidth="1" min="13" max="13" width="12.57"/>
    <col customWidth="1" min="14" max="14" width="9.0"/>
    <col customWidth="1" min="15" max="15" width="9.43"/>
    <col customWidth="1" min="16" max="16" width="9.29"/>
    <col customWidth="1" min="17" max="19" width="9.43"/>
    <col customWidth="1" min="20" max="20" width="9.29"/>
    <col customWidth="1" min="21" max="21" width="11.0"/>
    <col customWidth="1" min="22" max="22" width="9.43"/>
    <col customWidth="1" min="23" max="23" width="5.86"/>
    <col customWidth="1" min="24" max="24" width="5.29"/>
    <col customWidth="1" min="25" max="25" width="11.86"/>
    <col customWidth="1" min="26" max="26" width="11.57"/>
    <col customWidth="1" min="27" max="27" width="5.57"/>
    <col customWidth="1" min="28" max="28" width="4.86"/>
    <col customWidth="1" min="29" max="29" width="7.71"/>
    <col customWidth="1" min="30" max="30" width="5.57"/>
    <col customWidth="1" min="31" max="31" width="4.86"/>
    <col customWidth="1" min="32" max="32" width="8.43"/>
    <col customWidth="1" min="33" max="33" width="5.57"/>
    <col customWidth="1" min="34" max="34" width="4.86"/>
    <col customWidth="1" min="35" max="35" width="8.57"/>
    <col customWidth="1" min="36" max="36" width="5.57"/>
    <col customWidth="1" min="37" max="37" width="4.86"/>
    <col customWidth="1" min="38" max="38" width="13.43"/>
    <col customWidth="1" min="39" max="39" width="9.86"/>
    <col customWidth="1" min="40" max="40" width="11.0"/>
    <col customWidth="1" min="41" max="41" width="13.71"/>
    <col customWidth="1" min="42" max="42" width="5.57"/>
    <col customWidth="1" min="43" max="43" width="9.43"/>
    <col customWidth="1" min="44" max="44" width="11.0"/>
    <col customWidth="1" min="45" max="45" width="5.57"/>
    <col customWidth="1" min="46" max="47" width="11.0"/>
    <col customWidth="1" min="48" max="48" width="5.57"/>
    <col customWidth="1" min="49" max="49" width="11.0"/>
  </cols>
  <sheetData>
    <row r="1">
      <c r="D1" s="9"/>
      <c r="E1" s="9"/>
      <c r="F1" s="9"/>
      <c r="G1" s="14" t="s">
        <v>7</v>
      </c>
      <c r="H1" s="14"/>
      <c r="I1" s="14"/>
      <c r="J1" s="14"/>
      <c r="K1" s="17" t="s">
        <v>7</v>
      </c>
      <c r="L1" s="17"/>
      <c r="M1" s="17"/>
      <c r="N1" s="17"/>
      <c r="O1" s="14" t="s">
        <v>7</v>
      </c>
      <c r="P1" s="14"/>
      <c r="Q1" s="14"/>
      <c r="R1" s="14"/>
      <c r="S1" s="17" t="s">
        <v>7</v>
      </c>
      <c r="T1" s="17"/>
      <c r="Y1" s="19" t="s">
        <v>11</v>
      </c>
      <c r="Z1" s="20"/>
      <c r="AA1" s="20"/>
      <c r="AB1" s="20"/>
    </row>
    <row r="2">
      <c r="A2" s="22" t="s">
        <v>24</v>
      </c>
      <c r="B2" s="19" t="s">
        <v>26</v>
      </c>
      <c r="C2" s="20"/>
      <c r="D2" s="22"/>
      <c r="E2" s="22"/>
      <c r="F2" s="9"/>
      <c r="G2" s="22"/>
      <c r="H2" s="14" t="s">
        <v>27</v>
      </c>
      <c r="I2" s="14"/>
      <c r="J2" s="14"/>
      <c r="K2" s="17"/>
      <c r="L2" s="17" t="s">
        <v>28</v>
      </c>
      <c r="M2" s="17"/>
      <c r="N2" s="17"/>
      <c r="O2" s="14"/>
      <c r="P2" s="14" t="s">
        <v>29</v>
      </c>
      <c r="Q2" s="14"/>
      <c r="R2" s="14"/>
      <c r="S2" s="17"/>
      <c r="T2" s="17" t="s">
        <v>30</v>
      </c>
      <c r="U2" s="17" t="s">
        <v>31</v>
      </c>
      <c r="Y2" s="24" t="s">
        <v>8</v>
      </c>
      <c r="Z2" s="26" t="s">
        <v>32</v>
      </c>
      <c r="AA2" s="27"/>
      <c r="AB2" s="28"/>
      <c r="AC2" s="26" t="s">
        <v>33</v>
      </c>
      <c r="AD2" s="27"/>
      <c r="AE2" s="28"/>
      <c r="AF2" s="26" t="s">
        <v>34</v>
      </c>
      <c r="AG2" s="27"/>
      <c r="AH2" s="28"/>
      <c r="AI2" s="26" t="s">
        <v>35</v>
      </c>
      <c r="AJ2" s="27"/>
      <c r="AK2" s="28"/>
      <c r="AL2" s="26" t="s">
        <v>36</v>
      </c>
      <c r="AM2" s="27"/>
      <c r="AN2" s="28"/>
      <c r="AO2" s="26" t="s">
        <v>37</v>
      </c>
      <c r="AP2" s="27"/>
      <c r="AQ2" s="28"/>
      <c r="AR2" s="26" t="s">
        <v>38</v>
      </c>
      <c r="AS2" s="27"/>
      <c r="AT2" s="28"/>
      <c r="AU2" s="26" t="s">
        <v>39</v>
      </c>
      <c r="AV2" s="27"/>
      <c r="AW2" s="28"/>
    </row>
    <row r="3">
      <c r="B3" s="17" t="s">
        <v>40</v>
      </c>
      <c r="C3" s="17" t="s">
        <v>41</v>
      </c>
      <c r="D3" s="17" t="s">
        <v>42</v>
      </c>
      <c r="E3" s="17" t="s">
        <v>43</v>
      </c>
      <c r="F3" s="9"/>
      <c r="G3" s="22" t="s">
        <v>40</v>
      </c>
      <c r="H3" s="22" t="s">
        <v>41</v>
      </c>
      <c r="I3" s="22" t="s">
        <v>42</v>
      </c>
      <c r="J3" s="22" t="s">
        <v>44</v>
      </c>
      <c r="K3" s="9" t="s">
        <v>40</v>
      </c>
      <c r="L3" s="9" t="s">
        <v>41</v>
      </c>
      <c r="M3" s="9" t="s">
        <v>42</v>
      </c>
      <c r="N3" s="9" t="s">
        <v>44</v>
      </c>
      <c r="O3" s="22" t="s">
        <v>40</v>
      </c>
      <c r="P3" s="22" t="s">
        <v>41</v>
      </c>
      <c r="Q3" s="22" t="s">
        <v>42</v>
      </c>
      <c r="R3" s="22" t="s">
        <v>44</v>
      </c>
      <c r="S3" s="9" t="s">
        <v>40</v>
      </c>
      <c r="T3" s="9" t="s">
        <v>41</v>
      </c>
      <c r="U3" s="9" t="s">
        <v>42</v>
      </c>
      <c r="V3" s="9" t="s">
        <v>44</v>
      </c>
      <c r="Y3" s="31"/>
      <c r="Z3" s="24" t="s">
        <v>40</v>
      </c>
      <c r="AA3" s="24" t="s">
        <v>41</v>
      </c>
      <c r="AB3" s="24" t="s">
        <v>45</v>
      </c>
      <c r="AC3" s="24" t="s">
        <v>40</v>
      </c>
      <c r="AD3" s="24" t="s">
        <v>41</v>
      </c>
      <c r="AE3" s="24" t="s">
        <v>45</v>
      </c>
      <c r="AF3" s="24" t="s">
        <v>40</v>
      </c>
      <c r="AG3" s="24" t="s">
        <v>41</v>
      </c>
      <c r="AH3" s="24" t="s">
        <v>45</v>
      </c>
      <c r="AI3" s="24" t="s">
        <v>40</v>
      </c>
      <c r="AJ3" s="24" t="s">
        <v>41</v>
      </c>
      <c r="AK3" s="24" t="s">
        <v>45</v>
      </c>
      <c r="AL3" s="24" t="s">
        <v>40</v>
      </c>
      <c r="AM3" s="24" t="s">
        <v>41</v>
      </c>
      <c r="AN3" s="24" t="s">
        <v>45</v>
      </c>
      <c r="AO3" s="24" t="s">
        <v>40</v>
      </c>
      <c r="AP3" s="24" t="s">
        <v>41</v>
      </c>
      <c r="AQ3" s="24" t="s">
        <v>45</v>
      </c>
      <c r="AR3" s="24" t="s">
        <v>40</v>
      </c>
      <c r="AS3" s="24" t="s">
        <v>41</v>
      </c>
      <c r="AT3" s="24" t="s">
        <v>45</v>
      </c>
      <c r="AU3" s="24" t="s">
        <v>40</v>
      </c>
      <c r="AV3" s="24" t="s">
        <v>41</v>
      </c>
      <c r="AW3" s="24" t="s">
        <v>45</v>
      </c>
    </row>
    <row r="4">
      <c r="A4" s="33" t="s">
        <v>46</v>
      </c>
      <c r="B4" s="35">
        <f>B5*B21</f>
        <v>800000</v>
      </c>
      <c r="C4" s="35">
        <f t="shared" ref="C4:C9" si="1">H4+L4+P4+T4</f>
        <v>847000</v>
      </c>
      <c r="D4" s="35">
        <f t="shared" ref="D4:D9" si="2">C4-B4</f>
        <v>47000</v>
      </c>
      <c r="E4" s="37">
        <f t="shared" ref="E4:E9" si="3">C4/B4</f>
        <v>1.05875</v>
      </c>
      <c r="G4" s="38">
        <f>$B$4/4</f>
        <v>200000</v>
      </c>
      <c r="H4" s="38">
        <f>sum(AP4:AP10)</f>
        <v>202000</v>
      </c>
      <c r="I4" s="38">
        <f t="shared" ref="I4:I12" si="4">H4-G4</f>
        <v>2000</v>
      </c>
      <c r="J4" s="40">
        <f t="shared" ref="J4:J9" si="5">H4/G4</f>
        <v>1.01</v>
      </c>
      <c r="K4" s="35">
        <f>IF(I4&gt;0,$B$4/4,$B$4/4-I4)</f>
        <v>200000</v>
      </c>
      <c r="L4" s="35">
        <f>sum(AP11:AP17)</f>
        <v>355000</v>
      </c>
      <c r="M4" s="35">
        <f t="shared" ref="M4:M9" si="6">L4-K4</f>
        <v>155000</v>
      </c>
      <c r="N4" s="37">
        <f t="shared" ref="N4:N9" si="7">L4/K4</f>
        <v>1.775</v>
      </c>
      <c r="O4" s="38">
        <f>IF(M4&gt;0,$B$4/4,$B$4/4-M4)</f>
        <v>200000</v>
      </c>
      <c r="P4" s="38">
        <f>sum(AP18:AP24)</f>
        <v>25000</v>
      </c>
      <c r="Q4" s="38">
        <f t="shared" ref="Q4:Q5" si="8">O4-P4</f>
        <v>175000</v>
      </c>
      <c r="R4" s="44">
        <f t="shared" ref="R4:R9" si="9">P4/O4</f>
        <v>0.125</v>
      </c>
      <c r="S4" s="35">
        <f>$B$4/4+Q4</f>
        <v>375000</v>
      </c>
      <c r="T4" s="35">
        <f>sum($AP$25:$AP$33)</f>
        <v>265000</v>
      </c>
      <c r="U4" s="35">
        <f t="shared" ref="U4:U5" si="10">S4-T4</f>
        <v>110000</v>
      </c>
      <c r="V4" s="37">
        <f t="shared" ref="V4:V9" si="11">T4/S4</f>
        <v>0.7066666667</v>
      </c>
      <c r="Y4" s="45">
        <v>43556.0</v>
      </c>
      <c r="Z4" s="46">
        <f>$B$9/20</f>
        <v>6.5</v>
      </c>
      <c r="AA4">
        <f>'Ежедневный отчет'!C6</f>
        <v>9</v>
      </c>
      <c r="AB4" s="46">
        <f t="shared" ref="AB4:AB31" si="12">Z4-AA4</f>
        <v>-2.5</v>
      </c>
      <c r="AC4" s="46">
        <f>$B$8/20</f>
        <v>4</v>
      </c>
      <c r="AD4" s="9">
        <f>'Ежедневный отчет'!D6</f>
        <v>5</v>
      </c>
      <c r="AE4" s="46">
        <f t="shared" ref="AE4:AE31" si="13">AC4-AD4</f>
        <v>-1</v>
      </c>
      <c r="AF4" s="46">
        <f>$B$7/20</f>
        <v>3.2</v>
      </c>
      <c r="AG4" s="9">
        <f>'Ежедневный отчет'!F6</f>
        <v>2</v>
      </c>
      <c r="AH4" s="46">
        <f t="shared" ref="AH4:AH31" si="14">AF4-AG4</f>
        <v>1.2</v>
      </c>
      <c r="AI4" s="46">
        <f>$B$6/20</f>
        <v>0.8</v>
      </c>
      <c r="AJ4" s="48">
        <f>'Ежедневный отчет'!G6</f>
        <v>1</v>
      </c>
      <c r="AK4" s="46">
        <f t="shared" ref="AK4:AK31" si="15">AI4-AJ4</f>
        <v>-0.2</v>
      </c>
      <c r="AL4" s="35">
        <f>$B$5/20</f>
        <v>200000</v>
      </c>
      <c r="AM4" s="51">
        <f>'Ежедневный отчет'!H6</f>
        <v>104275.82</v>
      </c>
      <c r="AN4" s="35">
        <f t="shared" ref="AN4:AN31" si="16">AL4-AM4</f>
        <v>95724.18</v>
      </c>
      <c r="AO4" s="35">
        <f>$B$4/20</f>
        <v>40000</v>
      </c>
      <c r="AP4" s="54">
        <f>'Ежедневный отчет'!M6</f>
        <v>27000</v>
      </c>
      <c r="AQ4" s="35">
        <f t="shared" ref="AQ4:AQ31" si="17">AO4-AP4</f>
        <v>13000</v>
      </c>
      <c r="AR4" s="35">
        <f>$B$11/20</f>
        <v>50000</v>
      </c>
      <c r="AS4" s="51">
        <f>'Ежедневный отчет'!J6</f>
        <v>0</v>
      </c>
      <c r="AT4" s="35">
        <f t="shared" ref="AT4:AT31" si="18">AR4-AS4</f>
        <v>50000</v>
      </c>
      <c r="AU4" s="35">
        <f>$B$12/20</f>
        <v>50000</v>
      </c>
      <c r="AV4" s="51">
        <f>'Ежедневный отчет'!L6</f>
        <v>0</v>
      </c>
      <c r="AW4" s="35">
        <f t="shared" ref="AW4:AW31" si="19">AU4-AV4</f>
        <v>50000</v>
      </c>
    </row>
    <row r="5">
      <c r="A5" s="2" t="s">
        <v>36</v>
      </c>
      <c r="B5" s="35">
        <f>B22*B6</f>
        <v>4000000</v>
      </c>
      <c r="C5" s="35">
        <f t="shared" si="1"/>
        <v>3513488.37</v>
      </c>
      <c r="D5" s="35">
        <f t="shared" si="2"/>
        <v>-486511.63</v>
      </c>
      <c r="E5" s="37">
        <f t="shared" si="3"/>
        <v>0.8783720925</v>
      </c>
      <c r="G5" s="38">
        <f>$B$5/4</f>
        <v>1000000</v>
      </c>
      <c r="H5" s="38">
        <f>sum(AM4:AM10)</f>
        <v>1126865.82</v>
      </c>
      <c r="I5" s="38">
        <f t="shared" si="4"/>
        <v>126865.82</v>
      </c>
      <c r="J5" s="40">
        <f t="shared" si="5"/>
        <v>1.12686582</v>
      </c>
      <c r="K5" s="35">
        <f>IF(I5&gt;0,$B$5/4,$B$5/4-I5)</f>
        <v>1000000</v>
      </c>
      <c r="L5" s="35">
        <f>sum(AM11:AM17)</f>
        <v>1084713.25</v>
      </c>
      <c r="M5" s="35">
        <f t="shared" si="6"/>
        <v>84713.25</v>
      </c>
      <c r="N5" s="37">
        <f t="shared" si="7"/>
        <v>1.08471325</v>
      </c>
      <c r="O5" s="38">
        <f>IF(M5&gt;0,$B$5/4,$B$5/4-M5)</f>
        <v>1000000</v>
      </c>
      <c r="P5" s="38">
        <f>sum(AM18:AM24)</f>
        <v>127308.99</v>
      </c>
      <c r="Q5" s="38">
        <f t="shared" si="8"/>
        <v>872691.01</v>
      </c>
      <c r="R5" s="44">
        <f t="shared" si="9"/>
        <v>0.12730899</v>
      </c>
      <c r="S5" s="35">
        <f>$B$5/4+Q5</f>
        <v>1872691.01</v>
      </c>
      <c r="T5" s="35">
        <f>sum($AM$25:$AM$33)</f>
        <v>1174600.31</v>
      </c>
      <c r="U5" s="35">
        <f t="shared" si="10"/>
        <v>698090.7</v>
      </c>
      <c r="V5" s="37">
        <f t="shared" si="11"/>
        <v>0.6272259031</v>
      </c>
      <c r="Y5" s="45">
        <v>43557.0</v>
      </c>
      <c r="Z5" s="46">
        <f t="shared" ref="Z5:Z8" si="20">$B$9/20+AB4</f>
        <v>4</v>
      </c>
      <c r="AA5">
        <f>'Ежедневный отчет'!C7</f>
        <v>11</v>
      </c>
      <c r="AB5" s="46">
        <f t="shared" si="12"/>
        <v>-7</v>
      </c>
      <c r="AC5" s="46">
        <f t="shared" ref="AC5:AC8" si="21">$B$8/20+AE4</f>
        <v>3</v>
      </c>
      <c r="AD5" s="9">
        <f>'Ежедневный отчет'!D7</f>
        <v>3</v>
      </c>
      <c r="AE5" s="46">
        <f t="shared" si="13"/>
        <v>0</v>
      </c>
      <c r="AF5" s="46">
        <f t="shared" ref="AF5:AF8" si="22">$B$7/20+AH4</f>
        <v>4.4</v>
      </c>
      <c r="AG5" s="9">
        <f>'Ежедневный отчет'!F7</f>
        <v>2</v>
      </c>
      <c r="AH5" s="46">
        <f t="shared" si="14"/>
        <v>2.4</v>
      </c>
      <c r="AI5" s="46">
        <f t="shared" ref="AI5:AI8" si="23">$B$6/20+AK4</f>
        <v>0.6</v>
      </c>
      <c r="AJ5" s="9">
        <f>'Ежедневный отчет'!G7</f>
        <v>1</v>
      </c>
      <c r="AK5" s="46">
        <f t="shared" si="15"/>
        <v>-0.4</v>
      </c>
      <c r="AL5" s="35">
        <f t="shared" ref="AL5:AL8" si="24">$B$5/20+AN4</f>
        <v>295724.18</v>
      </c>
      <c r="AM5" s="54">
        <f>'Ежедневный отчет'!H7</f>
        <v>299000</v>
      </c>
      <c r="AN5" s="35">
        <f t="shared" si="16"/>
        <v>-3275.82</v>
      </c>
      <c r="AO5" s="35">
        <f t="shared" ref="AO5:AO8" si="25">$B$4/20+AQ4</f>
        <v>53000</v>
      </c>
      <c r="AP5" s="54">
        <f>'Ежедневный отчет'!M7</f>
        <v>50000</v>
      </c>
      <c r="AQ5" s="35">
        <f t="shared" si="17"/>
        <v>3000</v>
      </c>
      <c r="AR5" s="35">
        <f t="shared" ref="AR5:AR8" si="26">$B$11/20+AT4</f>
        <v>100000</v>
      </c>
      <c r="AS5" s="51">
        <f>'Ежедневный отчет'!J7</f>
        <v>0</v>
      </c>
      <c r="AT5" s="35">
        <f t="shared" si="18"/>
        <v>100000</v>
      </c>
      <c r="AU5" s="35">
        <f t="shared" ref="AU5:AU8" si="27">$B$12/20+AW4</f>
        <v>100000</v>
      </c>
      <c r="AV5" s="51">
        <f>'Ежедневный отчет'!L7</f>
        <v>0</v>
      </c>
      <c r="AW5" s="35">
        <f t="shared" si="19"/>
        <v>100000</v>
      </c>
    </row>
    <row r="6">
      <c r="A6" s="2" t="s">
        <v>47</v>
      </c>
      <c r="B6" s="63">
        <v>16.0</v>
      </c>
      <c r="C6" s="64">
        <f t="shared" si="1"/>
        <v>21</v>
      </c>
      <c r="D6" s="64">
        <f t="shared" si="2"/>
        <v>5</v>
      </c>
      <c r="E6" s="37">
        <f t="shared" si="3"/>
        <v>1.3125</v>
      </c>
      <c r="F6" s="46"/>
      <c r="G6" s="65">
        <f>$B$6/4</f>
        <v>4</v>
      </c>
      <c r="H6" s="66">
        <f>sum(AJ4:AJ10)</f>
        <v>7</v>
      </c>
      <c r="I6" s="65">
        <f t="shared" si="4"/>
        <v>3</v>
      </c>
      <c r="J6" s="40">
        <f t="shared" si="5"/>
        <v>1.75</v>
      </c>
      <c r="K6" s="46">
        <f>IF(I6&gt;0,$B$6/4,$B$6/4-I6)</f>
        <v>4</v>
      </c>
      <c r="L6" s="64">
        <f>sum($AJ$11:$AJ$17)</f>
        <v>4</v>
      </c>
      <c r="M6" s="64">
        <f t="shared" si="6"/>
        <v>0</v>
      </c>
      <c r="N6" s="37">
        <f t="shared" si="7"/>
        <v>1</v>
      </c>
      <c r="O6" s="65">
        <f>IF(M6&gt;0,$B$6/4,$B$6/4-M6)</f>
        <v>4</v>
      </c>
      <c r="P6" s="20">
        <f>sum($AJ$18:$AJ$24)</f>
        <v>3</v>
      </c>
      <c r="Q6" s="65">
        <f t="shared" ref="Q6:Q9" si="28">P6-O6</f>
        <v>-1</v>
      </c>
      <c r="R6" s="44">
        <f t="shared" si="9"/>
        <v>0.75</v>
      </c>
      <c r="S6" s="46">
        <f>IF(Q6&gt;0,$B$6/4,$B$6/4-Q6)</f>
        <v>5</v>
      </c>
      <c r="T6">
        <f>sum($AJ$25:$AJ$33)</f>
        <v>7</v>
      </c>
      <c r="U6" s="46">
        <f t="shared" ref="U6:U9" si="29">T6-S6</f>
        <v>2</v>
      </c>
      <c r="V6" s="37">
        <f t="shared" si="11"/>
        <v>1.4</v>
      </c>
      <c r="Y6" s="45">
        <v>43558.0</v>
      </c>
      <c r="Z6" s="46">
        <f t="shared" si="20"/>
        <v>-0.5</v>
      </c>
      <c r="AA6">
        <f>'Ежедневный отчет'!C8</f>
        <v>0</v>
      </c>
      <c r="AB6" s="46">
        <f t="shared" si="12"/>
        <v>-0.5</v>
      </c>
      <c r="AC6" s="46">
        <f t="shared" si="21"/>
        <v>4</v>
      </c>
      <c r="AD6" s="9">
        <f>'Ежедневный отчет'!D8</f>
        <v>6</v>
      </c>
      <c r="AE6" s="46">
        <f t="shared" si="13"/>
        <v>-2</v>
      </c>
      <c r="AF6" s="46">
        <f t="shared" si="22"/>
        <v>5.6</v>
      </c>
      <c r="AG6" s="9">
        <f>'Ежедневный отчет'!F8</f>
        <v>7</v>
      </c>
      <c r="AH6" s="46">
        <f t="shared" si="14"/>
        <v>-1.4</v>
      </c>
      <c r="AI6" s="46">
        <f t="shared" si="23"/>
        <v>0.4</v>
      </c>
      <c r="AJ6" s="9">
        <f>'Ежедневный отчет'!G8</f>
        <v>2</v>
      </c>
      <c r="AK6" s="46">
        <f t="shared" si="15"/>
        <v>-1.6</v>
      </c>
      <c r="AL6" s="35">
        <f t="shared" si="24"/>
        <v>196724.18</v>
      </c>
      <c r="AM6" s="54">
        <f>'Ежедневный отчет'!H8</f>
        <v>433000</v>
      </c>
      <c r="AN6" s="35">
        <f t="shared" si="16"/>
        <v>-236275.82</v>
      </c>
      <c r="AO6" s="35">
        <f t="shared" si="25"/>
        <v>43000</v>
      </c>
      <c r="AP6" s="54">
        <f>'Ежедневный отчет'!M8</f>
        <v>65000</v>
      </c>
      <c r="AQ6" s="35">
        <f t="shared" si="17"/>
        <v>-22000</v>
      </c>
      <c r="AR6" s="35">
        <f t="shared" si="26"/>
        <v>150000</v>
      </c>
      <c r="AS6" s="51">
        <f>'Ежедневный отчет'!J8</f>
        <v>0</v>
      </c>
      <c r="AT6" s="35">
        <f t="shared" si="18"/>
        <v>150000</v>
      </c>
      <c r="AU6" s="35">
        <f t="shared" si="27"/>
        <v>150000</v>
      </c>
      <c r="AV6" s="51">
        <f>'Ежедневный отчет'!L8</f>
        <v>0</v>
      </c>
      <c r="AW6" s="35">
        <f t="shared" si="19"/>
        <v>150000</v>
      </c>
    </row>
    <row r="7">
      <c r="A7" s="2" t="s">
        <v>48</v>
      </c>
      <c r="B7" s="63">
        <v>64.0</v>
      </c>
      <c r="C7">
        <f t="shared" si="1"/>
        <v>89</v>
      </c>
      <c r="D7" s="46">
        <f t="shared" si="2"/>
        <v>25</v>
      </c>
      <c r="E7" s="37">
        <f t="shared" si="3"/>
        <v>1.390625</v>
      </c>
      <c r="F7" s="46"/>
      <c r="G7" s="65">
        <f>$B$7/4</f>
        <v>16</v>
      </c>
      <c r="H7" s="20">
        <f>sum(AG4:AG10)</f>
        <v>21</v>
      </c>
      <c r="I7" s="65">
        <f t="shared" si="4"/>
        <v>5</v>
      </c>
      <c r="J7" s="40">
        <f t="shared" si="5"/>
        <v>1.3125</v>
      </c>
      <c r="K7" s="46">
        <f>IF(I7&gt;0,$B$7/4,$B$7/4-I7)</f>
        <v>16</v>
      </c>
      <c r="L7">
        <f>sum($AG$11:$AG$17)</f>
        <v>16</v>
      </c>
      <c r="M7" s="46">
        <f t="shared" si="6"/>
        <v>0</v>
      </c>
      <c r="N7" s="37">
        <f t="shared" si="7"/>
        <v>1</v>
      </c>
      <c r="O7" s="65">
        <f>IF(M7&gt;0,$B$7/4,$B$7/4-M7)</f>
        <v>16</v>
      </c>
      <c r="P7" s="20">
        <f>sum($AG$18:$AG$24)</f>
        <v>17</v>
      </c>
      <c r="Q7" s="65">
        <f t="shared" si="28"/>
        <v>1</v>
      </c>
      <c r="R7" s="44">
        <f t="shared" si="9"/>
        <v>1.0625</v>
      </c>
      <c r="S7" s="46">
        <f>IF(Q7&gt;0,$B$7/4,$B$7/4-Q7)</f>
        <v>16</v>
      </c>
      <c r="T7">
        <f>sum($AG$25:$AG$33)</f>
        <v>35</v>
      </c>
      <c r="U7" s="46">
        <f t="shared" si="29"/>
        <v>19</v>
      </c>
      <c r="V7" s="37">
        <f t="shared" si="11"/>
        <v>2.1875</v>
      </c>
      <c r="Y7" s="45">
        <v>43559.0</v>
      </c>
      <c r="Z7" s="46">
        <f t="shared" si="20"/>
        <v>6</v>
      </c>
      <c r="AA7">
        <f>'Ежедневный отчет'!C9</f>
        <v>13</v>
      </c>
      <c r="AB7" s="46">
        <f t="shared" si="12"/>
        <v>-7</v>
      </c>
      <c r="AC7" s="46">
        <f t="shared" si="21"/>
        <v>2</v>
      </c>
      <c r="AD7" s="9">
        <f>'Ежедневный отчет'!D9</f>
        <v>2</v>
      </c>
      <c r="AE7" s="46">
        <f t="shared" si="13"/>
        <v>0</v>
      </c>
      <c r="AF7" s="46">
        <f t="shared" si="22"/>
        <v>1.8</v>
      </c>
      <c r="AG7" s="9">
        <f>'Ежедневный отчет'!F9</f>
        <v>7</v>
      </c>
      <c r="AH7" s="46">
        <f t="shared" si="14"/>
        <v>-5.2</v>
      </c>
      <c r="AI7" s="46">
        <f t="shared" si="23"/>
        <v>-0.8</v>
      </c>
      <c r="AJ7" s="9">
        <f>'Ежедневный отчет'!G9</f>
        <v>0</v>
      </c>
      <c r="AK7" s="46">
        <f t="shared" si="15"/>
        <v>-0.8</v>
      </c>
      <c r="AL7" s="35">
        <f t="shared" si="24"/>
        <v>-36275.82</v>
      </c>
      <c r="AM7" s="54">
        <f>'Ежедневный отчет'!H9</f>
        <v>0</v>
      </c>
      <c r="AN7" s="35">
        <f t="shared" si="16"/>
        <v>-36275.82</v>
      </c>
      <c r="AO7" s="35">
        <f t="shared" si="25"/>
        <v>18000</v>
      </c>
      <c r="AP7" s="54">
        <f>'Ежедневный отчет'!M9</f>
        <v>0</v>
      </c>
      <c r="AQ7" s="35">
        <f t="shared" si="17"/>
        <v>18000</v>
      </c>
      <c r="AR7" s="35">
        <f t="shared" si="26"/>
        <v>200000</v>
      </c>
      <c r="AS7" s="51">
        <f>'Ежедневный отчет'!J9</f>
        <v>0</v>
      </c>
      <c r="AT7" s="35">
        <f t="shared" si="18"/>
        <v>200000</v>
      </c>
      <c r="AU7" s="35">
        <f t="shared" si="27"/>
        <v>200000</v>
      </c>
      <c r="AV7" s="51">
        <f>'Ежедневный отчет'!L9</f>
        <v>0</v>
      </c>
      <c r="AW7" s="35">
        <f t="shared" si="19"/>
        <v>200000</v>
      </c>
    </row>
    <row r="8">
      <c r="A8" s="33" t="s">
        <v>49</v>
      </c>
      <c r="B8" s="9">
        <v>80.0</v>
      </c>
      <c r="C8">
        <f t="shared" si="1"/>
        <v>119</v>
      </c>
      <c r="D8">
        <f t="shared" si="2"/>
        <v>39</v>
      </c>
      <c r="E8" s="37">
        <f t="shared" si="3"/>
        <v>1.4875</v>
      </c>
      <c r="F8" s="46"/>
      <c r="G8" s="65">
        <f>$B$8/4</f>
        <v>20</v>
      </c>
      <c r="H8" s="20">
        <f>sum(AD4:AD10)</f>
        <v>20</v>
      </c>
      <c r="I8" s="65">
        <f t="shared" si="4"/>
        <v>0</v>
      </c>
      <c r="J8" s="40">
        <f t="shared" si="5"/>
        <v>1</v>
      </c>
      <c r="K8" s="46">
        <f>IF(I8&gt;0,$B$8/4,$B$8/4-I8)</f>
        <v>20</v>
      </c>
      <c r="L8">
        <f>sum($AD$11:$AD$17)</f>
        <v>19</v>
      </c>
      <c r="M8" s="46">
        <f t="shared" si="6"/>
        <v>-1</v>
      </c>
      <c r="N8" s="37">
        <f t="shared" si="7"/>
        <v>0.95</v>
      </c>
      <c r="O8" s="65">
        <f>IF(M8&gt;0,$B$8/4,$B$8/4-M8)</f>
        <v>21</v>
      </c>
      <c r="P8" s="20">
        <f>sum($AD$18:$AD$24)</f>
        <v>36</v>
      </c>
      <c r="Q8" s="65">
        <f t="shared" si="28"/>
        <v>15</v>
      </c>
      <c r="R8" s="44">
        <f t="shared" si="9"/>
        <v>1.714285714</v>
      </c>
      <c r="S8" s="46">
        <f>IF(Q8&gt;0,$B$8/4,$B$8/4-Q8)</f>
        <v>20</v>
      </c>
      <c r="T8">
        <f>sum($AD$25:$AD$33)</f>
        <v>44</v>
      </c>
      <c r="U8" s="46">
        <f t="shared" si="29"/>
        <v>24</v>
      </c>
      <c r="V8" s="37">
        <f t="shared" si="11"/>
        <v>2.2</v>
      </c>
      <c r="Y8" s="45">
        <v>43560.0</v>
      </c>
      <c r="Z8" s="46">
        <f t="shared" si="20"/>
        <v>-0.5</v>
      </c>
      <c r="AA8">
        <f>'Ежедневный отчет'!C10</f>
        <v>0</v>
      </c>
      <c r="AB8" s="46">
        <f t="shared" si="12"/>
        <v>-0.5</v>
      </c>
      <c r="AC8" s="46">
        <f t="shared" si="21"/>
        <v>4</v>
      </c>
      <c r="AD8" s="9">
        <f>'Ежедневный отчет'!D10</f>
        <v>0</v>
      </c>
      <c r="AE8" s="46">
        <f t="shared" si="13"/>
        <v>4</v>
      </c>
      <c r="AF8" s="46">
        <f t="shared" si="22"/>
        <v>-2</v>
      </c>
      <c r="AG8" s="9">
        <f>'Ежедневный отчет'!F10</f>
        <v>3</v>
      </c>
      <c r="AH8" s="46">
        <f t="shared" si="14"/>
        <v>-5</v>
      </c>
      <c r="AI8" s="46">
        <f t="shared" si="23"/>
        <v>0</v>
      </c>
      <c r="AJ8" s="9">
        <f>'Ежедневный отчет'!G10</f>
        <v>3</v>
      </c>
      <c r="AK8" s="46">
        <f t="shared" si="15"/>
        <v>-3</v>
      </c>
      <c r="AL8" s="35">
        <f t="shared" si="24"/>
        <v>163724.18</v>
      </c>
      <c r="AM8" s="54">
        <f>'Ежедневный отчет'!H10</f>
        <v>290590</v>
      </c>
      <c r="AN8" s="35">
        <f t="shared" si="16"/>
        <v>-126865.82</v>
      </c>
      <c r="AO8" s="35">
        <f t="shared" si="25"/>
        <v>58000</v>
      </c>
      <c r="AP8" s="54">
        <f>'Ежедневный отчет'!M10</f>
        <v>60000</v>
      </c>
      <c r="AQ8" s="35">
        <f t="shared" si="17"/>
        <v>-2000</v>
      </c>
      <c r="AR8" s="35">
        <f t="shared" si="26"/>
        <v>250000</v>
      </c>
      <c r="AS8" s="51">
        <f>'Ежедневный отчет'!J10</f>
        <v>0</v>
      </c>
      <c r="AT8" s="35">
        <f t="shared" si="18"/>
        <v>250000</v>
      </c>
      <c r="AU8" s="35">
        <f t="shared" si="27"/>
        <v>250000</v>
      </c>
      <c r="AV8" s="51">
        <f>'Ежедневный отчет'!L10</f>
        <v>0</v>
      </c>
      <c r="AW8" s="35">
        <f t="shared" si="19"/>
        <v>250000</v>
      </c>
    </row>
    <row r="9">
      <c r="A9" s="33" t="s">
        <v>50</v>
      </c>
      <c r="B9">
        <v>130.0</v>
      </c>
      <c r="C9">
        <f t="shared" si="1"/>
        <v>153</v>
      </c>
      <c r="D9">
        <f t="shared" si="2"/>
        <v>23</v>
      </c>
      <c r="E9" s="37">
        <f t="shared" si="3"/>
        <v>1.176923077</v>
      </c>
      <c r="F9" s="46"/>
      <c r="G9" s="65">
        <f>$B$9/4</f>
        <v>32.5</v>
      </c>
      <c r="H9" s="20">
        <f>sum($AA$4:$AA$10)</f>
        <v>33</v>
      </c>
      <c r="I9" s="65">
        <f t="shared" si="4"/>
        <v>0.5</v>
      </c>
      <c r="J9" s="40">
        <f t="shared" si="5"/>
        <v>1.015384615</v>
      </c>
      <c r="K9" s="46">
        <f>IF(I9&gt;0,$B$9/4,$B$9/4-I9)</f>
        <v>32.5</v>
      </c>
      <c r="L9">
        <f>sum($AA$11:$AA$17)</f>
        <v>26</v>
      </c>
      <c r="M9" s="46">
        <f t="shared" si="6"/>
        <v>-6.5</v>
      </c>
      <c r="N9" s="37">
        <f t="shared" si="7"/>
        <v>0.8</v>
      </c>
      <c r="O9" s="65">
        <f>IF(M9&gt;0,$B$9/4,$B$9/4-M9)</f>
        <v>39</v>
      </c>
      <c r="P9" s="20">
        <f>sum($AA$18:$AA$24)</f>
        <v>47</v>
      </c>
      <c r="Q9" s="65">
        <f t="shared" si="28"/>
        <v>8</v>
      </c>
      <c r="R9" s="44">
        <f t="shared" si="9"/>
        <v>1.205128205</v>
      </c>
      <c r="S9" s="46">
        <f>IF(Q9&gt;0,$B$9/4,$B$9/4-Q9)</f>
        <v>32.5</v>
      </c>
      <c r="T9">
        <f>sum($AA$25:$AA$33)</f>
        <v>47</v>
      </c>
      <c r="U9" s="46">
        <f t="shared" si="29"/>
        <v>14.5</v>
      </c>
      <c r="V9" s="37">
        <f t="shared" si="11"/>
        <v>1.446153846</v>
      </c>
      <c r="Y9" s="45">
        <v>43561.0</v>
      </c>
      <c r="Z9" s="67">
        <f t="shared" ref="Z9:Z10" si="30">+AB8</f>
        <v>-0.5</v>
      </c>
      <c r="AA9" t="str">
        <f>'Ежедневный отчет'!C11</f>
        <v/>
      </c>
      <c r="AB9" s="67">
        <f t="shared" si="12"/>
        <v>-0.5</v>
      </c>
      <c r="AC9" s="67">
        <f t="shared" ref="AC9:AC10" si="31">+AE8</f>
        <v>4</v>
      </c>
      <c r="AD9" s="9">
        <f>'Ежедневный отчет'!D11</f>
        <v>0</v>
      </c>
      <c r="AE9" s="67">
        <f t="shared" si="13"/>
        <v>4</v>
      </c>
      <c r="AF9" s="67">
        <f t="shared" ref="AF9:AF10" si="32">+AH8</f>
        <v>-5</v>
      </c>
      <c r="AG9" s="9" t="str">
        <f>'Ежедневный отчет'!F11</f>
        <v/>
      </c>
      <c r="AH9" s="67">
        <f t="shared" si="14"/>
        <v>-5</v>
      </c>
      <c r="AI9" s="67">
        <f t="shared" ref="AI9:AI10" si="33">+AK8</f>
        <v>-3</v>
      </c>
      <c r="AJ9" s="9" t="str">
        <f>'Ежедневный отчет'!G11</f>
        <v/>
      </c>
      <c r="AK9" s="67">
        <f t="shared" si="15"/>
        <v>-3</v>
      </c>
      <c r="AL9" s="68">
        <f t="shared" ref="AL9:AL10" si="34">+AN8</f>
        <v>-126865.82</v>
      </c>
      <c r="AM9" s="54" t="str">
        <f>'Ежедневный отчет'!H11</f>
        <v/>
      </c>
      <c r="AN9" s="68">
        <f t="shared" si="16"/>
        <v>-126865.82</v>
      </c>
      <c r="AO9" s="68">
        <f t="shared" ref="AO9:AO10" si="35">+AQ8</f>
        <v>-2000</v>
      </c>
      <c r="AP9" s="54">
        <f>'Ежедневный отчет'!M11</f>
        <v>0</v>
      </c>
      <c r="AQ9" s="68">
        <f t="shared" si="17"/>
        <v>-2000</v>
      </c>
      <c r="AR9" s="68">
        <f t="shared" ref="AR9:AR10" si="36">+AT8</f>
        <v>250000</v>
      </c>
      <c r="AS9" s="51" t="str">
        <f>'Ежедневный отчет'!J11</f>
        <v/>
      </c>
      <c r="AT9" s="68">
        <f t="shared" si="18"/>
        <v>250000</v>
      </c>
      <c r="AU9" s="68">
        <f t="shared" ref="AU9:AU10" si="37">+AW8</f>
        <v>250000</v>
      </c>
      <c r="AV9" s="51" t="str">
        <f>'Ежедневный отчет'!L11</f>
        <v/>
      </c>
      <c r="AW9" s="68">
        <f t="shared" si="19"/>
        <v>250000</v>
      </c>
    </row>
    <row r="10">
      <c r="E10" s="37">
        <f>AVERAGE(E4:E9)</f>
        <v>1.217445028</v>
      </c>
      <c r="G10" s="20"/>
      <c r="H10" s="20"/>
      <c r="I10" s="65">
        <f t="shared" si="4"/>
        <v>0</v>
      </c>
      <c r="J10" s="40"/>
      <c r="N10" s="37"/>
      <c r="O10" s="20"/>
      <c r="P10" s="20"/>
      <c r="Q10" s="20"/>
      <c r="R10" s="44"/>
      <c r="V10" s="37"/>
      <c r="Y10" s="45">
        <v>43562.0</v>
      </c>
      <c r="Z10" s="67">
        <f t="shared" si="30"/>
        <v>-0.5</v>
      </c>
      <c r="AA10" t="str">
        <f>'Ежедневный отчет'!C12</f>
        <v/>
      </c>
      <c r="AB10" s="67">
        <f t="shared" si="12"/>
        <v>-0.5</v>
      </c>
      <c r="AC10" s="67">
        <f t="shared" si="31"/>
        <v>4</v>
      </c>
      <c r="AD10" s="9">
        <f>'Ежедневный отчет'!D12</f>
        <v>4</v>
      </c>
      <c r="AE10" s="67">
        <f t="shared" si="13"/>
        <v>0</v>
      </c>
      <c r="AF10" s="67">
        <f t="shared" si="32"/>
        <v>-5</v>
      </c>
      <c r="AG10" s="9" t="str">
        <f>'Ежедневный отчет'!F12</f>
        <v/>
      </c>
      <c r="AH10" s="67">
        <f t="shared" si="14"/>
        <v>-5</v>
      </c>
      <c r="AI10" s="67">
        <f t="shared" si="33"/>
        <v>-3</v>
      </c>
      <c r="AJ10" s="9" t="str">
        <f>'Ежедневный отчет'!G12</f>
        <v/>
      </c>
      <c r="AK10" s="67">
        <f t="shared" si="15"/>
        <v>-3</v>
      </c>
      <c r="AL10" s="68">
        <f t="shared" si="34"/>
        <v>-126865.82</v>
      </c>
      <c r="AM10" s="54" t="str">
        <f>'Ежедневный отчет'!H12</f>
        <v/>
      </c>
      <c r="AN10" s="68">
        <f t="shared" si="16"/>
        <v>-126865.82</v>
      </c>
      <c r="AO10" s="68">
        <f t="shared" si="35"/>
        <v>-2000</v>
      </c>
      <c r="AP10" s="54">
        <f>'Ежедневный отчет'!M12</f>
        <v>0</v>
      </c>
      <c r="AQ10" s="68">
        <f t="shared" si="17"/>
        <v>-2000</v>
      </c>
      <c r="AR10" s="68">
        <f t="shared" si="36"/>
        <v>250000</v>
      </c>
      <c r="AS10" s="51" t="str">
        <f>'Ежедневный отчет'!J12</f>
        <v/>
      </c>
      <c r="AT10" s="68">
        <f t="shared" si="18"/>
        <v>250000</v>
      </c>
      <c r="AU10" s="68">
        <f t="shared" si="37"/>
        <v>250000</v>
      </c>
      <c r="AV10" s="51" t="str">
        <f>'Ежедневный отчет'!L12</f>
        <v/>
      </c>
      <c r="AW10" s="68">
        <f t="shared" si="19"/>
        <v>250000</v>
      </c>
    </row>
    <row r="11">
      <c r="A11" s="69" t="s">
        <v>51</v>
      </c>
      <c r="B11" s="70">
        <v>1000000.0</v>
      </c>
      <c r="C11" s="35">
        <f t="shared" ref="C11:C12" si="38">H11+L11+P11+T11</f>
        <v>310200</v>
      </c>
      <c r="D11" s="35">
        <f t="shared" ref="D11:D12" si="39">B11-C11</f>
        <v>689800</v>
      </c>
      <c r="E11" s="37">
        <f t="shared" ref="E11:E12" si="40">C11/B11</f>
        <v>0.3102</v>
      </c>
      <c r="G11" s="38">
        <f>$B$11/4</f>
        <v>250000</v>
      </c>
      <c r="H11" s="38">
        <f t="shared" ref="H11:H12" si="41">sum($AV$4:$AV$10)</f>
        <v>0</v>
      </c>
      <c r="I11" s="38">
        <f t="shared" si="4"/>
        <v>-250000</v>
      </c>
      <c r="J11" s="38">
        <f t="shared" ref="J11:J12" si="42">H11/G11</f>
        <v>0</v>
      </c>
      <c r="K11" s="35">
        <f t="shared" ref="K11:K12" si="43">$B$11/4</f>
        <v>250000</v>
      </c>
      <c r="L11" s="35">
        <f t="shared" ref="L11:L12" si="44">sum($AV$11:$AV$17)</f>
        <v>0</v>
      </c>
      <c r="M11" s="35">
        <f t="shared" ref="M11:M12" si="45">L11-K11</f>
        <v>-250000</v>
      </c>
      <c r="N11" s="35">
        <f t="shared" ref="N11:N12" si="46">L11/K11</f>
        <v>0</v>
      </c>
      <c r="O11" s="38">
        <f t="shared" ref="O11:O12" si="47">$B$11/4</f>
        <v>250000</v>
      </c>
      <c r="P11" s="38">
        <f>sum($AS$18:$AS$24)</f>
        <v>0</v>
      </c>
      <c r="Q11" s="38">
        <f t="shared" ref="Q11:Q12" si="48">P11-O11</f>
        <v>-250000</v>
      </c>
      <c r="R11" s="44">
        <f t="shared" ref="R11:R12" si="49">P11/O11</f>
        <v>0</v>
      </c>
      <c r="S11" s="35">
        <f t="shared" ref="S11:S12" si="50">$B$11/4</f>
        <v>250000</v>
      </c>
      <c r="T11" s="35">
        <f>sum($AS$25:$AS$33)</f>
        <v>310200</v>
      </c>
      <c r="U11" s="35">
        <f t="shared" ref="U11:U12" si="51">T11-S11</f>
        <v>60200</v>
      </c>
      <c r="V11" s="37">
        <f t="shared" ref="V11:V12" si="52">T11/S11</f>
        <v>1.2408</v>
      </c>
      <c r="Y11" s="45">
        <v>43563.0</v>
      </c>
      <c r="Z11" s="46">
        <f t="shared" ref="Z11:Z15" si="53">$B$9/20+AB10</f>
        <v>6</v>
      </c>
      <c r="AA11">
        <f>'Ежедневный отчет'!C13</f>
        <v>7</v>
      </c>
      <c r="AB11" s="46">
        <f t="shared" si="12"/>
        <v>-1</v>
      </c>
      <c r="AC11" s="46">
        <f t="shared" ref="AC11:AC15" si="54">$B$8/20+AE10</f>
        <v>4</v>
      </c>
      <c r="AD11" s="9">
        <f>'Ежедневный отчет'!D13</f>
        <v>6</v>
      </c>
      <c r="AE11" s="46">
        <f t="shared" si="13"/>
        <v>-2</v>
      </c>
      <c r="AF11" s="46">
        <f t="shared" ref="AF11:AF15" si="55">$B$7/20+AH10</f>
        <v>-1.8</v>
      </c>
      <c r="AG11" s="9">
        <f>'Ежедневный отчет'!F13</f>
        <v>3</v>
      </c>
      <c r="AH11" s="46">
        <f t="shared" si="14"/>
        <v>-4.8</v>
      </c>
      <c r="AI11" s="46">
        <f t="shared" ref="AI11:AI15" si="56">$B$6/20+AK10</f>
        <v>-2.2</v>
      </c>
      <c r="AJ11" s="48">
        <f>'Ежедневный отчет'!G13</f>
        <v>1</v>
      </c>
      <c r="AK11" s="46">
        <f t="shared" si="15"/>
        <v>-3.2</v>
      </c>
      <c r="AL11" s="35">
        <f t="shared" ref="AL11:AL15" si="57">$B$5/20+AN10</f>
        <v>73134.18</v>
      </c>
      <c r="AM11" s="71">
        <f>'Ежедневный отчет'!H13</f>
        <v>280800</v>
      </c>
      <c r="AN11" s="35">
        <f t="shared" si="16"/>
        <v>-207665.82</v>
      </c>
      <c r="AO11" s="35">
        <f t="shared" ref="AO11:AO15" si="58">$B$4/20+AQ10</f>
        <v>38000</v>
      </c>
      <c r="AP11" s="54">
        <f>'Ежедневный отчет'!M13</f>
        <v>50000</v>
      </c>
      <c r="AQ11" s="35">
        <f t="shared" si="17"/>
        <v>-12000</v>
      </c>
      <c r="AR11" s="35">
        <f t="shared" ref="AR11:AR15" si="59">$B$11/20+AT10</f>
        <v>300000</v>
      </c>
      <c r="AS11" s="51">
        <f>'Ежедневный отчет'!J13</f>
        <v>0</v>
      </c>
      <c r="AT11" s="35">
        <f t="shared" si="18"/>
        <v>300000</v>
      </c>
      <c r="AU11" s="35">
        <f t="shared" ref="AU11:AU15" si="60">$B$12/20+AW10</f>
        <v>300000</v>
      </c>
      <c r="AV11" s="51">
        <f>'Ежедневный отчет'!L13</f>
        <v>0</v>
      </c>
      <c r="AW11" s="35">
        <f t="shared" si="19"/>
        <v>300000</v>
      </c>
    </row>
    <row r="12">
      <c r="A12" s="69" t="s">
        <v>52</v>
      </c>
      <c r="B12" s="70">
        <v>1000000.0</v>
      </c>
      <c r="C12" s="35">
        <f t="shared" si="38"/>
        <v>788527.1</v>
      </c>
      <c r="D12" s="35">
        <f t="shared" si="39"/>
        <v>211472.9</v>
      </c>
      <c r="E12" s="37">
        <f t="shared" si="40"/>
        <v>0.7885271</v>
      </c>
      <c r="G12" s="72">
        <f>$B$12/4</f>
        <v>250000</v>
      </c>
      <c r="H12" s="38">
        <f t="shared" si="41"/>
        <v>0</v>
      </c>
      <c r="I12" s="38">
        <f t="shared" si="4"/>
        <v>-250000</v>
      </c>
      <c r="J12" s="38">
        <f t="shared" si="42"/>
        <v>0</v>
      </c>
      <c r="K12" s="35">
        <f t="shared" si="43"/>
        <v>250000</v>
      </c>
      <c r="L12" s="35">
        <f t="shared" si="44"/>
        <v>0</v>
      </c>
      <c r="M12" s="35">
        <f t="shared" si="45"/>
        <v>-250000</v>
      </c>
      <c r="N12" s="35">
        <f t="shared" si="46"/>
        <v>0</v>
      </c>
      <c r="O12" s="38">
        <f t="shared" si="47"/>
        <v>250000</v>
      </c>
      <c r="P12" s="38">
        <f>sum($AV$18:$AV$24)</f>
        <v>0</v>
      </c>
      <c r="Q12" s="38">
        <f t="shared" si="48"/>
        <v>-250000</v>
      </c>
      <c r="R12" s="44">
        <f t="shared" si="49"/>
        <v>0</v>
      </c>
      <c r="S12" s="35">
        <f t="shared" si="50"/>
        <v>250000</v>
      </c>
      <c r="T12" s="35">
        <f>sum($AV$25:$AV$33)</f>
        <v>788527.1</v>
      </c>
      <c r="U12" s="35">
        <f t="shared" si="51"/>
        <v>538527.1</v>
      </c>
      <c r="V12" s="37">
        <f t="shared" si="52"/>
        <v>3.1541084</v>
      </c>
      <c r="Y12" s="45">
        <v>43564.0</v>
      </c>
      <c r="Z12" s="46">
        <f t="shared" si="53"/>
        <v>5.5</v>
      </c>
      <c r="AA12">
        <f>'Ежедневный отчет'!C14</f>
        <v>0</v>
      </c>
      <c r="AB12" s="46">
        <f t="shared" si="12"/>
        <v>5.5</v>
      </c>
      <c r="AC12" s="46">
        <f t="shared" si="54"/>
        <v>2</v>
      </c>
      <c r="AD12" s="9">
        <f>'Ежедневный отчет'!D14</f>
        <v>2</v>
      </c>
      <c r="AE12" s="46">
        <f t="shared" si="13"/>
        <v>0</v>
      </c>
      <c r="AF12" s="46">
        <f t="shared" si="55"/>
        <v>-1.6</v>
      </c>
      <c r="AG12" s="9">
        <f>'Ежедневный отчет'!F14</f>
        <v>4</v>
      </c>
      <c r="AH12" s="46">
        <f t="shared" si="14"/>
        <v>-5.6</v>
      </c>
      <c r="AI12" s="46">
        <f t="shared" si="56"/>
        <v>-2.4</v>
      </c>
      <c r="AJ12" s="9">
        <f>'Ежедневный отчет'!G14</f>
        <v>0</v>
      </c>
      <c r="AK12" s="46">
        <f t="shared" si="15"/>
        <v>-2.4</v>
      </c>
      <c r="AL12" s="35">
        <f t="shared" si="57"/>
        <v>-7665.82</v>
      </c>
      <c r="AM12" s="54">
        <f>'Ежедневный отчет'!H14</f>
        <v>0</v>
      </c>
      <c r="AN12" s="35">
        <f t="shared" si="16"/>
        <v>-7665.82</v>
      </c>
      <c r="AO12" s="35">
        <f t="shared" si="58"/>
        <v>28000</v>
      </c>
      <c r="AP12" s="54">
        <f>'Ежедневный отчет'!M14</f>
        <v>0</v>
      </c>
      <c r="AQ12" s="35">
        <f t="shared" si="17"/>
        <v>28000</v>
      </c>
      <c r="AR12" s="35">
        <f t="shared" si="59"/>
        <v>350000</v>
      </c>
      <c r="AS12" s="51">
        <f>'Ежедневный отчет'!J14</f>
        <v>0</v>
      </c>
      <c r="AT12" s="35">
        <f t="shared" si="18"/>
        <v>350000</v>
      </c>
      <c r="AU12" s="35">
        <f t="shared" si="60"/>
        <v>350000</v>
      </c>
      <c r="AV12" s="51">
        <f>'Ежедневный отчет'!L14</f>
        <v>0</v>
      </c>
      <c r="AW12" s="35">
        <f t="shared" si="19"/>
        <v>350000</v>
      </c>
    </row>
    <row r="13">
      <c r="I13" s="35"/>
      <c r="J13" s="35"/>
      <c r="K13" s="35"/>
      <c r="M13" s="35"/>
      <c r="N13" s="35"/>
      <c r="O13" s="35"/>
      <c r="Q13" s="35"/>
      <c r="R13" s="35"/>
      <c r="S13" s="35"/>
      <c r="Y13" s="45">
        <v>43565.0</v>
      </c>
      <c r="Z13" s="46">
        <f t="shared" si="53"/>
        <v>12</v>
      </c>
      <c r="AA13">
        <f>'Ежедневный отчет'!C15</f>
        <v>12</v>
      </c>
      <c r="AB13" s="46">
        <f t="shared" si="12"/>
        <v>0</v>
      </c>
      <c r="AC13" s="46">
        <f t="shared" si="54"/>
        <v>4</v>
      </c>
      <c r="AD13" s="9">
        <f>'Ежедневный отчет'!D15</f>
        <v>4</v>
      </c>
      <c r="AE13" s="46">
        <f t="shared" si="13"/>
        <v>0</v>
      </c>
      <c r="AF13" s="46">
        <f t="shared" si="55"/>
        <v>-2.4</v>
      </c>
      <c r="AG13" s="9">
        <f>'Ежедневный отчет'!F15</f>
        <v>0</v>
      </c>
      <c r="AH13" s="46">
        <f t="shared" si="14"/>
        <v>-2.4</v>
      </c>
      <c r="AI13" s="46">
        <f t="shared" si="56"/>
        <v>-1.6</v>
      </c>
      <c r="AJ13" s="9">
        <f>'Ежедневный отчет'!G15</f>
        <v>0</v>
      </c>
      <c r="AK13" s="46">
        <f t="shared" si="15"/>
        <v>-1.6</v>
      </c>
      <c r="AL13" s="35">
        <f t="shared" si="57"/>
        <v>192334.18</v>
      </c>
      <c r="AM13" s="54">
        <f>'Ежедневный отчет'!H15</f>
        <v>0</v>
      </c>
      <c r="AN13" s="35">
        <f t="shared" si="16"/>
        <v>192334.18</v>
      </c>
      <c r="AO13" s="35">
        <f t="shared" si="58"/>
        <v>68000</v>
      </c>
      <c r="AP13" s="54">
        <f>'Ежедневный отчет'!M15</f>
        <v>0</v>
      </c>
      <c r="AQ13" s="35">
        <f t="shared" si="17"/>
        <v>68000</v>
      </c>
      <c r="AR13" s="35">
        <f t="shared" si="59"/>
        <v>400000</v>
      </c>
      <c r="AS13" s="51">
        <f>'Ежедневный отчет'!J15</f>
        <v>0</v>
      </c>
      <c r="AT13" s="35">
        <f t="shared" si="18"/>
        <v>400000</v>
      </c>
      <c r="AU13" s="35">
        <f t="shared" si="60"/>
        <v>400000</v>
      </c>
      <c r="AV13" s="51">
        <f>'Ежедневный отчет'!L15</f>
        <v>0</v>
      </c>
      <c r="AW13" s="35">
        <f t="shared" si="19"/>
        <v>400000</v>
      </c>
    </row>
    <row r="14">
      <c r="A14" s="9" t="s">
        <v>53</v>
      </c>
      <c r="B14" s="9">
        <v>22.0</v>
      </c>
      <c r="C14" s="9">
        <f>DAY(TODAY())</f>
        <v>25</v>
      </c>
      <c r="D14" s="73">
        <f>C14/30</f>
        <v>0.8333333333</v>
      </c>
      <c r="J14" s="74">
        <f>AVERAGE(J4:J9)</f>
        <v>1.202458406</v>
      </c>
      <c r="N14" s="37">
        <f>AVERAGE(N4:N9)</f>
        <v>1.101618875</v>
      </c>
      <c r="R14" s="37">
        <f>AVERAGE(R4:R9)</f>
        <v>0.8307038182</v>
      </c>
      <c r="V14" s="37">
        <f>AVERAGE(V4:V9)</f>
        <v>1.427924403</v>
      </c>
      <c r="Y14" s="45">
        <v>43566.0</v>
      </c>
      <c r="Z14" s="46">
        <f t="shared" si="53"/>
        <v>6.5</v>
      </c>
      <c r="AA14">
        <f>'Ежедневный отчет'!C16</f>
        <v>0</v>
      </c>
      <c r="AB14" s="46">
        <f t="shared" si="12"/>
        <v>6.5</v>
      </c>
      <c r="AC14" s="46">
        <f t="shared" si="54"/>
        <v>4</v>
      </c>
      <c r="AD14" s="9">
        <f>'Ежедневный отчет'!D16</f>
        <v>2</v>
      </c>
      <c r="AE14" s="46">
        <f t="shared" si="13"/>
        <v>2</v>
      </c>
      <c r="AF14" s="46">
        <f t="shared" si="55"/>
        <v>0.8</v>
      </c>
      <c r="AG14" s="9">
        <f>'Ежедневный отчет'!F16</f>
        <v>5</v>
      </c>
      <c r="AH14" s="46">
        <f t="shared" si="14"/>
        <v>-4.2</v>
      </c>
      <c r="AI14" s="46">
        <f t="shared" si="56"/>
        <v>-0.8</v>
      </c>
      <c r="AJ14" s="9">
        <f>'Ежедневный отчет'!G16</f>
        <v>2</v>
      </c>
      <c r="AK14" s="46">
        <f t="shared" si="15"/>
        <v>-2.8</v>
      </c>
      <c r="AL14" s="35">
        <f t="shared" si="57"/>
        <v>392334.18</v>
      </c>
      <c r="AM14" s="71">
        <f>'Ежедневный отчет'!H16</f>
        <v>732242.26</v>
      </c>
      <c r="AN14" s="35">
        <f t="shared" si="16"/>
        <v>-339908.08</v>
      </c>
      <c r="AO14" s="35">
        <f t="shared" si="58"/>
        <v>108000</v>
      </c>
      <c r="AP14" s="54">
        <f>'Ежедневный отчет'!M16</f>
        <v>275000</v>
      </c>
      <c r="AQ14" s="35">
        <f t="shared" si="17"/>
        <v>-167000</v>
      </c>
      <c r="AR14" s="35">
        <f t="shared" si="59"/>
        <v>450000</v>
      </c>
      <c r="AS14" s="51">
        <f>'Ежедневный отчет'!J16</f>
        <v>0</v>
      </c>
      <c r="AT14" s="35">
        <f t="shared" si="18"/>
        <v>450000</v>
      </c>
      <c r="AU14" s="35">
        <f t="shared" si="60"/>
        <v>450000</v>
      </c>
      <c r="AV14" s="51">
        <f>'Ежедневный отчет'!L16</f>
        <v>0</v>
      </c>
      <c r="AW14" s="35">
        <f t="shared" si="19"/>
        <v>450000</v>
      </c>
    </row>
    <row r="15">
      <c r="Y15" s="45">
        <v>43567.0</v>
      </c>
      <c r="Z15" s="46">
        <f t="shared" si="53"/>
        <v>13</v>
      </c>
      <c r="AA15">
        <f>'Ежедневный отчет'!C17</f>
        <v>7</v>
      </c>
      <c r="AB15" s="46">
        <f t="shared" si="12"/>
        <v>6</v>
      </c>
      <c r="AC15" s="46">
        <f t="shared" si="54"/>
        <v>6</v>
      </c>
      <c r="AD15" s="9">
        <f>'Ежедневный отчет'!D17</f>
        <v>2</v>
      </c>
      <c r="AE15" s="46">
        <f t="shared" si="13"/>
        <v>4</v>
      </c>
      <c r="AF15" s="46">
        <f t="shared" si="55"/>
        <v>-1</v>
      </c>
      <c r="AG15" s="9">
        <f>'Ежедневный отчет'!F17</f>
        <v>4</v>
      </c>
      <c r="AH15" s="46">
        <f t="shared" si="14"/>
        <v>-5</v>
      </c>
      <c r="AI15" s="46">
        <f t="shared" si="56"/>
        <v>-2</v>
      </c>
      <c r="AJ15" s="9">
        <f>'Ежедневный отчет'!G17</f>
        <v>1</v>
      </c>
      <c r="AK15" s="46">
        <f t="shared" si="15"/>
        <v>-3</v>
      </c>
      <c r="AL15" s="35">
        <f t="shared" si="57"/>
        <v>-139908.08</v>
      </c>
      <c r="AM15" s="54">
        <f>'Ежедневный отчет'!H17</f>
        <v>71670.99</v>
      </c>
      <c r="AN15" s="35">
        <f t="shared" si="16"/>
        <v>-211579.07</v>
      </c>
      <c r="AO15" s="35">
        <f t="shared" si="58"/>
        <v>-127000</v>
      </c>
      <c r="AP15" s="54">
        <f>'Ежедневный отчет'!M17</f>
        <v>30000</v>
      </c>
      <c r="AQ15" s="35">
        <f t="shared" si="17"/>
        <v>-157000</v>
      </c>
      <c r="AR15" s="35">
        <f t="shared" si="59"/>
        <v>500000</v>
      </c>
      <c r="AS15" s="51">
        <f>'Ежедневный отчет'!J17</f>
        <v>0</v>
      </c>
      <c r="AT15" s="35">
        <f t="shared" si="18"/>
        <v>500000</v>
      </c>
      <c r="AU15" s="35">
        <f t="shared" si="60"/>
        <v>500000</v>
      </c>
      <c r="AV15" s="51">
        <f>'Ежедневный отчет'!L17</f>
        <v>0</v>
      </c>
      <c r="AW15" s="35">
        <f t="shared" si="19"/>
        <v>500000</v>
      </c>
    </row>
    <row r="16">
      <c r="B16" s="13" t="s">
        <v>54</v>
      </c>
      <c r="Y16" s="45">
        <v>43568.0</v>
      </c>
      <c r="Z16" s="67">
        <f t="shared" ref="Z16:Z17" si="61">+AB15</f>
        <v>6</v>
      </c>
      <c r="AA16" t="str">
        <f>'Ежедневный отчет'!C18</f>
        <v/>
      </c>
      <c r="AB16" s="67">
        <f t="shared" si="12"/>
        <v>6</v>
      </c>
      <c r="AC16" s="67">
        <f t="shared" ref="AC16:AC17" si="62">+AE15</f>
        <v>4</v>
      </c>
      <c r="AD16" s="9">
        <f>'Ежедневный отчет'!D18</f>
        <v>0</v>
      </c>
      <c r="AE16" s="67">
        <f t="shared" si="13"/>
        <v>4</v>
      </c>
      <c r="AF16" s="67">
        <f t="shared" ref="AF16:AF17" si="63">+AH15</f>
        <v>-5</v>
      </c>
      <c r="AG16" s="9" t="str">
        <f>'Ежедневный отчет'!F18</f>
        <v/>
      </c>
      <c r="AH16" s="67">
        <f t="shared" si="14"/>
        <v>-5</v>
      </c>
      <c r="AI16" s="67">
        <f t="shared" ref="AI16:AI17" si="64">+AK15</f>
        <v>-3</v>
      </c>
      <c r="AJ16" s="9" t="str">
        <f>'Ежедневный отчет'!G18</f>
        <v/>
      </c>
      <c r="AK16" s="67">
        <f t="shared" si="15"/>
        <v>-3</v>
      </c>
      <c r="AL16" s="68">
        <f t="shared" ref="AL16:AL17" si="65">+AN15</f>
        <v>-211579.07</v>
      </c>
      <c r="AM16" s="54" t="str">
        <f>'Ежедневный отчет'!H18</f>
        <v/>
      </c>
      <c r="AN16" s="68">
        <f t="shared" si="16"/>
        <v>-211579.07</v>
      </c>
      <c r="AO16" s="68">
        <f t="shared" ref="AO16:AO17" si="66">+AQ15</f>
        <v>-157000</v>
      </c>
      <c r="AP16" s="54">
        <f>'Ежедневный отчет'!M18</f>
        <v>0</v>
      </c>
      <c r="AQ16" s="68">
        <f t="shared" si="17"/>
        <v>-157000</v>
      </c>
      <c r="AR16" s="68">
        <f t="shared" ref="AR16:AR17" si="67">+AT15</f>
        <v>500000</v>
      </c>
      <c r="AS16" s="51" t="str">
        <f>'Ежедневный отчет'!J18</f>
        <v/>
      </c>
      <c r="AT16" s="68">
        <f t="shared" si="18"/>
        <v>500000</v>
      </c>
      <c r="AU16" s="68">
        <f t="shared" ref="AU16:AU17" si="68">+AW15</f>
        <v>500000</v>
      </c>
      <c r="AV16" s="51" t="str">
        <f>'Ежедневный отчет'!L18</f>
        <v/>
      </c>
      <c r="AW16" s="68">
        <f t="shared" si="19"/>
        <v>500000</v>
      </c>
    </row>
    <row r="17">
      <c r="B17" s="75" t="s">
        <v>40</v>
      </c>
      <c r="C17" s="17" t="s">
        <v>41</v>
      </c>
      <c r="D17" s="17" t="s">
        <v>55</v>
      </c>
      <c r="Y17" s="45">
        <v>43569.0</v>
      </c>
      <c r="Z17" s="67">
        <f t="shared" si="61"/>
        <v>6</v>
      </c>
      <c r="AA17" t="str">
        <f>'Ежедневный отчет'!C19</f>
        <v/>
      </c>
      <c r="AB17" s="67">
        <f t="shared" si="12"/>
        <v>6</v>
      </c>
      <c r="AC17" s="67">
        <f t="shared" si="62"/>
        <v>4</v>
      </c>
      <c r="AD17" s="9">
        <f>'Ежедневный отчет'!D19</f>
        <v>3</v>
      </c>
      <c r="AE17" s="67">
        <f t="shared" si="13"/>
        <v>1</v>
      </c>
      <c r="AF17" s="67">
        <f t="shared" si="63"/>
        <v>-5</v>
      </c>
      <c r="AG17" s="9" t="str">
        <f>'Ежедневный отчет'!F19</f>
        <v/>
      </c>
      <c r="AH17" s="67">
        <f t="shared" si="14"/>
        <v>-5</v>
      </c>
      <c r="AI17" s="67">
        <f t="shared" si="64"/>
        <v>-3</v>
      </c>
      <c r="AJ17" s="9" t="str">
        <f>'Ежедневный отчет'!G19</f>
        <v/>
      </c>
      <c r="AK17" s="67">
        <f t="shared" si="15"/>
        <v>-3</v>
      </c>
      <c r="AL17" s="68">
        <f t="shared" si="65"/>
        <v>-211579.07</v>
      </c>
      <c r="AM17" s="54" t="str">
        <f>'Ежедневный отчет'!H19</f>
        <v/>
      </c>
      <c r="AN17" s="68">
        <f t="shared" si="16"/>
        <v>-211579.07</v>
      </c>
      <c r="AO17" s="68">
        <f t="shared" si="66"/>
        <v>-157000</v>
      </c>
      <c r="AP17" s="54">
        <f>'Ежедневный отчет'!M19</f>
        <v>0</v>
      </c>
      <c r="AQ17" s="68">
        <f t="shared" si="17"/>
        <v>-157000</v>
      </c>
      <c r="AR17" s="68">
        <f t="shared" si="67"/>
        <v>500000</v>
      </c>
      <c r="AS17" s="51" t="str">
        <f>'Ежедневный отчет'!J19</f>
        <v/>
      </c>
      <c r="AT17" s="68">
        <f t="shared" si="18"/>
        <v>500000</v>
      </c>
      <c r="AU17" s="68">
        <f t="shared" si="68"/>
        <v>500000</v>
      </c>
      <c r="AV17" s="51" t="str">
        <f>'Ежедневный отчет'!L19</f>
        <v/>
      </c>
      <c r="AW17" s="68">
        <f t="shared" si="19"/>
        <v>500000</v>
      </c>
    </row>
    <row r="18">
      <c r="A18" s="76" t="s">
        <v>56</v>
      </c>
      <c r="B18" s="77">
        <f t="shared" ref="B18:C18" si="69">B8/B9</f>
        <v>0.6153846154</v>
      </c>
      <c r="C18" s="78">
        <f t="shared" si="69"/>
        <v>0.7777777778</v>
      </c>
      <c r="D18" s="37">
        <f t="shared" ref="D18:D22" si="71">C18-B18</f>
        <v>0.1623931624</v>
      </c>
      <c r="Y18" s="45">
        <v>43570.0</v>
      </c>
      <c r="Z18" s="46">
        <f t="shared" ref="Z18:Z22" si="72">$B$9/20+AB17</f>
        <v>12.5</v>
      </c>
      <c r="AA18">
        <f>'Ежедневный отчет'!C20</f>
        <v>11</v>
      </c>
      <c r="AB18" s="46">
        <f t="shared" si="12"/>
        <v>1.5</v>
      </c>
      <c r="AC18" s="46">
        <f t="shared" ref="AC18:AC22" si="73">$B$8/20+AE17</f>
        <v>5</v>
      </c>
      <c r="AD18" s="9">
        <f>'Ежедневный отчет'!D20</f>
        <v>3</v>
      </c>
      <c r="AE18" s="46">
        <f t="shared" si="13"/>
        <v>2</v>
      </c>
      <c r="AF18" s="46">
        <f t="shared" ref="AF18:AF22" si="74">$B$7/20+AH17</f>
        <v>-1.8</v>
      </c>
      <c r="AG18" s="9">
        <f>'Ежедневный отчет'!F20</f>
        <v>0</v>
      </c>
      <c r="AH18" s="46">
        <f t="shared" si="14"/>
        <v>-1.8</v>
      </c>
      <c r="AI18" s="46">
        <f t="shared" ref="AI18:AI22" si="75">$B$6/20+AK17</f>
        <v>-2.2</v>
      </c>
      <c r="AJ18" s="9">
        <f>'Ежедневный отчет'!G20</f>
        <v>3</v>
      </c>
      <c r="AK18" s="46">
        <f t="shared" si="15"/>
        <v>-5.2</v>
      </c>
      <c r="AL18" s="35">
        <f t="shared" ref="AL18:AL22" si="76">$B$5/20+AN17</f>
        <v>-11579.07</v>
      </c>
      <c r="AM18" s="54">
        <f>'Ежедневный отчет'!H20</f>
        <v>127308.99</v>
      </c>
      <c r="AN18" s="35">
        <f t="shared" si="16"/>
        <v>-138888.06</v>
      </c>
      <c r="AO18" s="35">
        <f t="shared" ref="AO18:AO22" si="77">$B$4/20+AQ17</f>
        <v>-117000</v>
      </c>
      <c r="AP18" s="54">
        <f>'Ежедневный отчет'!M20</f>
        <v>25000</v>
      </c>
      <c r="AQ18" s="35">
        <f t="shared" si="17"/>
        <v>-142000</v>
      </c>
      <c r="AR18" s="35">
        <f t="shared" ref="AR18:AR22" si="78">$B$11/20+AT17</f>
        <v>550000</v>
      </c>
      <c r="AS18" s="51">
        <f>'Ежедневный отчет'!J20</f>
        <v>0</v>
      </c>
      <c r="AT18" s="35">
        <f t="shared" si="18"/>
        <v>550000</v>
      </c>
      <c r="AU18" s="35">
        <f t="shared" ref="AU18:AU22" si="79">$B$12/20+AW17</f>
        <v>550000</v>
      </c>
      <c r="AV18" s="51">
        <f>'Ежедневный отчет'!L20</f>
        <v>0</v>
      </c>
      <c r="AW18" s="35">
        <f t="shared" si="19"/>
        <v>550000</v>
      </c>
    </row>
    <row r="19">
      <c r="A19" s="76" t="s">
        <v>57</v>
      </c>
      <c r="B19" s="77">
        <f t="shared" ref="B19:C19" si="70">B7/B8</f>
        <v>0.8</v>
      </c>
      <c r="C19" s="78">
        <f t="shared" si="70"/>
        <v>0.7478991597</v>
      </c>
      <c r="D19" s="37">
        <f t="shared" si="71"/>
        <v>-0.05210084034</v>
      </c>
      <c r="Y19" s="45">
        <v>43571.0</v>
      </c>
      <c r="Z19" s="46">
        <f t="shared" si="72"/>
        <v>8</v>
      </c>
      <c r="AA19">
        <f>'Ежедневный отчет'!C21</f>
        <v>4</v>
      </c>
      <c r="AB19" s="46">
        <f t="shared" si="12"/>
        <v>4</v>
      </c>
      <c r="AC19" s="46">
        <f t="shared" si="73"/>
        <v>6</v>
      </c>
      <c r="AD19" s="9">
        <f>'Ежедневный отчет'!D21</f>
        <v>7</v>
      </c>
      <c r="AE19" s="46">
        <f t="shared" si="13"/>
        <v>-1</v>
      </c>
      <c r="AF19" s="46">
        <f t="shared" si="74"/>
        <v>1.4</v>
      </c>
      <c r="AG19" s="9">
        <f>'Ежедневный отчет'!F21</f>
        <v>6</v>
      </c>
      <c r="AH19" s="46">
        <f t="shared" si="14"/>
        <v>-4.6</v>
      </c>
      <c r="AI19" s="46">
        <f t="shared" si="75"/>
        <v>-4.4</v>
      </c>
      <c r="AJ19" s="9">
        <f>'Ежедневный отчет'!G21</f>
        <v>0</v>
      </c>
      <c r="AK19" s="46">
        <f t="shared" si="15"/>
        <v>-4.4</v>
      </c>
      <c r="AL19" s="35">
        <f t="shared" si="76"/>
        <v>61111.94</v>
      </c>
      <c r="AM19" s="54">
        <f>'Ежедневный отчет'!H21</f>
        <v>0</v>
      </c>
      <c r="AN19" s="35">
        <f t="shared" si="16"/>
        <v>61111.94</v>
      </c>
      <c r="AO19" s="35">
        <f t="shared" si="77"/>
        <v>-102000</v>
      </c>
      <c r="AP19" s="54">
        <f>'Ежедневный отчет'!M21</f>
        <v>0</v>
      </c>
      <c r="AQ19" s="35">
        <f t="shared" si="17"/>
        <v>-102000</v>
      </c>
      <c r="AR19" s="35">
        <f t="shared" si="78"/>
        <v>600000</v>
      </c>
      <c r="AS19" s="51">
        <f>'Ежедневный отчет'!J21</f>
        <v>0</v>
      </c>
      <c r="AT19" s="35">
        <f t="shared" si="18"/>
        <v>600000</v>
      </c>
      <c r="AU19" s="35">
        <f t="shared" si="79"/>
        <v>600000</v>
      </c>
      <c r="AV19" s="51">
        <f>'Ежедневный отчет'!L21</f>
        <v>0</v>
      </c>
      <c r="AW19" s="35">
        <f t="shared" si="19"/>
        <v>600000</v>
      </c>
    </row>
    <row r="20">
      <c r="A20" s="79" t="s">
        <v>58</v>
      </c>
      <c r="B20" s="77">
        <f t="shared" ref="B20:C20" si="80">B6/B7</f>
        <v>0.25</v>
      </c>
      <c r="C20" s="78">
        <f t="shared" si="80"/>
        <v>0.2359550562</v>
      </c>
      <c r="D20" s="37">
        <f t="shared" si="71"/>
        <v>-0.01404494382</v>
      </c>
      <c r="Y20" s="45">
        <v>43572.0</v>
      </c>
      <c r="Z20" s="46">
        <f t="shared" si="72"/>
        <v>10.5</v>
      </c>
      <c r="AA20">
        <f>'Ежедневный отчет'!C22</f>
        <v>0</v>
      </c>
      <c r="AB20" s="46">
        <f t="shared" si="12"/>
        <v>10.5</v>
      </c>
      <c r="AC20" s="46">
        <f t="shared" si="73"/>
        <v>3</v>
      </c>
      <c r="AD20" s="9">
        <f>'Ежедневный отчет'!D22</f>
        <v>6</v>
      </c>
      <c r="AE20" s="46">
        <f t="shared" si="13"/>
        <v>-3</v>
      </c>
      <c r="AF20" s="46">
        <f t="shared" si="74"/>
        <v>-1.4</v>
      </c>
      <c r="AG20" s="9">
        <f>'Ежедневный отчет'!F22</f>
        <v>1</v>
      </c>
      <c r="AH20" s="46">
        <f t="shared" si="14"/>
        <v>-2.4</v>
      </c>
      <c r="AI20" s="46">
        <f t="shared" si="75"/>
        <v>-3.6</v>
      </c>
      <c r="AJ20" s="9">
        <f>'Ежедневный отчет'!G22</f>
        <v>0</v>
      </c>
      <c r="AK20" s="46">
        <f t="shared" si="15"/>
        <v>-3.6</v>
      </c>
      <c r="AL20" s="35">
        <f t="shared" si="76"/>
        <v>261111.94</v>
      </c>
      <c r="AM20" s="54">
        <f>'Ежедневный отчет'!H22</f>
        <v>0</v>
      </c>
      <c r="AN20" s="35">
        <f t="shared" si="16"/>
        <v>261111.94</v>
      </c>
      <c r="AO20" s="35">
        <f t="shared" si="77"/>
        <v>-62000</v>
      </c>
      <c r="AP20" s="54">
        <f>'Ежедневный отчет'!M22</f>
        <v>0</v>
      </c>
      <c r="AQ20" s="35">
        <f t="shared" si="17"/>
        <v>-62000</v>
      </c>
      <c r="AR20" s="35">
        <f t="shared" si="78"/>
        <v>650000</v>
      </c>
      <c r="AS20" s="51">
        <f>'Ежедневный отчет'!J22</f>
        <v>0</v>
      </c>
      <c r="AT20" s="35">
        <f t="shared" si="18"/>
        <v>650000</v>
      </c>
      <c r="AU20" s="35">
        <f t="shared" si="79"/>
        <v>650000</v>
      </c>
      <c r="AV20" s="51">
        <f>'Ежедневный отчет'!L22</f>
        <v>0</v>
      </c>
      <c r="AW20" s="35">
        <f t="shared" si="19"/>
        <v>650000</v>
      </c>
    </row>
    <row r="21">
      <c r="A21" s="76" t="s">
        <v>59</v>
      </c>
      <c r="B21" s="77">
        <v>0.2</v>
      </c>
      <c r="C21" s="78">
        <f t="shared" ref="C21:C22" si="81">C4/C5</f>
        <v>0.2410709559</v>
      </c>
      <c r="D21" s="37">
        <f t="shared" si="71"/>
        <v>0.04107095593</v>
      </c>
      <c r="H21" s="74">
        <f t="shared" ref="H21:H22" si="82">H4/H5</f>
        <v>0.1792582545</v>
      </c>
      <c r="L21" s="74">
        <f t="shared" ref="L21:L22" si="83">L4/L5</f>
        <v>0.3272754343</v>
      </c>
      <c r="P21" s="74">
        <f t="shared" ref="P21:P22" si="84">P4/P5</f>
        <v>0.1963726207</v>
      </c>
      <c r="T21" s="74">
        <f t="shared" ref="T21:T22" si="85">T4/T5</f>
        <v>0.2256086583</v>
      </c>
      <c r="Y21" s="45">
        <v>43573.0</v>
      </c>
      <c r="Z21" s="46">
        <f t="shared" si="72"/>
        <v>17</v>
      </c>
      <c r="AA21">
        <f>'Ежедневный отчет'!C23</f>
        <v>9</v>
      </c>
      <c r="AB21" s="46">
        <f t="shared" si="12"/>
        <v>8</v>
      </c>
      <c r="AC21" s="46">
        <f t="shared" si="73"/>
        <v>1</v>
      </c>
      <c r="AD21" s="9">
        <f>'Ежедневный отчет'!D23</f>
        <v>10</v>
      </c>
      <c r="AE21" s="46">
        <f t="shared" si="13"/>
        <v>-9</v>
      </c>
      <c r="AF21" s="46">
        <f t="shared" si="74"/>
        <v>0.8</v>
      </c>
      <c r="AG21" s="9">
        <f>'Ежедневный отчет'!F23</f>
        <v>3</v>
      </c>
      <c r="AH21" s="46">
        <f t="shared" si="14"/>
        <v>-2.2</v>
      </c>
      <c r="AI21" s="46">
        <f t="shared" si="75"/>
        <v>-2.8</v>
      </c>
      <c r="AJ21" s="9">
        <f>'Ежедневный отчет'!G23</f>
        <v>0</v>
      </c>
      <c r="AK21" s="46">
        <f t="shared" si="15"/>
        <v>-2.8</v>
      </c>
      <c r="AL21" s="35">
        <f t="shared" si="76"/>
        <v>461111.94</v>
      </c>
      <c r="AM21" s="54">
        <f>'Ежедневный отчет'!H23</f>
        <v>0</v>
      </c>
      <c r="AN21" s="35">
        <f t="shared" si="16"/>
        <v>461111.94</v>
      </c>
      <c r="AO21" s="35">
        <f t="shared" si="77"/>
        <v>-22000</v>
      </c>
      <c r="AP21" s="54">
        <f>'Ежедневный отчет'!M23</f>
        <v>0</v>
      </c>
      <c r="AQ21" s="35">
        <f t="shared" si="17"/>
        <v>-22000</v>
      </c>
      <c r="AR21" s="35">
        <f t="shared" si="78"/>
        <v>700000</v>
      </c>
      <c r="AS21" s="51">
        <f>'Ежедневный отчет'!J23</f>
        <v>0</v>
      </c>
      <c r="AT21" s="35">
        <f t="shared" si="18"/>
        <v>700000</v>
      </c>
      <c r="AU21" s="35">
        <f t="shared" si="79"/>
        <v>700000</v>
      </c>
      <c r="AV21" s="51">
        <f>'Ежедневный отчет'!L23</f>
        <v>0</v>
      </c>
      <c r="AW21" s="35">
        <f t="shared" si="19"/>
        <v>700000</v>
      </c>
    </row>
    <row r="22">
      <c r="A22" s="80" t="s">
        <v>60</v>
      </c>
      <c r="B22" s="81">
        <v>250000.0</v>
      </c>
      <c r="C22" s="82">
        <f t="shared" si="81"/>
        <v>167308.97</v>
      </c>
      <c r="D22" s="35">
        <f t="shared" si="71"/>
        <v>-82691.03</v>
      </c>
      <c r="H22" s="35">
        <f t="shared" si="82"/>
        <v>160980.8314</v>
      </c>
      <c r="L22" s="35">
        <f t="shared" si="83"/>
        <v>271178.3125</v>
      </c>
      <c r="P22" s="35">
        <f t="shared" si="84"/>
        <v>42436.33</v>
      </c>
      <c r="T22" s="35">
        <f t="shared" si="85"/>
        <v>167800.0443</v>
      </c>
      <c r="Y22" s="45">
        <v>43574.0</v>
      </c>
      <c r="Z22" s="46">
        <f t="shared" si="72"/>
        <v>14.5</v>
      </c>
      <c r="AA22">
        <f>'Ежедневный отчет'!C24</f>
        <v>23</v>
      </c>
      <c r="AB22" s="46">
        <f t="shared" si="12"/>
        <v>-8.5</v>
      </c>
      <c r="AC22" s="46">
        <f t="shared" si="73"/>
        <v>-5</v>
      </c>
      <c r="AD22" s="9">
        <f>'Ежедневный отчет'!D24</f>
        <v>6</v>
      </c>
      <c r="AE22" s="46">
        <f t="shared" si="13"/>
        <v>-11</v>
      </c>
      <c r="AF22" s="46">
        <f t="shared" si="74"/>
        <v>1</v>
      </c>
      <c r="AG22" s="9">
        <f>'Ежедневный отчет'!F24</f>
        <v>7</v>
      </c>
      <c r="AH22" s="46">
        <f t="shared" si="14"/>
        <v>-6</v>
      </c>
      <c r="AI22" s="46">
        <f t="shared" si="75"/>
        <v>-2</v>
      </c>
      <c r="AJ22" s="9">
        <f>'Ежедневный отчет'!G24</f>
        <v>0</v>
      </c>
      <c r="AK22" s="46">
        <f t="shared" si="15"/>
        <v>-2</v>
      </c>
      <c r="AL22" s="35">
        <f t="shared" si="76"/>
        <v>661111.94</v>
      </c>
      <c r="AM22" s="54">
        <f>'Ежедневный отчет'!H24</f>
        <v>0</v>
      </c>
      <c r="AN22" s="35">
        <f t="shared" si="16"/>
        <v>661111.94</v>
      </c>
      <c r="AO22" s="35">
        <f t="shared" si="77"/>
        <v>18000</v>
      </c>
      <c r="AP22" s="54">
        <f>'Ежедневный отчет'!M24</f>
        <v>0</v>
      </c>
      <c r="AQ22" s="35">
        <f t="shared" si="17"/>
        <v>18000</v>
      </c>
      <c r="AR22" s="35">
        <f t="shared" si="78"/>
        <v>750000</v>
      </c>
      <c r="AS22" s="51">
        <f>'Ежедневный отчет'!J24</f>
        <v>0</v>
      </c>
      <c r="AT22" s="35">
        <f t="shared" si="18"/>
        <v>750000</v>
      </c>
      <c r="AU22" s="35">
        <f t="shared" si="79"/>
        <v>750000</v>
      </c>
      <c r="AV22" s="51">
        <f>'Ежедневный отчет'!L24</f>
        <v>0</v>
      </c>
      <c r="AW22" s="35">
        <f t="shared" si="19"/>
        <v>750000</v>
      </c>
    </row>
    <row r="23">
      <c r="Y23" s="45">
        <v>43575.0</v>
      </c>
      <c r="Z23" s="67">
        <f t="shared" ref="Z23:Z24" si="86">+AB22</f>
        <v>-8.5</v>
      </c>
      <c r="AA23" t="str">
        <f>'Ежедневный отчет'!C25</f>
        <v/>
      </c>
      <c r="AB23" s="67">
        <f t="shared" si="12"/>
        <v>-8.5</v>
      </c>
      <c r="AC23" s="67">
        <f t="shared" ref="AC23:AC24" si="87">+AE22</f>
        <v>-11</v>
      </c>
      <c r="AD23" s="9">
        <f>'Ежедневный отчет'!D25</f>
        <v>1</v>
      </c>
      <c r="AE23" s="67">
        <f t="shared" si="13"/>
        <v>-12</v>
      </c>
      <c r="AF23" s="67">
        <f t="shared" ref="AF23:AF24" si="88">+AH22</f>
        <v>-6</v>
      </c>
      <c r="AG23" s="9" t="str">
        <f>'Ежедневный отчет'!F25</f>
        <v/>
      </c>
      <c r="AH23" s="67">
        <f t="shared" si="14"/>
        <v>-6</v>
      </c>
      <c r="AI23" s="67">
        <f t="shared" ref="AI23:AI24" si="89">+AK22</f>
        <v>-2</v>
      </c>
      <c r="AJ23" s="9" t="str">
        <f>'Ежедневный отчет'!G25</f>
        <v/>
      </c>
      <c r="AK23" s="67">
        <f t="shared" si="15"/>
        <v>-2</v>
      </c>
      <c r="AL23" s="68">
        <f t="shared" ref="AL23:AL24" si="90">+AN22</f>
        <v>661111.94</v>
      </c>
      <c r="AM23" s="54" t="str">
        <f>'Ежедневный отчет'!H25</f>
        <v/>
      </c>
      <c r="AN23" s="68">
        <f t="shared" si="16"/>
        <v>661111.94</v>
      </c>
      <c r="AO23" s="68">
        <f t="shared" ref="AO23:AO24" si="91">+AQ22</f>
        <v>18000</v>
      </c>
      <c r="AP23" s="54">
        <f>'Ежедневный отчет'!M25</f>
        <v>0</v>
      </c>
      <c r="AQ23" s="68">
        <f t="shared" si="17"/>
        <v>18000</v>
      </c>
      <c r="AR23" s="68">
        <f t="shared" ref="AR23:AR24" si="92">+AT22</f>
        <v>750000</v>
      </c>
      <c r="AS23" s="51" t="str">
        <f>'Ежедневный отчет'!J25</f>
        <v/>
      </c>
      <c r="AT23" s="68">
        <f t="shared" si="18"/>
        <v>750000</v>
      </c>
      <c r="AU23" s="68">
        <f t="shared" ref="AU23:AU24" si="93">+AW22</f>
        <v>750000</v>
      </c>
      <c r="AV23" s="51" t="str">
        <f>'Ежедневный отчет'!L25</f>
        <v/>
      </c>
      <c r="AW23" s="68">
        <f t="shared" si="19"/>
        <v>750000</v>
      </c>
    </row>
    <row r="24">
      <c r="Y24" s="45">
        <v>43576.0</v>
      </c>
      <c r="Z24" s="67">
        <f t="shared" si="86"/>
        <v>-8.5</v>
      </c>
      <c r="AA24" t="str">
        <f>'Ежедневный отчет'!C26</f>
        <v/>
      </c>
      <c r="AB24" s="67">
        <f t="shared" si="12"/>
        <v>-8.5</v>
      </c>
      <c r="AC24" s="67">
        <f t="shared" si="87"/>
        <v>-12</v>
      </c>
      <c r="AD24" s="9">
        <f>'Ежедневный отчет'!D26</f>
        <v>3</v>
      </c>
      <c r="AE24" s="67">
        <f t="shared" si="13"/>
        <v>-15</v>
      </c>
      <c r="AF24" s="67">
        <f t="shared" si="88"/>
        <v>-6</v>
      </c>
      <c r="AG24" s="9" t="str">
        <f>'Ежедневный отчет'!F26</f>
        <v/>
      </c>
      <c r="AH24" s="67">
        <f t="shared" si="14"/>
        <v>-6</v>
      </c>
      <c r="AI24" s="67">
        <f t="shared" si="89"/>
        <v>-2</v>
      </c>
      <c r="AJ24" s="9" t="str">
        <f>'Ежедневный отчет'!G26</f>
        <v/>
      </c>
      <c r="AK24" s="67">
        <f t="shared" si="15"/>
        <v>-2</v>
      </c>
      <c r="AL24" s="68">
        <f t="shared" si="90"/>
        <v>661111.94</v>
      </c>
      <c r="AM24" s="54" t="str">
        <f>'Ежедневный отчет'!H26</f>
        <v/>
      </c>
      <c r="AN24" s="68">
        <f t="shared" si="16"/>
        <v>661111.94</v>
      </c>
      <c r="AO24" s="68">
        <f t="shared" si="91"/>
        <v>18000</v>
      </c>
      <c r="AP24" s="54">
        <f>'Ежедневный отчет'!M26</f>
        <v>0</v>
      </c>
      <c r="AQ24" s="68">
        <f t="shared" si="17"/>
        <v>18000</v>
      </c>
      <c r="AR24" s="68">
        <f t="shared" si="92"/>
        <v>750000</v>
      </c>
      <c r="AS24" s="51" t="str">
        <f>'Ежедневный отчет'!J26</f>
        <v/>
      </c>
      <c r="AT24" s="68">
        <f t="shared" si="18"/>
        <v>750000</v>
      </c>
      <c r="AU24" s="68">
        <f t="shared" si="93"/>
        <v>750000</v>
      </c>
      <c r="AV24" s="51" t="str">
        <f>'Ежедневный отчет'!L26</f>
        <v/>
      </c>
      <c r="AW24" s="68">
        <f t="shared" si="19"/>
        <v>750000</v>
      </c>
    </row>
    <row r="25">
      <c r="Y25" s="45">
        <v>43577.0</v>
      </c>
      <c r="Z25" s="46">
        <f t="shared" ref="Z25:Z29" si="94">$B$9/20+AB24</f>
        <v>-2</v>
      </c>
      <c r="AA25">
        <f>'Ежедневный отчет'!C27</f>
        <v>0</v>
      </c>
      <c r="AB25" s="46">
        <f t="shared" si="12"/>
        <v>-2</v>
      </c>
      <c r="AC25" s="46">
        <f t="shared" ref="AC25:AC29" si="95">$B$8/20+AE24</f>
        <v>-11</v>
      </c>
      <c r="AD25" s="9">
        <f>'Ежедневный отчет'!D27</f>
        <v>6</v>
      </c>
      <c r="AE25" s="46">
        <f t="shared" si="13"/>
        <v>-17</v>
      </c>
      <c r="AF25" s="46">
        <f t="shared" ref="AF25:AF29" si="96">$B$7/20+AH24</f>
        <v>-2.8</v>
      </c>
      <c r="AG25" s="9">
        <f>'Ежедневный отчет'!F27</f>
        <v>3</v>
      </c>
      <c r="AH25" s="46">
        <f t="shared" si="14"/>
        <v>-5.8</v>
      </c>
      <c r="AI25" s="46">
        <f t="shared" ref="AI25:AI29" si="97">$B$6/20+AK24</f>
        <v>-1.2</v>
      </c>
      <c r="AJ25" s="9">
        <f>'Ежедневный отчет'!G27</f>
        <v>2</v>
      </c>
      <c r="AK25" s="46">
        <f t="shared" si="15"/>
        <v>-3.2</v>
      </c>
      <c r="AL25" s="35">
        <f t="shared" ref="AL25:AL29" si="98">$B$5/20+AN24</f>
        <v>861111.94</v>
      </c>
      <c r="AM25" s="54">
        <f>'Ежедневный отчет'!H27</f>
        <v>477069.64</v>
      </c>
      <c r="AN25" s="35">
        <f t="shared" si="16"/>
        <v>384042.3</v>
      </c>
      <c r="AO25" s="35">
        <f t="shared" ref="AO25:AO29" si="99">$B$4/20+AQ24</f>
        <v>58000</v>
      </c>
      <c r="AP25" s="54">
        <f>'Ежедневный отчет'!M27</f>
        <v>100000</v>
      </c>
      <c r="AQ25" s="35">
        <f t="shared" si="17"/>
        <v>-42000</v>
      </c>
      <c r="AR25" s="35">
        <f t="shared" ref="AR25:AR29" si="100">$B$11/20+AT24</f>
        <v>800000</v>
      </c>
      <c r="AS25" s="51">
        <f>'Ежедневный отчет'!J27</f>
        <v>0</v>
      </c>
      <c r="AT25" s="35">
        <f t="shared" si="18"/>
        <v>800000</v>
      </c>
      <c r="AU25" s="35">
        <f t="shared" ref="AU25:AU29" si="101">$B$12/20+AW24</f>
        <v>800000</v>
      </c>
      <c r="AV25" s="51">
        <f>'Ежедневный отчет'!L27</f>
        <v>0</v>
      </c>
      <c r="AW25" s="35">
        <f t="shared" si="19"/>
        <v>800000</v>
      </c>
    </row>
    <row r="26">
      <c r="Y26" s="45">
        <v>43578.0</v>
      </c>
      <c r="Z26" s="46">
        <f t="shared" si="94"/>
        <v>4.5</v>
      </c>
      <c r="AA26">
        <f>'Ежедневный отчет'!C28</f>
        <v>11</v>
      </c>
      <c r="AB26" s="46">
        <f t="shared" si="12"/>
        <v>-6.5</v>
      </c>
      <c r="AC26" s="46">
        <f t="shared" si="95"/>
        <v>-13</v>
      </c>
      <c r="AD26" s="9">
        <f>'Ежедневный отчет'!D28</f>
        <v>8</v>
      </c>
      <c r="AE26" s="46">
        <f t="shared" si="13"/>
        <v>-21</v>
      </c>
      <c r="AF26" s="46">
        <f t="shared" si="96"/>
        <v>-2.6</v>
      </c>
      <c r="AG26" s="9">
        <f>'Ежедневный отчет'!F28</f>
        <v>7</v>
      </c>
      <c r="AH26" s="46">
        <f t="shared" si="14"/>
        <v>-9.6</v>
      </c>
      <c r="AI26" s="46">
        <f t="shared" si="97"/>
        <v>-2.4</v>
      </c>
      <c r="AJ26" s="9">
        <f>'Ежедневный отчет'!G28</f>
        <v>0</v>
      </c>
      <c r="AK26" s="46">
        <f t="shared" si="15"/>
        <v>-2.4</v>
      </c>
      <c r="AL26" s="35">
        <f t="shared" si="98"/>
        <v>584042.3</v>
      </c>
      <c r="AM26" s="54">
        <f>'Ежедневный отчет'!H28</f>
        <v>0</v>
      </c>
      <c r="AN26" s="35">
        <f t="shared" si="16"/>
        <v>584042.3</v>
      </c>
      <c r="AO26" s="35">
        <f t="shared" si="99"/>
        <v>-2000</v>
      </c>
      <c r="AP26" s="54">
        <f>'Ежедневный отчет'!M28</f>
        <v>0</v>
      </c>
      <c r="AQ26" s="35">
        <f t="shared" si="17"/>
        <v>-2000</v>
      </c>
      <c r="AR26" s="35">
        <f t="shared" si="100"/>
        <v>850000</v>
      </c>
      <c r="AS26" s="51">
        <f>'Ежедневный отчет'!J28</f>
        <v>0</v>
      </c>
      <c r="AT26" s="35">
        <f t="shared" si="18"/>
        <v>850000</v>
      </c>
      <c r="AU26" s="35">
        <f t="shared" si="101"/>
        <v>850000</v>
      </c>
      <c r="AV26" s="51">
        <f>'Ежедневный отчет'!L28</f>
        <v>0</v>
      </c>
      <c r="AW26" s="35">
        <f t="shared" si="19"/>
        <v>850000</v>
      </c>
    </row>
    <row r="27">
      <c r="Y27" s="45">
        <v>43579.0</v>
      </c>
      <c r="Z27" s="46">
        <f t="shared" si="94"/>
        <v>0</v>
      </c>
      <c r="AA27">
        <f>'Ежедневный отчет'!C29</f>
        <v>0</v>
      </c>
      <c r="AB27" s="46">
        <f t="shared" si="12"/>
        <v>0</v>
      </c>
      <c r="AC27" s="46">
        <f t="shared" si="95"/>
        <v>-17</v>
      </c>
      <c r="AD27" s="9">
        <f>'Ежедневный отчет'!D29</f>
        <v>10</v>
      </c>
      <c r="AE27" s="46">
        <f t="shared" si="13"/>
        <v>-27</v>
      </c>
      <c r="AF27" s="46">
        <f t="shared" si="96"/>
        <v>-6.4</v>
      </c>
      <c r="AG27" s="9">
        <f>'Ежедневный отчет'!F29</f>
        <v>8</v>
      </c>
      <c r="AH27" s="46">
        <f t="shared" si="14"/>
        <v>-14.4</v>
      </c>
      <c r="AI27" s="46">
        <f t="shared" si="97"/>
        <v>-1.6</v>
      </c>
      <c r="AJ27" s="9">
        <f>'Ежедневный отчет'!G29</f>
        <v>0</v>
      </c>
      <c r="AK27" s="46">
        <f t="shared" si="15"/>
        <v>-1.6</v>
      </c>
      <c r="AL27" s="35">
        <f t="shared" si="98"/>
        <v>784042.3</v>
      </c>
      <c r="AM27" s="54">
        <f>'Ежедневный отчет'!H29</f>
        <v>0</v>
      </c>
      <c r="AN27" s="35">
        <f t="shared" si="16"/>
        <v>784042.3</v>
      </c>
      <c r="AO27" s="35">
        <f t="shared" si="99"/>
        <v>38000</v>
      </c>
      <c r="AP27" s="54">
        <f>'Ежедневный отчет'!M29</f>
        <v>0</v>
      </c>
      <c r="AQ27" s="35">
        <f t="shared" si="17"/>
        <v>38000</v>
      </c>
      <c r="AR27" s="35">
        <f t="shared" si="100"/>
        <v>900000</v>
      </c>
      <c r="AS27" s="51">
        <f>'Ежедневный отчет'!J29</f>
        <v>0</v>
      </c>
      <c r="AT27" s="35">
        <f t="shared" si="18"/>
        <v>900000</v>
      </c>
      <c r="AU27" s="35">
        <f t="shared" si="101"/>
        <v>900000</v>
      </c>
      <c r="AV27" s="51">
        <f>'Ежедневный отчет'!L29</f>
        <v>0</v>
      </c>
      <c r="AW27" s="35">
        <f t="shared" si="19"/>
        <v>900000</v>
      </c>
    </row>
    <row r="28">
      <c r="Y28" s="45">
        <v>43580.0</v>
      </c>
      <c r="Z28" s="46">
        <f t="shared" si="94"/>
        <v>6.5</v>
      </c>
      <c r="AA28">
        <f>'Ежедневный отчет'!C30</f>
        <v>20</v>
      </c>
      <c r="AB28" s="46">
        <f t="shared" si="12"/>
        <v>-13.5</v>
      </c>
      <c r="AC28" s="46">
        <f t="shared" si="95"/>
        <v>-23</v>
      </c>
      <c r="AD28" s="9">
        <f>'Ежедневный отчет'!D30</f>
        <v>1</v>
      </c>
      <c r="AE28" s="46">
        <f t="shared" si="13"/>
        <v>-24</v>
      </c>
      <c r="AF28" s="46">
        <f t="shared" si="96"/>
        <v>-11.2</v>
      </c>
      <c r="AG28" s="9">
        <f>'Ежедневный отчет'!F30</f>
        <v>5</v>
      </c>
      <c r="AH28" s="46">
        <f t="shared" si="14"/>
        <v>-16.2</v>
      </c>
      <c r="AI28" s="46">
        <f t="shared" si="97"/>
        <v>-0.8</v>
      </c>
      <c r="AJ28" s="9">
        <f>'Ежедневный отчет'!G30</f>
        <v>0</v>
      </c>
      <c r="AK28" s="46">
        <f t="shared" si="15"/>
        <v>-0.8</v>
      </c>
      <c r="AL28" s="35">
        <f t="shared" si="98"/>
        <v>984042.3</v>
      </c>
      <c r="AM28" s="54">
        <f>'Ежедневный отчет'!H30</f>
        <v>0</v>
      </c>
      <c r="AN28" s="35">
        <f t="shared" si="16"/>
        <v>984042.3</v>
      </c>
      <c r="AO28" s="35">
        <f t="shared" si="99"/>
        <v>78000</v>
      </c>
      <c r="AP28" s="54">
        <f>'Ежедневный отчет'!M30</f>
        <v>0</v>
      </c>
      <c r="AQ28" s="35">
        <f t="shared" si="17"/>
        <v>78000</v>
      </c>
      <c r="AR28" s="35">
        <f t="shared" si="100"/>
        <v>950000</v>
      </c>
      <c r="AS28" s="51">
        <f>'Ежедневный отчет'!J30</f>
        <v>0</v>
      </c>
      <c r="AT28" s="35">
        <f t="shared" si="18"/>
        <v>950000</v>
      </c>
      <c r="AU28" s="35">
        <f t="shared" si="101"/>
        <v>950000</v>
      </c>
      <c r="AV28" s="51">
        <f>'Ежедневный отчет'!L30</f>
        <v>0</v>
      </c>
      <c r="AW28" s="35">
        <f t="shared" si="19"/>
        <v>950000</v>
      </c>
    </row>
    <row r="29">
      <c r="Y29" s="45">
        <v>43581.0</v>
      </c>
      <c r="Z29" s="46">
        <f t="shared" si="94"/>
        <v>-7</v>
      </c>
      <c r="AA29">
        <f>'Ежедневный отчет'!C31</f>
        <v>0</v>
      </c>
      <c r="AB29" s="46">
        <f t="shared" si="12"/>
        <v>-7</v>
      </c>
      <c r="AC29" s="46">
        <f t="shared" si="95"/>
        <v>-20</v>
      </c>
      <c r="AD29" s="9">
        <f>'Ежедневный отчет'!D31</f>
        <v>7</v>
      </c>
      <c r="AE29" s="46">
        <f t="shared" si="13"/>
        <v>-27</v>
      </c>
      <c r="AF29" s="46">
        <f t="shared" si="96"/>
        <v>-13</v>
      </c>
      <c r="AG29" s="9">
        <f>'Ежедневный отчет'!F31</f>
        <v>8</v>
      </c>
      <c r="AH29" s="46">
        <f t="shared" si="14"/>
        <v>-21</v>
      </c>
      <c r="AI29" s="46">
        <f t="shared" si="97"/>
        <v>0</v>
      </c>
      <c r="AJ29" s="9">
        <f>'Ежедневный отчет'!G31</f>
        <v>3</v>
      </c>
      <c r="AK29" s="46">
        <f t="shared" si="15"/>
        <v>-3</v>
      </c>
      <c r="AL29" s="35">
        <f t="shared" si="98"/>
        <v>1184042.3</v>
      </c>
      <c r="AM29" s="54">
        <f>'Ежедневный отчет'!H31</f>
        <v>493739.72</v>
      </c>
      <c r="AN29" s="35">
        <f t="shared" si="16"/>
        <v>690302.58</v>
      </c>
      <c r="AO29" s="35">
        <f t="shared" si="99"/>
        <v>118000</v>
      </c>
      <c r="AP29" s="54">
        <f>'Ежедневный отчет'!M31</f>
        <v>110000</v>
      </c>
      <c r="AQ29" s="35">
        <f t="shared" si="17"/>
        <v>8000</v>
      </c>
      <c r="AR29" s="35">
        <f t="shared" si="100"/>
        <v>1000000</v>
      </c>
      <c r="AS29" s="51">
        <f>'Ежедневный отчет'!J31</f>
        <v>310200</v>
      </c>
      <c r="AT29" s="35">
        <f t="shared" si="18"/>
        <v>689800</v>
      </c>
      <c r="AU29" s="35">
        <f t="shared" si="101"/>
        <v>1000000</v>
      </c>
      <c r="AV29" s="51">
        <f>'Ежедневный отчет'!L31</f>
        <v>0</v>
      </c>
      <c r="AW29" s="35">
        <f t="shared" si="19"/>
        <v>1000000</v>
      </c>
    </row>
    <row r="30">
      <c r="Y30" s="45">
        <v>43582.0</v>
      </c>
      <c r="Z30" s="67">
        <f t="shared" ref="Z30:Z31" si="102">+AB29</f>
        <v>-7</v>
      </c>
      <c r="AA30" t="str">
        <f>'Ежедневный отчет'!C32</f>
        <v/>
      </c>
      <c r="AB30" s="67">
        <f t="shared" si="12"/>
        <v>-7</v>
      </c>
      <c r="AC30" s="67">
        <f t="shared" ref="AC30:AC31" si="103">+AE29</f>
        <v>-27</v>
      </c>
      <c r="AD30" s="9">
        <f>'Ежедневный отчет'!D32</f>
        <v>2</v>
      </c>
      <c r="AE30" s="67">
        <f t="shared" si="13"/>
        <v>-29</v>
      </c>
      <c r="AF30" s="67">
        <f t="shared" ref="AF30:AF31" si="104">+AH29</f>
        <v>-21</v>
      </c>
      <c r="AG30" s="9" t="str">
        <f>'Ежедневный отчет'!F32</f>
        <v/>
      </c>
      <c r="AH30" s="67">
        <f t="shared" si="14"/>
        <v>-21</v>
      </c>
      <c r="AI30" s="67">
        <f t="shared" ref="AI30:AI31" si="105">+AK29</f>
        <v>-3</v>
      </c>
      <c r="AJ30" s="9" t="str">
        <f>'Ежедневный отчет'!G32</f>
        <v/>
      </c>
      <c r="AK30" s="67">
        <f t="shared" si="15"/>
        <v>-3</v>
      </c>
      <c r="AL30" s="68">
        <f t="shared" ref="AL30:AL31" si="106">+AN29</f>
        <v>690302.58</v>
      </c>
      <c r="AM30" s="54" t="str">
        <f>'Ежедневный отчет'!H32</f>
        <v/>
      </c>
      <c r="AN30" s="68">
        <f t="shared" si="16"/>
        <v>690302.58</v>
      </c>
      <c r="AO30" s="68">
        <f t="shared" ref="AO30:AO31" si="107">+AQ29</f>
        <v>8000</v>
      </c>
      <c r="AP30" s="54" t="str">
        <f>'Ежедневный отчет'!M32</f>
        <v/>
      </c>
      <c r="AQ30" s="68">
        <f t="shared" si="17"/>
        <v>8000</v>
      </c>
      <c r="AR30" s="68">
        <f t="shared" ref="AR30:AR31" si="108">+AT29</f>
        <v>689800</v>
      </c>
      <c r="AS30" s="51" t="str">
        <f>'Ежедневный отчет'!J32</f>
        <v/>
      </c>
      <c r="AT30" s="68">
        <f t="shared" si="18"/>
        <v>689800</v>
      </c>
      <c r="AU30" s="68">
        <f t="shared" ref="AU30:AU31" si="109">+AW29</f>
        <v>1000000</v>
      </c>
      <c r="AV30" s="51" t="str">
        <f>'Ежедневный отчет'!L32</f>
        <v/>
      </c>
      <c r="AW30" s="68">
        <f t="shared" si="19"/>
        <v>1000000</v>
      </c>
    </row>
    <row r="31">
      <c r="Y31" s="45">
        <v>43583.0</v>
      </c>
      <c r="Z31" s="67">
        <f t="shared" si="102"/>
        <v>-7</v>
      </c>
      <c r="AA31" t="str">
        <f>'Ежедневный отчет'!C33</f>
        <v/>
      </c>
      <c r="AB31" s="67">
        <f t="shared" si="12"/>
        <v>-7</v>
      </c>
      <c r="AC31" s="67">
        <f t="shared" si="103"/>
        <v>-29</v>
      </c>
      <c r="AD31" s="9">
        <f>'Ежедневный отчет'!D33</f>
        <v>2</v>
      </c>
      <c r="AE31" s="67">
        <f t="shared" si="13"/>
        <v>-31</v>
      </c>
      <c r="AF31" s="67">
        <f t="shared" si="104"/>
        <v>-21</v>
      </c>
      <c r="AG31" s="9" t="str">
        <f>'Ежедневный отчет'!F33</f>
        <v/>
      </c>
      <c r="AH31" s="67">
        <f t="shared" si="14"/>
        <v>-21</v>
      </c>
      <c r="AI31" s="67">
        <f t="shared" si="105"/>
        <v>-3</v>
      </c>
      <c r="AJ31" s="9" t="str">
        <f>'Ежедневный отчет'!G33</f>
        <v/>
      </c>
      <c r="AK31" s="67">
        <f t="shared" si="15"/>
        <v>-3</v>
      </c>
      <c r="AL31" s="68">
        <f t="shared" si="106"/>
        <v>690302.58</v>
      </c>
      <c r="AM31" s="54" t="str">
        <f>'Ежедневный отчет'!H33</f>
        <v/>
      </c>
      <c r="AN31" s="68">
        <f t="shared" si="16"/>
        <v>690302.58</v>
      </c>
      <c r="AO31" s="68">
        <f t="shared" si="107"/>
        <v>8000</v>
      </c>
      <c r="AP31" s="54" t="str">
        <f>'Ежедневный отчет'!M33</f>
        <v/>
      </c>
      <c r="AQ31" s="68">
        <f t="shared" si="17"/>
        <v>8000</v>
      </c>
      <c r="AR31" s="68">
        <f t="shared" si="108"/>
        <v>689800</v>
      </c>
      <c r="AS31" s="51" t="str">
        <f>'Ежедневный отчет'!J33</f>
        <v/>
      </c>
      <c r="AT31" s="68">
        <f t="shared" si="18"/>
        <v>689800</v>
      </c>
      <c r="AU31" s="68">
        <f t="shared" si="109"/>
        <v>1000000</v>
      </c>
      <c r="AV31" s="51" t="str">
        <f>'Ежедневный отчет'!L33</f>
        <v/>
      </c>
      <c r="AW31" s="68">
        <f t="shared" si="19"/>
        <v>1000000</v>
      </c>
    </row>
    <row r="32">
      <c r="Y32" s="45">
        <v>43584.0</v>
      </c>
      <c r="AA32">
        <f>'Ежедневный отчет'!C34</f>
        <v>0</v>
      </c>
      <c r="AD32" s="9">
        <f>'Ежедневный отчет'!D34</f>
        <v>4</v>
      </c>
      <c r="AG32" s="9">
        <f>'Ежедневный отчет'!F34</f>
        <v>3</v>
      </c>
      <c r="AJ32" s="9">
        <f>'Ежедневный отчет'!G34</f>
        <v>2</v>
      </c>
      <c r="AM32" s="54">
        <f>'Ежедневный отчет'!H34</f>
        <v>203790.95</v>
      </c>
      <c r="AP32" s="54">
        <f>'Ежедневный отчет'!M34</f>
        <v>55000</v>
      </c>
      <c r="AS32" s="51" t="str">
        <f>'Ежедневный отчет'!J34</f>
        <v> </v>
      </c>
      <c r="AV32" s="51">
        <f>'Ежедневный отчет'!L34</f>
        <v>0</v>
      </c>
    </row>
    <row r="33">
      <c r="Y33" s="45">
        <v>43585.0</v>
      </c>
      <c r="AA33">
        <f>'Ежедневный отчет'!C35</f>
        <v>16</v>
      </c>
      <c r="AD33" s="9">
        <f>'Ежедневный отчет'!D35</f>
        <v>4</v>
      </c>
      <c r="AG33" s="9">
        <f>'Ежедневный отчет'!F35</f>
        <v>1</v>
      </c>
      <c r="AJ33" s="9">
        <f>'Ежедневный отчет'!G35</f>
        <v>0</v>
      </c>
      <c r="AM33" s="54">
        <f>'Ежедневный отчет'!H35</f>
        <v>0</v>
      </c>
      <c r="AP33" s="54" t="str">
        <f>'Ежедневный отчет'!M35</f>
        <v/>
      </c>
      <c r="AS33" s="51">
        <f>'Ежедневный отчет'!J35</f>
        <v>0</v>
      </c>
      <c r="AV33" s="51">
        <f>'Ежедневный отчет'!L35</f>
        <v>788527.1</v>
      </c>
    </row>
    <row r="34">
      <c r="Y34" s="45"/>
      <c r="AV34" s="9" t="str">
        <f>'Ежедневный отчет'!L36</f>
        <v/>
      </c>
    </row>
    <row r="39">
      <c r="A39" s="17" t="s">
        <v>61</v>
      </c>
      <c r="B39" s="17" t="s">
        <v>62</v>
      </c>
    </row>
    <row r="40">
      <c r="A40" s="33" t="s">
        <v>46</v>
      </c>
      <c r="B40" s="35">
        <v>314250.0000000001</v>
      </c>
    </row>
    <row r="41">
      <c r="A41" s="2" t="s">
        <v>36</v>
      </c>
      <c r="B41" s="35">
        <v>1023750.0000000001</v>
      </c>
    </row>
    <row r="42">
      <c r="A42" s="2" t="s">
        <v>47</v>
      </c>
      <c r="B42" s="46">
        <v>5.775</v>
      </c>
    </row>
    <row r="43">
      <c r="A43" s="2" t="s">
        <v>48</v>
      </c>
      <c r="B43" s="46">
        <v>11.700000000000001</v>
      </c>
    </row>
    <row r="44">
      <c r="A44" s="2" t="s">
        <v>63</v>
      </c>
      <c r="B44" s="46">
        <v>13.0</v>
      </c>
    </row>
    <row r="45">
      <c r="A45" s="33" t="s">
        <v>50</v>
      </c>
      <c r="B45" s="46">
        <v>32.5</v>
      </c>
    </row>
    <row r="47">
      <c r="A47" s="83" t="s">
        <v>64</v>
      </c>
      <c r="B47" s="35">
        <v>1500000.0</v>
      </c>
    </row>
    <row r="48">
      <c r="A48" s="83" t="s">
        <v>65</v>
      </c>
      <c r="B48" s="35">
        <v>362514.32999999996</v>
      </c>
    </row>
    <row r="50">
      <c r="A50" s="17" t="s">
        <v>66</v>
      </c>
      <c r="B50" s="17" t="s">
        <v>67</v>
      </c>
    </row>
    <row r="51">
      <c r="A51" s="33" t="s">
        <v>46</v>
      </c>
      <c r="B51" s="84">
        <f t="shared" ref="B51:B56" si="110">B40/5</f>
        <v>62850</v>
      </c>
    </row>
    <row r="52">
      <c r="A52" s="2" t="s">
        <v>36</v>
      </c>
      <c r="B52" s="84">
        <f t="shared" si="110"/>
        <v>204750</v>
      </c>
    </row>
    <row r="53">
      <c r="A53" s="2" t="s">
        <v>47</v>
      </c>
      <c r="B53" s="64">
        <f t="shared" si="110"/>
        <v>1.155</v>
      </c>
    </row>
    <row r="54">
      <c r="A54" s="2" t="s">
        <v>48</v>
      </c>
      <c r="B54" s="64">
        <f t="shared" si="110"/>
        <v>2.34</v>
      </c>
    </row>
    <row r="55">
      <c r="A55" s="2" t="s">
        <v>63</v>
      </c>
      <c r="B55" s="64">
        <f t="shared" si="110"/>
        <v>2.6</v>
      </c>
    </row>
    <row r="56">
      <c r="A56" s="33" t="s">
        <v>50</v>
      </c>
      <c r="B56" s="64">
        <f t="shared" si="110"/>
        <v>6.5</v>
      </c>
    </row>
    <row r="58">
      <c r="A58" s="83" t="s">
        <v>64</v>
      </c>
      <c r="B58" s="35">
        <f t="shared" ref="B58:B59" si="111">B47/5</f>
        <v>300000</v>
      </c>
    </row>
    <row r="59">
      <c r="A59" s="83" t="s">
        <v>65</v>
      </c>
      <c r="B59" s="35">
        <f t="shared" si="111"/>
        <v>72502.866</v>
      </c>
    </row>
  </sheetData>
  <mergeCells count="8">
    <mergeCell ref="Z2:AB2"/>
    <mergeCell ref="AC2:AE2"/>
    <mergeCell ref="AF2:AH2"/>
    <mergeCell ref="AI2:AK2"/>
    <mergeCell ref="AL2:AN2"/>
    <mergeCell ref="AO2:AQ2"/>
    <mergeCell ref="AR2:AT2"/>
    <mergeCell ref="AU2:AW2"/>
  </mergeCells>
  <conditionalFormatting sqref="J14 N14 R14 V14">
    <cfRule type="containsBlanks" dxfId="0" priority="1">
      <formula>LEN(TRIM(J14))=0</formula>
    </cfRule>
  </conditionalFormatting>
  <conditionalFormatting sqref="D18:D22">
    <cfRule type="colorScale" priority="2">
      <colorScale>
        <cfvo type="percent" val="0"/>
        <cfvo type="percentile" val="50"/>
        <cfvo type="percent" val="100"/>
        <color rgb="FFE06666"/>
        <color rgb="FFFFFFFF"/>
        <color rgb="FF00FF00"/>
      </colorScale>
    </cfRule>
  </conditionalFormatting>
  <conditionalFormatting sqref="J4:J12">
    <cfRule type="cellIs" dxfId="1" priority="3" operator="greaterThan">
      <formula>1</formula>
    </cfRule>
  </conditionalFormatting>
  <conditionalFormatting sqref="J4:J12">
    <cfRule type="cellIs" dxfId="2" priority="4" operator="lessThan">
      <formula>1</formula>
    </cfRule>
  </conditionalFormatting>
  <conditionalFormatting sqref="N4:N12 R4:R12 V4:V12">
    <cfRule type="cellIs" dxfId="3" priority="5" operator="greaterThan">
      <formula>1</formula>
    </cfRule>
  </conditionalFormatting>
  <conditionalFormatting sqref="N4:N12 R4:R12 V4:V12">
    <cfRule type="cellIs" dxfId="2" priority="6" operator="lessThan">
      <formula>1</formula>
    </cfRule>
  </conditionalFormatting>
  <conditionalFormatting sqref="E4">
    <cfRule type="cellIs" dxfId="1" priority="7" operator="greaterThanOrEqual">
      <formula>D14</formula>
    </cfRule>
  </conditionalFormatting>
  <conditionalFormatting sqref="E4">
    <cfRule type="cellIs" dxfId="2" priority="8" operator="lessThan">
      <formula>D14</formula>
    </cfRule>
  </conditionalFormatting>
  <conditionalFormatting sqref="E5">
    <cfRule type="cellIs" dxfId="1" priority="9" operator="greaterThanOrEqual">
      <formula>D14</formula>
    </cfRule>
  </conditionalFormatting>
  <conditionalFormatting sqref="E5">
    <cfRule type="cellIs" dxfId="2" priority="10" operator="lessThan">
      <formula>D14</formula>
    </cfRule>
  </conditionalFormatting>
  <conditionalFormatting sqref="E6">
    <cfRule type="cellIs" dxfId="1" priority="11" operator="greaterThanOrEqual">
      <formula>D14</formula>
    </cfRule>
  </conditionalFormatting>
  <conditionalFormatting sqref="E6">
    <cfRule type="cellIs" dxfId="2" priority="12" operator="lessThan">
      <formula>D14</formula>
    </cfRule>
  </conditionalFormatting>
  <conditionalFormatting sqref="E7">
    <cfRule type="cellIs" dxfId="1" priority="13" operator="greaterThanOrEqual">
      <formula>D14</formula>
    </cfRule>
  </conditionalFormatting>
  <conditionalFormatting sqref="E7">
    <cfRule type="cellIs" dxfId="2" priority="14" operator="lessThan">
      <formula>D14</formula>
    </cfRule>
  </conditionalFormatting>
  <conditionalFormatting sqref="E8">
    <cfRule type="cellIs" dxfId="1" priority="15" operator="greaterThanOrEqual">
      <formula>D14</formula>
    </cfRule>
  </conditionalFormatting>
  <conditionalFormatting sqref="E8">
    <cfRule type="cellIs" dxfId="2" priority="16" operator="lessThan">
      <formula>D14</formula>
    </cfRule>
  </conditionalFormatting>
  <conditionalFormatting sqref="E9">
    <cfRule type="cellIs" dxfId="1" priority="17" operator="greaterThanOrEqual">
      <formula>D14</formula>
    </cfRule>
  </conditionalFormatting>
  <conditionalFormatting sqref="E9">
    <cfRule type="cellIs" dxfId="2" priority="18" operator="lessThan">
      <formula>D14</formula>
    </cfRule>
  </conditionalFormatting>
  <conditionalFormatting sqref="E10">
    <cfRule type="cellIs" dxfId="1" priority="19" operator="greaterThanOrEqual">
      <formula>D14</formula>
    </cfRule>
  </conditionalFormatting>
  <conditionalFormatting sqref="E10">
    <cfRule type="cellIs" dxfId="2" priority="20" operator="lessThan">
      <formula>D14</formula>
    </cfRule>
  </conditionalFormatting>
  <drawing r:id="rId1"/>
</worksheet>
</file>