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05" yWindow="-105" windowWidth="19425" windowHeight="10425" tabRatio="695"/>
  </bookViews>
  <sheets>
    <sheet name="P&amp;L (направления)" sheetId="11" r:id="rId1"/>
    <sheet name="CF" sheetId="8" state="hidden" r:id="rId2"/>
    <sheet name="ДДС" sheetId="7" state="hidden" r:id="rId3"/>
    <sheet name="60" sheetId="26" state="hidden" r:id="rId4"/>
    <sheet name="КЗ" sheetId="13" state="hidden" r:id="rId5"/>
    <sheet name="ДЗ" sheetId="14" state="hidden" r:id="rId6"/>
    <sheet name="list" sheetId="15" state="hidden" r:id="rId7"/>
    <sheet name="Оценка ТС" sheetId="17" state="hidden" r:id="rId8"/>
    <sheet name="Оценка Имущ" sheetId="18" state="hidden" r:id="rId9"/>
    <sheet name="АваркомКарты" sheetId="16" state="hidden" r:id="rId10"/>
    <sheet name="Эксперт" sheetId="19" state="hidden" r:id="rId11"/>
    <sheet name="динамика" sheetId="20" state="hidden" r:id="rId12"/>
    <sheet name="P&amp;L" sheetId="2" state="hidden" r:id="rId13"/>
  </sheets>
  <externalReferences>
    <externalReference r:id="rId14"/>
    <externalReference r:id="rId15"/>
  </externalReferences>
  <definedNames>
    <definedName name="_xlnm._FilterDatabase" localSheetId="3" hidden="1">'60'!$A$12:$S$50</definedName>
    <definedName name="_xlnm._FilterDatabase" localSheetId="5" hidden="1">ДЗ!$A$2:$C$231</definedName>
    <definedName name="_xlnm._FilterDatabase" localSheetId="4" hidden="1">КЗ!$A$2:$L$2</definedName>
    <definedName name="DATE_DOC">#REF!</definedName>
    <definedName name="DATE_PRIP">#REF!</definedName>
    <definedName name="DATE_SCHP">#REF!</definedName>
    <definedName name="FOOTER">#REF!</definedName>
    <definedName name="FOOTER1">#REF!</definedName>
    <definedName name="FOOTER2">#REF!</definedName>
    <definedName name="HEADER">#REF!</definedName>
    <definedName name="HEADER2_01">#REF!</definedName>
    <definedName name="HEADER2_02">#REF!</definedName>
    <definedName name="HEADER3_01">#REF!</definedName>
    <definedName name="HEADER3_02">#REF!</definedName>
    <definedName name="I_S_AMT">#REF!</definedName>
    <definedName name="I_S_MFUND">#REF!</definedName>
    <definedName name="I_S_SUM">#REF!</definedName>
    <definedName name="I_S_SUM1">#REF!</definedName>
    <definedName name="I_S_SUM2">#REF!</definedName>
    <definedName name="I_S_SUM3">#REF!</definedName>
    <definedName name="IFund">#REF!</definedName>
    <definedName name="INumb">#REF!</definedName>
    <definedName name="LIST_NAME">#REF!</definedName>
    <definedName name="NUM_DOC">#REF!</definedName>
    <definedName name="NUM_PRI">#REF!</definedName>
    <definedName name="RANGEIT_FORMA_T_3">#REF!</definedName>
    <definedName name="S_NAMEENT">#REF!</definedName>
    <definedName name="S_OKPO">#REF!</definedName>
    <definedName name="вып">#REF!</definedName>
    <definedName name="выписка">#REF!</definedName>
    <definedName name="ГК">#REF!</definedName>
    <definedName name="ГК01.06.2017">#REF!</definedName>
    <definedName name="направления" localSheetId="9">[1]list!$A$3:$A$7</definedName>
    <definedName name="направления" localSheetId="8">[1]list!$A$3:$A$7</definedName>
    <definedName name="направления" localSheetId="7">[1]list!$A$3:$A$7</definedName>
    <definedName name="направления" localSheetId="10">[1]list!$A$3:$A$7</definedName>
    <definedName name="направления">list!$A$3:$A$7</definedName>
    <definedName name="ЦФО">[2]Лист2!$B$3:$B$7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33" i="11" l="1"/>
  <c r="AD33" i="11"/>
  <c r="AE9" i="11" l="1"/>
  <c r="AC9" i="11" l="1"/>
  <c r="AC26" i="11" s="1"/>
  <c r="AB9" i="11"/>
  <c r="AE26" i="11"/>
  <c r="AD26" i="11"/>
  <c r="AD45" i="11" l="1"/>
  <c r="AC45" i="11"/>
  <c r="AB45" i="11"/>
  <c r="AB26" i="11"/>
  <c r="AD44" i="11"/>
  <c r="X9" i="11" l="1"/>
  <c r="W9" i="11"/>
  <c r="W27" i="11" l="1"/>
  <c r="X14" i="11"/>
  <c r="Y14" i="11"/>
  <c r="Z14" i="11"/>
  <c r="Z26" i="11"/>
  <c r="Y26" i="11"/>
  <c r="X26" i="11"/>
  <c r="W26" i="11"/>
  <c r="BN14" i="11"/>
  <c r="BM14" i="11"/>
  <c r="BL14" i="11"/>
  <c r="BK14" i="11"/>
  <c r="BI14" i="11"/>
  <c r="BH14" i="11"/>
  <c r="BG14" i="11"/>
  <c r="BF14" i="11"/>
  <c r="BD14" i="11"/>
  <c r="BC14" i="11"/>
  <c r="BB14" i="11"/>
  <c r="BA14" i="11"/>
  <c r="AY14" i="11"/>
  <c r="AX14" i="11"/>
  <c r="AW14" i="11"/>
  <c r="AV14" i="11"/>
  <c r="AT14" i="11"/>
  <c r="AS14" i="11"/>
  <c r="AR14" i="11"/>
  <c r="AQ14" i="11"/>
  <c r="AO14" i="11"/>
  <c r="AN14" i="11"/>
  <c r="AM14" i="11"/>
  <c r="AL14" i="11"/>
  <c r="AJ14" i="11"/>
  <c r="AI14" i="11"/>
  <c r="AH14" i="11"/>
  <c r="AG14" i="11"/>
  <c r="AE14" i="11"/>
  <c r="AD14" i="11"/>
  <c r="AC14" i="11"/>
  <c r="AB14" i="11"/>
  <c r="W14" i="11"/>
  <c r="AP14" i="11" l="1"/>
  <c r="BE14" i="11"/>
  <c r="BJ14" i="11"/>
  <c r="AF14" i="11"/>
  <c r="AK14" i="11"/>
  <c r="AU14" i="11"/>
  <c r="AZ14" i="11"/>
  <c r="AA14" i="11"/>
  <c r="V14" i="11"/>
  <c r="U14" i="11" l="1"/>
  <c r="T14" i="11"/>
  <c r="S14" i="11"/>
  <c r="R14" i="11"/>
  <c r="U26" i="11"/>
  <c r="T26" i="11"/>
  <c r="S26" i="11"/>
  <c r="R26" i="11"/>
  <c r="Q14" i="11" l="1"/>
  <c r="O44" i="11"/>
  <c r="P44" i="11"/>
  <c r="P14" i="11" l="1"/>
  <c r="O14" i="11"/>
  <c r="N14" i="11"/>
  <c r="M14" i="11"/>
  <c r="AA36" i="11"/>
  <c r="AA37" i="11"/>
  <c r="AA38" i="11"/>
  <c r="AA39" i="11"/>
  <c r="AA40" i="11"/>
  <c r="AA41" i="11"/>
  <c r="AA42" i="11"/>
  <c r="AA43" i="11"/>
  <c r="V36" i="11"/>
  <c r="V37" i="11"/>
  <c r="V38" i="11"/>
  <c r="V39" i="11"/>
  <c r="V40" i="11"/>
  <c r="V41" i="11"/>
  <c r="V42" i="11"/>
  <c r="V43" i="11"/>
  <c r="Q36" i="11"/>
  <c r="Q37" i="11"/>
  <c r="Q38" i="11"/>
  <c r="Q39" i="11"/>
  <c r="Q40" i="11"/>
  <c r="Q41" i="11"/>
  <c r="Q42" i="11"/>
  <c r="Q43" i="11"/>
  <c r="L36" i="11"/>
  <c r="L37" i="11"/>
  <c r="L38" i="11"/>
  <c r="L39" i="11"/>
  <c r="L40" i="11"/>
  <c r="L41" i="11"/>
  <c r="L42" i="11"/>
  <c r="L43" i="11"/>
  <c r="I9" i="11" l="1"/>
  <c r="H9" i="11"/>
  <c r="J19" i="11" l="1"/>
  <c r="J25" i="11" l="1"/>
  <c r="C40" i="11" l="1"/>
  <c r="D40" i="11"/>
  <c r="E40" i="11"/>
  <c r="F40" i="11"/>
  <c r="C41" i="11"/>
  <c r="D41" i="11"/>
  <c r="E41" i="11"/>
  <c r="F41" i="11"/>
  <c r="C42" i="11"/>
  <c r="D42" i="11"/>
  <c r="E42" i="11"/>
  <c r="F42" i="11"/>
  <c r="C43" i="11"/>
  <c r="D43" i="11"/>
  <c r="E43" i="11"/>
  <c r="F43" i="11"/>
  <c r="P26" i="11"/>
  <c r="O26" i="11"/>
  <c r="N26" i="11"/>
  <c r="M26" i="11"/>
  <c r="K14" i="11"/>
  <c r="J14" i="11"/>
  <c r="I14" i="11"/>
  <c r="H14" i="11"/>
  <c r="H36" i="11" l="1"/>
  <c r="Q27" i="11" l="1"/>
  <c r="Q25" i="11"/>
  <c r="Q23" i="11"/>
  <c r="Q21" i="11"/>
  <c r="Q19" i="11"/>
  <c r="Q17" i="11"/>
  <c r="L27" i="11"/>
  <c r="L25" i="11"/>
  <c r="L23" i="11"/>
  <c r="L21" i="11"/>
  <c r="L19" i="11"/>
  <c r="L17" i="11"/>
  <c r="L15" i="11"/>
  <c r="U18" i="11"/>
  <c r="T18" i="11"/>
  <c r="S18" i="11"/>
  <c r="R18" i="11"/>
  <c r="P18" i="11"/>
  <c r="O18" i="11"/>
  <c r="N18" i="11"/>
  <c r="M18" i="11"/>
  <c r="U22" i="11"/>
  <c r="T22" i="11"/>
  <c r="S22" i="11"/>
  <c r="R22" i="11"/>
  <c r="P22" i="11"/>
  <c r="O22" i="11"/>
  <c r="N22" i="11"/>
  <c r="M22" i="11"/>
  <c r="I22" i="11"/>
  <c r="J22" i="11"/>
  <c r="K22" i="11"/>
  <c r="H22" i="11"/>
  <c r="G33" i="11" l="1"/>
  <c r="G34" i="11"/>
  <c r="G35" i="11"/>
  <c r="G36" i="11"/>
  <c r="G37" i="11"/>
  <c r="G38" i="11"/>
  <c r="G39" i="11"/>
  <c r="G40" i="11"/>
  <c r="G41" i="11"/>
  <c r="G42" i="11"/>
  <c r="G43" i="11"/>
  <c r="G44" i="11"/>
  <c r="G45" i="11"/>
  <c r="B40" i="11"/>
  <c r="B41" i="11"/>
  <c r="B42" i="11"/>
  <c r="B43" i="11"/>
  <c r="I31" i="11" l="1"/>
  <c r="J31" i="11"/>
  <c r="K31" i="11"/>
  <c r="I29" i="11"/>
  <c r="J29" i="11"/>
  <c r="K29" i="11"/>
  <c r="I46" i="11" l="1"/>
  <c r="J46" i="11"/>
  <c r="K46" i="11"/>
  <c r="C36" i="11"/>
  <c r="D36" i="11"/>
  <c r="E36" i="11"/>
  <c r="F36" i="11"/>
  <c r="C37" i="11"/>
  <c r="D37" i="11"/>
  <c r="E37" i="11"/>
  <c r="F37" i="11"/>
  <c r="C38" i="11"/>
  <c r="D38" i="11"/>
  <c r="E38" i="11"/>
  <c r="F38" i="11"/>
  <c r="C39" i="11"/>
  <c r="D39" i="11"/>
  <c r="E39" i="11"/>
  <c r="F39" i="11"/>
  <c r="G32" i="11"/>
  <c r="G27" i="11"/>
  <c r="G25" i="11"/>
  <c r="G23" i="11"/>
  <c r="G21" i="11"/>
  <c r="G19" i="11"/>
  <c r="G17" i="11"/>
  <c r="B37" i="11" l="1"/>
  <c r="B39" i="11"/>
  <c r="B38" i="11"/>
  <c r="B36" i="11"/>
  <c r="F44" i="11"/>
  <c r="E44" i="11"/>
  <c r="D44" i="11"/>
  <c r="C44" i="11"/>
  <c r="F35" i="11"/>
  <c r="E35" i="11"/>
  <c r="D35" i="11"/>
  <c r="C35" i="11"/>
  <c r="F34" i="11"/>
  <c r="E34" i="11"/>
  <c r="D34" i="11"/>
  <c r="C34" i="11"/>
  <c r="F33" i="11"/>
  <c r="E33" i="11"/>
  <c r="D33" i="11"/>
  <c r="C33" i="11"/>
  <c r="F32" i="11"/>
  <c r="E32" i="11"/>
  <c r="D32" i="11"/>
  <c r="C32" i="11"/>
  <c r="F27" i="11"/>
  <c r="E27" i="11"/>
  <c r="D27" i="11"/>
  <c r="C27" i="11"/>
  <c r="F25" i="11"/>
  <c r="E25" i="11"/>
  <c r="D25" i="11"/>
  <c r="F23" i="11"/>
  <c r="E23" i="11"/>
  <c r="D23" i="11"/>
  <c r="C23" i="11"/>
  <c r="F21" i="11"/>
  <c r="E21" i="11"/>
  <c r="D21" i="11"/>
  <c r="C21" i="11"/>
  <c r="F19" i="11"/>
  <c r="E19" i="11"/>
  <c r="D19" i="11"/>
  <c r="C19" i="11"/>
  <c r="F17" i="11"/>
  <c r="E17" i="11"/>
  <c r="D17" i="11"/>
  <c r="C17" i="11"/>
  <c r="F15" i="11"/>
  <c r="E15" i="11"/>
  <c r="D15" i="11"/>
  <c r="C15" i="11"/>
  <c r="B52" i="11"/>
  <c r="I18" i="11"/>
  <c r="J18" i="11"/>
  <c r="K18" i="11"/>
  <c r="H18" i="11"/>
  <c r="H16" i="11"/>
  <c r="I26" i="11"/>
  <c r="J26" i="11"/>
  <c r="K26" i="11"/>
  <c r="BN26" i="11"/>
  <c r="BM26" i="11"/>
  <c r="BL26" i="11"/>
  <c r="BK26" i="11"/>
  <c r="BI26" i="11"/>
  <c r="BH26" i="11"/>
  <c r="BG26" i="11"/>
  <c r="BF26" i="11"/>
  <c r="BD26" i="11"/>
  <c r="BC26" i="11"/>
  <c r="BB26" i="11"/>
  <c r="BA26" i="11"/>
  <c r="AY26" i="11"/>
  <c r="AX26" i="11"/>
  <c r="AW26" i="11"/>
  <c r="AV26" i="11"/>
  <c r="AT26" i="11"/>
  <c r="AS26" i="11"/>
  <c r="AR26" i="11"/>
  <c r="AQ26" i="11"/>
  <c r="AO26" i="11"/>
  <c r="AN26" i="11"/>
  <c r="AM26" i="11"/>
  <c r="AL26" i="11"/>
  <c r="AJ26" i="11"/>
  <c r="AI26" i="11"/>
  <c r="AH26" i="11"/>
  <c r="AG26" i="11"/>
  <c r="BJ25" i="11"/>
  <c r="BJ26" i="11" s="1"/>
  <c r="BE25" i="11"/>
  <c r="BE26" i="11" s="1"/>
  <c r="AZ25" i="11"/>
  <c r="AZ26" i="11" s="1"/>
  <c r="AU25" i="11"/>
  <c r="AU26" i="11" s="1"/>
  <c r="AP25" i="11"/>
  <c r="AP26" i="11" s="1"/>
  <c r="AK25" i="11"/>
  <c r="AK26" i="11" s="1"/>
  <c r="AF25" i="11"/>
  <c r="AF26" i="11" s="1"/>
  <c r="AA25" i="11"/>
  <c r="V25" i="11"/>
  <c r="H26" i="11"/>
  <c r="BJ17" i="11"/>
  <c r="BE17" i="11"/>
  <c r="AZ17" i="11"/>
  <c r="AU17" i="11"/>
  <c r="AP17" i="11"/>
  <c r="AK17" i="11"/>
  <c r="AF17" i="11"/>
  <c r="AA17" i="11"/>
  <c r="V17" i="11"/>
  <c r="D14" i="11" l="1"/>
  <c r="F14" i="11"/>
  <c r="E14" i="11"/>
  <c r="B44" i="11"/>
  <c r="B33" i="11"/>
  <c r="B34" i="11"/>
  <c r="B35" i="11"/>
  <c r="C25" i="11"/>
  <c r="C14" i="11" s="1"/>
  <c r="B17" i="11"/>
  <c r="B25" i="11" l="1"/>
  <c r="B55" i="11" l="1"/>
  <c r="F9" i="11"/>
  <c r="E9" i="11"/>
  <c r="D9" i="11"/>
  <c r="C9" i="11"/>
  <c r="F8" i="11"/>
  <c r="E8" i="11"/>
  <c r="D8" i="11"/>
  <c r="C8" i="11"/>
  <c r="F20" i="11" l="1"/>
  <c r="F18" i="11"/>
  <c r="F26" i="11"/>
  <c r="F16" i="11"/>
  <c r="F24" i="11"/>
  <c r="D16" i="11"/>
  <c r="D18" i="11"/>
  <c r="D20" i="11"/>
  <c r="D26" i="11"/>
  <c r="D24" i="11"/>
  <c r="E16" i="11"/>
  <c r="E24" i="11"/>
  <c r="E18" i="11"/>
  <c r="E26" i="11"/>
  <c r="E20" i="11"/>
  <c r="C16" i="11"/>
  <c r="C20" i="11"/>
  <c r="C18" i="11"/>
  <c r="C24" i="11"/>
  <c r="C26" i="11"/>
  <c r="F29" i="11"/>
  <c r="F30" i="11" s="1"/>
  <c r="B23" i="11"/>
  <c r="B19" i="11"/>
  <c r="C28" i="11"/>
  <c r="D29" i="11"/>
  <c r="D11" i="11"/>
  <c r="D22" i="11" s="1"/>
  <c r="B8" i="11"/>
  <c r="E28" i="11"/>
  <c r="D28" i="11"/>
  <c r="C11" i="11"/>
  <c r="C22" i="11" s="1"/>
  <c r="B9" i="11"/>
  <c r="E11" i="11"/>
  <c r="E22" i="11" s="1"/>
  <c r="B21" i="11"/>
  <c r="B27" i="11"/>
  <c r="F11" i="11"/>
  <c r="F22" i="11" s="1"/>
  <c r="F28" i="11"/>
  <c r="N30" i="19"/>
  <c r="M30" i="19"/>
  <c r="L30" i="19"/>
  <c r="K30" i="19"/>
  <c r="J30" i="19"/>
  <c r="I30" i="19"/>
  <c r="H30" i="19"/>
  <c r="G30" i="19"/>
  <c r="D30" i="19"/>
  <c r="C30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N28" i="19"/>
  <c r="M28" i="19"/>
  <c r="L28" i="19"/>
  <c r="K28" i="19"/>
  <c r="J28" i="19"/>
  <c r="I28" i="19"/>
  <c r="H28" i="19"/>
  <c r="G28" i="19"/>
  <c r="F28" i="19"/>
  <c r="E28" i="19"/>
  <c r="D28" i="19"/>
  <c r="N27" i="19"/>
  <c r="M27" i="19"/>
  <c r="L27" i="19"/>
  <c r="K27" i="19"/>
  <c r="J27" i="19"/>
  <c r="I27" i="19"/>
  <c r="H27" i="19"/>
  <c r="G27" i="19"/>
  <c r="F27" i="19"/>
  <c r="E27" i="19"/>
  <c r="D27" i="19"/>
  <c r="C27" i="19"/>
  <c r="N26" i="19"/>
  <c r="M26" i="19"/>
  <c r="L26" i="19"/>
  <c r="K26" i="19"/>
  <c r="J26" i="19"/>
  <c r="I26" i="19"/>
  <c r="H26" i="19"/>
  <c r="G26" i="19"/>
  <c r="F26" i="19"/>
  <c r="E26" i="19"/>
  <c r="D26" i="19"/>
  <c r="C26" i="19"/>
  <c r="N25" i="19"/>
  <c r="M25" i="19"/>
  <c r="L25" i="19"/>
  <c r="K25" i="19"/>
  <c r="J25" i="19"/>
  <c r="I25" i="19"/>
  <c r="H25" i="19"/>
  <c r="G25" i="19"/>
  <c r="F25" i="19"/>
  <c r="E25" i="19"/>
  <c r="C25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N12" i="19"/>
  <c r="M12" i="19"/>
  <c r="L12" i="19"/>
  <c r="L11" i="19" s="1"/>
  <c r="K12" i="19"/>
  <c r="J12" i="19"/>
  <c r="I12" i="19"/>
  <c r="I11" i="19" s="1"/>
  <c r="H12" i="19"/>
  <c r="H11" i="19" s="1"/>
  <c r="G12" i="19"/>
  <c r="F12" i="19"/>
  <c r="E12" i="19"/>
  <c r="E11" i="19" s="1"/>
  <c r="D12" i="19"/>
  <c r="C12" i="19"/>
  <c r="N6" i="19"/>
  <c r="M5" i="20" s="1"/>
  <c r="M6" i="19"/>
  <c r="L5" i="20" s="1"/>
  <c r="L6" i="19"/>
  <c r="K5" i="20" s="1"/>
  <c r="K6" i="19"/>
  <c r="J5" i="20" s="1"/>
  <c r="J6" i="19"/>
  <c r="I5" i="20" s="1"/>
  <c r="I6" i="19"/>
  <c r="H5" i="20" s="1"/>
  <c r="H6" i="19"/>
  <c r="G5" i="20" s="1"/>
  <c r="G6" i="19"/>
  <c r="F5" i="20" s="1"/>
  <c r="F6" i="19"/>
  <c r="E5" i="20" s="1"/>
  <c r="E6" i="19"/>
  <c r="D6" i="19"/>
  <c r="C5" i="20" s="1"/>
  <c r="C6" i="19"/>
  <c r="B5" i="20" s="1"/>
  <c r="N5" i="19"/>
  <c r="M5" i="19"/>
  <c r="L5" i="19"/>
  <c r="K5" i="19"/>
  <c r="J5" i="19"/>
  <c r="I5" i="19"/>
  <c r="H5" i="19"/>
  <c r="G5" i="19"/>
  <c r="F5" i="19"/>
  <c r="E5" i="19"/>
  <c r="D5" i="19"/>
  <c r="C5" i="19"/>
  <c r="N30" i="18"/>
  <c r="M30" i="18"/>
  <c r="L30" i="18"/>
  <c r="K30" i="18"/>
  <c r="J30" i="18"/>
  <c r="I30" i="18"/>
  <c r="H30" i="18"/>
  <c r="G30" i="18"/>
  <c r="D30" i="18"/>
  <c r="C30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N12" i="18"/>
  <c r="N11" i="18" s="1"/>
  <c r="M12" i="18"/>
  <c r="M11" i="18" s="1"/>
  <c r="L12" i="18"/>
  <c r="K12" i="18"/>
  <c r="J12" i="18"/>
  <c r="J11" i="18" s="1"/>
  <c r="I12" i="18"/>
  <c r="I11" i="18" s="1"/>
  <c r="H12" i="18"/>
  <c r="G12" i="18"/>
  <c r="G11" i="18" s="1"/>
  <c r="F12" i="18"/>
  <c r="F11" i="18" s="1"/>
  <c r="E12" i="18"/>
  <c r="D12" i="18"/>
  <c r="C12" i="18"/>
  <c r="N6" i="18"/>
  <c r="M3" i="20" s="1"/>
  <c r="M6" i="18"/>
  <c r="L3" i="20" s="1"/>
  <c r="L6" i="18"/>
  <c r="K3" i="20" s="1"/>
  <c r="K6" i="18"/>
  <c r="J3" i="20" s="1"/>
  <c r="J6" i="18"/>
  <c r="I6" i="18"/>
  <c r="H3" i="20" s="1"/>
  <c r="H6" i="18"/>
  <c r="G3" i="20" s="1"/>
  <c r="G6" i="18"/>
  <c r="F3" i="20" s="1"/>
  <c r="F6" i="18"/>
  <c r="E3" i="20" s="1"/>
  <c r="E6" i="18"/>
  <c r="D3" i="20" s="1"/>
  <c r="D6" i="18"/>
  <c r="C3" i="20" s="1"/>
  <c r="C6" i="18"/>
  <c r="B3" i="20" s="1"/>
  <c r="N5" i="18"/>
  <c r="M5" i="18"/>
  <c r="L5" i="18"/>
  <c r="K5" i="18"/>
  <c r="J5" i="18"/>
  <c r="I5" i="18"/>
  <c r="H5" i="18"/>
  <c r="G5" i="18"/>
  <c r="F5" i="18"/>
  <c r="E5" i="18"/>
  <c r="D5" i="18"/>
  <c r="C5" i="18"/>
  <c r="N24" i="18"/>
  <c r="M24" i="18"/>
  <c r="M30" i="17"/>
  <c r="L30" i="17"/>
  <c r="K30" i="17"/>
  <c r="J30" i="17"/>
  <c r="I30" i="17"/>
  <c r="H30" i="17"/>
  <c r="G30" i="17"/>
  <c r="D30" i="17"/>
  <c r="C30" i="17"/>
  <c r="M29" i="17"/>
  <c r="L29" i="17"/>
  <c r="K29" i="17"/>
  <c r="J29" i="17"/>
  <c r="I29" i="17"/>
  <c r="H29" i="17"/>
  <c r="G29" i="17"/>
  <c r="F29" i="17"/>
  <c r="E29" i="17"/>
  <c r="D29" i="17"/>
  <c r="C29" i="17"/>
  <c r="M28" i="17"/>
  <c r="L28" i="17"/>
  <c r="K28" i="17"/>
  <c r="J28" i="17"/>
  <c r="I28" i="17"/>
  <c r="H28" i="17"/>
  <c r="G28" i="17"/>
  <c r="F28" i="17"/>
  <c r="E28" i="17"/>
  <c r="D28" i="17"/>
  <c r="M27" i="17"/>
  <c r="L27" i="17"/>
  <c r="K27" i="17"/>
  <c r="J27" i="17"/>
  <c r="I27" i="17"/>
  <c r="H27" i="17"/>
  <c r="G27" i="17"/>
  <c r="F27" i="17"/>
  <c r="E27" i="17"/>
  <c r="D27" i="17"/>
  <c r="C27" i="17"/>
  <c r="M26" i="17"/>
  <c r="L26" i="17"/>
  <c r="K26" i="17"/>
  <c r="J26" i="17"/>
  <c r="I26" i="17"/>
  <c r="H26" i="17"/>
  <c r="G26" i="17"/>
  <c r="F26" i="17"/>
  <c r="E26" i="17"/>
  <c r="D26" i="17"/>
  <c r="C26" i="17"/>
  <c r="M25" i="17"/>
  <c r="L25" i="17"/>
  <c r="K25" i="17"/>
  <c r="J25" i="17"/>
  <c r="I25" i="17"/>
  <c r="H25" i="17"/>
  <c r="G25" i="17"/>
  <c r="F25" i="17"/>
  <c r="E25" i="17"/>
  <c r="D25" i="17"/>
  <c r="C25" i="17"/>
  <c r="M20" i="17"/>
  <c r="L20" i="17"/>
  <c r="K20" i="17"/>
  <c r="J20" i="17"/>
  <c r="I20" i="17"/>
  <c r="H20" i="17"/>
  <c r="G20" i="17"/>
  <c r="F20" i="17"/>
  <c r="E20" i="17"/>
  <c r="D20" i="17"/>
  <c r="C20" i="17"/>
  <c r="M18" i="17"/>
  <c r="L18" i="17"/>
  <c r="K18" i="17"/>
  <c r="J18" i="17"/>
  <c r="I18" i="17"/>
  <c r="H18" i="17"/>
  <c r="G18" i="17"/>
  <c r="F18" i="17"/>
  <c r="E18" i="17"/>
  <c r="D18" i="17"/>
  <c r="C18" i="17"/>
  <c r="M16" i="17"/>
  <c r="L16" i="17"/>
  <c r="K16" i="17"/>
  <c r="J16" i="17"/>
  <c r="I16" i="17"/>
  <c r="H16" i="17"/>
  <c r="G16" i="17"/>
  <c r="F16" i="17"/>
  <c r="E16" i="17"/>
  <c r="D16" i="17"/>
  <c r="C16" i="17"/>
  <c r="M14" i="17"/>
  <c r="L14" i="17"/>
  <c r="K14" i="17"/>
  <c r="J14" i="17"/>
  <c r="I14" i="17"/>
  <c r="H14" i="17"/>
  <c r="G14" i="17"/>
  <c r="F14" i="17"/>
  <c r="E14" i="17"/>
  <c r="D14" i="17"/>
  <c r="C14" i="17"/>
  <c r="M12" i="17"/>
  <c r="L12" i="17"/>
  <c r="K12" i="17"/>
  <c r="J12" i="17"/>
  <c r="I12" i="17"/>
  <c r="H12" i="17"/>
  <c r="G12" i="17"/>
  <c r="F12" i="17"/>
  <c r="E12" i="17"/>
  <c r="D12" i="17"/>
  <c r="C12" i="17"/>
  <c r="M6" i="17"/>
  <c r="L2" i="20" s="1"/>
  <c r="L6" i="17"/>
  <c r="K2" i="20" s="1"/>
  <c r="K6" i="17"/>
  <c r="J2" i="20" s="1"/>
  <c r="J6" i="17"/>
  <c r="I2" i="20" s="1"/>
  <c r="I6" i="17"/>
  <c r="H2" i="20" s="1"/>
  <c r="H6" i="17"/>
  <c r="G6" i="17"/>
  <c r="F2" i="20" s="1"/>
  <c r="F6" i="17"/>
  <c r="E2" i="20" s="1"/>
  <c r="E6" i="17"/>
  <c r="D2" i="20" s="1"/>
  <c r="D6" i="17"/>
  <c r="C2" i="20" s="1"/>
  <c r="C6" i="17"/>
  <c r="B2" i="20" s="1"/>
  <c r="M5" i="17"/>
  <c r="L5" i="17"/>
  <c r="K5" i="17"/>
  <c r="J5" i="17"/>
  <c r="I5" i="17"/>
  <c r="H5" i="17"/>
  <c r="G5" i="17"/>
  <c r="F5" i="17"/>
  <c r="E5" i="17"/>
  <c r="D5" i="17"/>
  <c r="C5" i="17"/>
  <c r="N6" i="16"/>
  <c r="M4" i="20" s="1"/>
  <c r="M6" i="16"/>
  <c r="L4" i="20" s="1"/>
  <c r="L6" i="16"/>
  <c r="K4" i="20" s="1"/>
  <c r="K6" i="16"/>
  <c r="J4" i="20" s="1"/>
  <c r="J6" i="16"/>
  <c r="I4" i="20" s="1"/>
  <c r="I6" i="16"/>
  <c r="H4" i="20" s="1"/>
  <c r="H6" i="16"/>
  <c r="G4" i="20" s="1"/>
  <c r="G6" i="16"/>
  <c r="F4" i="20" s="1"/>
  <c r="F6" i="16"/>
  <c r="E4" i="20" s="1"/>
  <c r="E6" i="16"/>
  <c r="D4" i="20" s="1"/>
  <c r="D6" i="16"/>
  <c r="C4" i="20" s="1"/>
  <c r="C6" i="16"/>
  <c r="B4" i="20" s="1"/>
  <c r="N30" i="16"/>
  <c r="M30" i="16"/>
  <c r="L30" i="16"/>
  <c r="K30" i="16"/>
  <c r="J30" i="16"/>
  <c r="I30" i="16"/>
  <c r="H30" i="16"/>
  <c r="G30" i="16"/>
  <c r="D30" i="16"/>
  <c r="C30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N28" i="16"/>
  <c r="M28" i="16"/>
  <c r="L28" i="16"/>
  <c r="K28" i="16"/>
  <c r="J28" i="16"/>
  <c r="G28" i="16"/>
  <c r="F28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N12" i="16"/>
  <c r="M12" i="16"/>
  <c r="M11" i="16" s="1"/>
  <c r="L12" i="16"/>
  <c r="L11" i="16" s="1"/>
  <c r="K12" i="16"/>
  <c r="K11" i="16" s="1"/>
  <c r="J12" i="16"/>
  <c r="J11" i="16" s="1"/>
  <c r="C12" i="16"/>
  <c r="N5" i="16"/>
  <c r="M5" i="16"/>
  <c r="L5" i="16"/>
  <c r="K5" i="16"/>
  <c r="J5" i="16"/>
  <c r="I5" i="16"/>
  <c r="H5" i="16"/>
  <c r="G5" i="16"/>
  <c r="F5" i="16"/>
  <c r="E5" i="16"/>
  <c r="D5" i="16"/>
  <c r="C5" i="16"/>
  <c r="H24" i="18" l="1"/>
  <c r="L24" i="18"/>
  <c r="I24" i="18"/>
  <c r="G24" i="18"/>
  <c r="D11" i="19"/>
  <c r="D24" i="18"/>
  <c r="M11" i="19"/>
  <c r="M22" i="19" s="1"/>
  <c r="M23" i="19" s="1"/>
  <c r="B20" i="11"/>
  <c r="C52" i="11"/>
  <c r="B26" i="11"/>
  <c r="C12" i="11"/>
  <c r="N19" i="18"/>
  <c r="G13" i="18"/>
  <c r="E12" i="11"/>
  <c r="G21" i="18"/>
  <c r="G22" i="18"/>
  <c r="G31" i="18" s="1"/>
  <c r="G32" i="18" s="1"/>
  <c r="G15" i="18"/>
  <c r="C13" i="18"/>
  <c r="C21" i="18"/>
  <c r="C19" i="18"/>
  <c r="G19" i="18"/>
  <c r="C11" i="18"/>
  <c r="C22" i="18" s="1"/>
  <c r="C23" i="18" s="1"/>
  <c r="F15" i="18"/>
  <c r="F19" i="18"/>
  <c r="H19" i="17"/>
  <c r="G2" i="20"/>
  <c r="E19" i="19"/>
  <c r="D5" i="20"/>
  <c r="K13" i="18"/>
  <c r="C24" i="18"/>
  <c r="H24" i="19"/>
  <c r="L24" i="19"/>
  <c r="D12" i="11"/>
  <c r="K11" i="18"/>
  <c r="K22" i="18" s="1"/>
  <c r="K23" i="18" s="1"/>
  <c r="J24" i="18"/>
  <c r="K24" i="18"/>
  <c r="K15" i="18"/>
  <c r="K19" i="18"/>
  <c r="J21" i="18"/>
  <c r="I3" i="20"/>
  <c r="J22" i="18"/>
  <c r="B28" i="11"/>
  <c r="M24" i="16"/>
  <c r="I19" i="18"/>
  <c r="F12" i="11"/>
  <c r="D30" i="11"/>
  <c r="B24" i="11"/>
  <c r="K13" i="16"/>
  <c r="F13" i="18"/>
  <c r="N21" i="18"/>
  <c r="B11" i="11"/>
  <c r="C29" i="11"/>
  <c r="D21" i="17"/>
  <c r="L13" i="17"/>
  <c r="K22" i="16"/>
  <c r="K23" i="16" s="1"/>
  <c r="M13" i="18"/>
  <c r="I21" i="19"/>
  <c r="D19" i="17"/>
  <c r="N22" i="18"/>
  <c r="N31" i="18" s="1"/>
  <c r="N32" i="18" s="1"/>
  <c r="N8" i="16"/>
  <c r="N9" i="16" s="1"/>
  <c r="N13" i="18"/>
  <c r="E19" i="18"/>
  <c r="I21" i="18"/>
  <c r="D19" i="19"/>
  <c r="H21" i="19"/>
  <c r="H15" i="19"/>
  <c r="L19" i="19"/>
  <c r="D15" i="16"/>
  <c r="D11" i="17"/>
  <c r="D22" i="17" s="1"/>
  <c r="I22" i="18"/>
  <c r="M21" i="18"/>
  <c r="J24" i="19"/>
  <c r="E15" i="16"/>
  <c r="M19" i="16"/>
  <c r="F22" i="18"/>
  <c r="M13" i="19"/>
  <c r="L19" i="17"/>
  <c r="D8" i="19"/>
  <c r="D9" i="19" s="1"/>
  <c r="E15" i="18"/>
  <c r="L13" i="19"/>
  <c r="I15" i="19"/>
  <c r="M19" i="19"/>
  <c r="H22" i="19"/>
  <c r="H23" i="19" s="1"/>
  <c r="L22" i="19"/>
  <c r="L23" i="19" s="1"/>
  <c r="L15" i="19"/>
  <c r="L21" i="19"/>
  <c r="I22" i="19"/>
  <c r="I23" i="19" s="1"/>
  <c r="M15" i="19"/>
  <c r="I19" i="19"/>
  <c r="M21" i="19"/>
  <c r="N24" i="19"/>
  <c r="N13" i="16"/>
  <c r="N19" i="16"/>
  <c r="F21" i="16"/>
  <c r="J21" i="16"/>
  <c r="J24" i="16"/>
  <c r="N24" i="16"/>
  <c r="C19" i="16"/>
  <c r="K21" i="16"/>
  <c r="D15" i="17"/>
  <c r="H15" i="17"/>
  <c r="L15" i="17"/>
  <c r="D24" i="17"/>
  <c r="H24" i="17"/>
  <c r="L24" i="17"/>
  <c r="J13" i="18"/>
  <c r="J15" i="18"/>
  <c r="J19" i="18"/>
  <c r="F21" i="18"/>
  <c r="D13" i="19"/>
  <c r="H13" i="19"/>
  <c r="D15" i="19"/>
  <c r="H19" i="19"/>
  <c r="D21" i="19"/>
  <c r="E22" i="19"/>
  <c r="E23" i="19" s="1"/>
  <c r="I13" i="19"/>
  <c r="E15" i="19"/>
  <c r="E21" i="19"/>
  <c r="H21" i="17"/>
  <c r="N15" i="18"/>
  <c r="C15" i="18"/>
  <c r="K21" i="18"/>
  <c r="E13" i="19"/>
  <c r="C15" i="16"/>
  <c r="G15" i="16"/>
  <c r="K15" i="16"/>
  <c r="K19" i="16"/>
  <c r="C21" i="16"/>
  <c r="G21" i="16"/>
  <c r="G24" i="16"/>
  <c r="K24" i="16"/>
  <c r="L24" i="16"/>
  <c r="D21" i="16"/>
  <c r="H15" i="16"/>
  <c r="L19" i="16"/>
  <c r="H13" i="17"/>
  <c r="D13" i="17"/>
  <c r="L11" i="17"/>
  <c r="L22" i="17" s="1"/>
  <c r="L23" i="17" s="1"/>
  <c r="E15" i="17"/>
  <c r="I15" i="17"/>
  <c r="M15" i="17"/>
  <c r="L21" i="17"/>
  <c r="M22" i="18"/>
  <c r="M23" i="18" s="1"/>
  <c r="E13" i="18"/>
  <c r="I13" i="18"/>
  <c r="I15" i="18"/>
  <c r="M15" i="18"/>
  <c r="M19" i="18"/>
  <c r="E21" i="18"/>
  <c r="F13" i="19"/>
  <c r="J13" i="19"/>
  <c r="N13" i="19"/>
  <c r="F15" i="19"/>
  <c r="J15" i="19"/>
  <c r="N15" i="19"/>
  <c r="F19" i="19"/>
  <c r="J19" i="19"/>
  <c r="N19" i="19"/>
  <c r="F21" i="19"/>
  <c r="J21" i="19"/>
  <c r="N21" i="19"/>
  <c r="G24" i="19"/>
  <c r="K24" i="19"/>
  <c r="E21" i="16"/>
  <c r="I19" i="16"/>
  <c r="M13" i="16"/>
  <c r="E13" i="17"/>
  <c r="C13" i="19"/>
  <c r="G13" i="19"/>
  <c r="K13" i="19"/>
  <c r="C15" i="19"/>
  <c r="G15" i="19"/>
  <c r="K15" i="19"/>
  <c r="C19" i="19"/>
  <c r="G19" i="19"/>
  <c r="K19" i="19"/>
  <c r="C21" i="19"/>
  <c r="G21" i="19"/>
  <c r="K21" i="19"/>
  <c r="I24" i="19"/>
  <c r="M24" i="19"/>
  <c r="C13" i="16"/>
  <c r="D13" i="18"/>
  <c r="L13" i="18"/>
  <c r="L15" i="18"/>
  <c r="H19" i="18"/>
  <c r="D21" i="18"/>
  <c r="L21" i="18"/>
  <c r="L22" i="16"/>
  <c r="L13" i="16"/>
  <c r="H19" i="16"/>
  <c r="L21" i="16"/>
  <c r="H11" i="17"/>
  <c r="H22" i="17" s="1"/>
  <c r="H23" i="17" s="1"/>
  <c r="I24" i="17"/>
  <c r="M24" i="17"/>
  <c r="I11" i="17"/>
  <c r="I22" i="17" s="1"/>
  <c r="M13" i="17"/>
  <c r="E21" i="17"/>
  <c r="I21" i="17"/>
  <c r="M21" i="17"/>
  <c r="J24" i="17"/>
  <c r="E11" i="18"/>
  <c r="E22" i="18" s="1"/>
  <c r="F11" i="19"/>
  <c r="F22" i="19" s="1"/>
  <c r="J11" i="19"/>
  <c r="J22" i="19" s="1"/>
  <c r="N11" i="19"/>
  <c r="N22" i="19" s="1"/>
  <c r="H13" i="18"/>
  <c r="D15" i="18"/>
  <c r="H15" i="18"/>
  <c r="D19" i="18"/>
  <c r="L19" i="18"/>
  <c r="H21" i="18"/>
  <c r="C11" i="16"/>
  <c r="C22" i="16" s="1"/>
  <c r="C23" i="16" s="1"/>
  <c r="E19" i="17"/>
  <c r="I19" i="17"/>
  <c r="M19" i="17"/>
  <c r="G24" i="17"/>
  <c r="K24" i="17"/>
  <c r="C11" i="19"/>
  <c r="C22" i="19" s="1"/>
  <c r="C23" i="19" s="1"/>
  <c r="G11" i="19"/>
  <c r="G22" i="19" s="1"/>
  <c r="K11" i="19"/>
  <c r="K22" i="19" s="1"/>
  <c r="L15" i="16"/>
  <c r="E19" i="16"/>
  <c r="I21" i="16"/>
  <c r="M21" i="16"/>
  <c r="E11" i="17"/>
  <c r="E22" i="17" s="1"/>
  <c r="M11" i="17"/>
  <c r="M22" i="17" s="1"/>
  <c r="I13" i="17"/>
  <c r="F13" i="17"/>
  <c r="J13" i="17"/>
  <c r="F15" i="17"/>
  <c r="J15" i="17"/>
  <c r="F19" i="17"/>
  <c r="J19" i="17"/>
  <c r="F21" i="17"/>
  <c r="J21" i="17"/>
  <c r="H21" i="16"/>
  <c r="N21" i="16"/>
  <c r="C13" i="17"/>
  <c r="G13" i="17"/>
  <c r="K13" i="17"/>
  <c r="C15" i="17"/>
  <c r="G15" i="17"/>
  <c r="K15" i="17"/>
  <c r="C19" i="17"/>
  <c r="G19" i="17"/>
  <c r="K19" i="17"/>
  <c r="C21" i="17"/>
  <c r="G21" i="17"/>
  <c r="K21" i="17"/>
  <c r="N11" i="16"/>
  <c r="N22" i="16" s="1"/>
  <c r="N23" i="16" s="1"/>
  <c r="D19" i="16"/>
  <c r="L8" i="16"/>
  <c r="L9" i="16" s="1"/>
  <c r="G19" i="16"/>
  <c r="D11" i="18"/>
  <c r="D22" i="18" s="1"/>
  <c r="H11" i="18"/>
  <c r="H22" i="18" s="1"/>
  <c r="L11" i="18"/>
  <c r="L22" i="18" s="1"/>
  <c r="H8" i="19"/>
  <c r="H9" i="19" s="1"/>
  <c r="D22" i="19"/>
  <c r="E8" i="19"/>
  <c r="E9" i="19" s="1"/>
  <c r="I8" i="19"/>
  <c r="I9" i="19" s="1"/>
  <c r="M8" i="19"/>
  <c r="M9" i="19" s="1"/>
  <c r="F8" i="19"/>
  <c r="F9" i="19" s="1"/>
  <c r="J8" i="19"/>
  <c r="J9" i="19" s="1"/>
  <c r="N8" i="19"/>
  <c r="N9" i="19" s="1"/>
  <c r="L8" i="19"/>
  <c r="L9" i="19" s="1"/>
  <c r="C8" i="19"/>
  <c r="C9" i="19" s="1"/>
  <c r="G8" i="19"/>
  <c r="G9" i="19" s="1"/>
  <c r="K8" i="19"/>
  <c r="K9" i="19" s="1"/>
  <c r="C8" i="18"/>
  <c r="C9" i="18" s="1"/>
  <c r="G8" i="18"/>
  <c r="G9" i="18" s="1"/>
  <c r="K8" i="18"/>
  <c r="K9" i="18" s="1"/>
  <c r="D8" i="18"/>
  <c r="D9" i="18" s="1"/>
  <c r="H8" i="18"/>
  <c r="H9" i="18" s="1"/>
  <c r="L8" i="18"/>
  <c r="L9" i="18" s="1"/>
  <c r="E8" i="18"/>
  <c r="E9" i="18" s="1"/>
  <c r="I8" i="18"/>
  <c r="I9" i="18" s="1"/>
  <c r="M8" i="18"/>
  <c r="M9" i="18" s="1"/>
  <c r="F8" i="18"/>
  <c r="F9" i="18" s="1"/>
  <c r="J8" i="18"/>
  <c r="J9" i="18" s="1"/>
  <c r="N8" i="18"/>
  <c r="N9" i="18" s="1"/>
  <c r="F11" i="17"/>
  <c r="F22" i="17" s="1"/>
  <c r="F23" i="17" s="1"/>
  <c r="J11" i="17"/>
  <c r="J22" i="17" s="1"/>
  <c r="C11" i="17"/>
  <c r="C22" i="17" s="1"/>
  <c r="G11" i="17"/>
  <c r="G22" i="17" s="1"/>
  <c r="K11" i="17"/>
  <c r="K22" i="17" s="1"/>
  <c r="D8" i="17"/>
  <c r="D9" i="17" s="1"/>
  <c r="H8" i="17"/>
  <c r="H9" i="17" s="1"/>
  <c r="E8" i="17"/>
  <c r="E9" i="17" s="1"/>
  <c r="I8" i="17"/>
  <c r="I9" i="17" s="1"/>
  <c r="M8" i="17"/>
  <c r="M9" i="17" s="1"/>
  <c r="L8" i="17"/>
  <c r="L9" i="17" s="1"/>
  <c r="F8" i="17"/>
  <c r="F9" i="17" s="1"/>
  <c r="J8" i="17"/>
  <c r="J9" i="17" s="1"/>
  <c r="C8" i="17"/>
  <c r="C9" i="17" s="1"/>
  <c r="G8" i="17"/>
  <c r="G9" i="17" s="1"/>
  <c r="K8" i="17"/>
  <c r="K9" i="17" s="1"/>
  <c r="M22" i="16"/>
  <c r="M15" i="16"/>
  <c r="I15" i="16"/>
  <c r="N15" i="16"/>
  <c r="M8" i="16"/>
  <c r="M9" i="16" s="1"/>
  <c r="J22" i="16"/>
  <c r="J13" i="16"/>
  <c r="F15" i="16"/>
  <c r="J15" i="16"/>
  <c r="F19" i="16"/>
  <c r="J19" i="16"/>
  <c r="K8" i="16"/>
  <c r="K9" i="16" s="1"/>
  <c r="H8" i="16"/>
  <c r="H9" i="16" s="1"/>
  <c r="E8" i="16"/>
  <c r="E9" i="16" s="1"/>
  <c r="I8" i="16"/>
  <c r="I9" i="16" s="1"/>
  <c r="D8" i="16"/>
  <c r="D9" i="16" s="1"/>
  <c r="F8" i="16"/>
  <c r="F9" i="16" s="1"/>
  <c r="J8" i="16"/>
  <c r="J9" i="16" s="1"/>
  <c r="C8" i="16"/>
  <c r="C9" i="16" s="1"/>
  <c r="G8" i="16"/>
  <c r="G9" i="16" s="1"/>
  <c r="C3" i="13"/>
  <c r="I31" i="19" l="1"/>
  <c r="I32" i="19" s="1"/>
  <c r="K31" i="16"/>
  <c r="K32" i="16" s="1"/>
  <c r="I31" i="18"/>
  <c r="I32" i="18" s="1"/>
  <c r="M31" i="19"/>
  <c r="M32" i="19" s="1"/>
  <c r="G23" i="18"/>
  <c r="C31" i="18"/>
  <c r="C32" i="18" s="1"/>
  <c r="J31" i="18"/>
  <c r="J32" i="18" s="1"/>
  <c r="D17" i="17"/>
  <c r="B12" i="11"/>
  <c r="B18" i="11"/>
  <c r="M31" i="16"/>
  <c r="M32" i="16" s="1"/>
  <c r="L31" i="19"/>
  <c r="L32" i="19" s="1"/>
  <c r="D17" i="19"/>
  <c r="K31" i="18"/>
  <c r="K32" i="18" s="1"/>
  <c r="H31" i="19"/>
  <c r="H32" i="19" s="1"/>
  <c r="L31" i="17"/>
  <c r="L32" i="17" s="1"/>
  <c r="J23" i="18"/>
  <c r="J31" i="16"/>
  <c r="J32" i="16" s="1"/>
  <c r="B22" i="11"/>
  <c r="C30" i="11"/>
  <c r="N17" i="16"/>
  <c r="I23" i="18"/>
  <c r="N23" i="18"/>
  <c r="M23" i="16"/>
  <c r="H31" i="17"/>
  <c r="H32" i="17" s="1"/>
  <c r="F23" i="18"/>
  <c r="M31" i="18"/>
  <c r="M32" i="18" s="1"/>
  <c r="I31" i="17"/>
  <c r="I32" i="17" s="1"/>
  <c r="N31" i="16"/>
  <c r="N32" i="16" s="1"/>
  <c r="H23" i="18"/>
  <c r="H31" i="18"/>
  <c r="H32" i="18" s="1"/>
  <c r="E23" i="18"/>
  <c r="M17" i="16"/>
  <c r="L31" i="16"/>
  <c r="L32" i="16" s="1"/>
  <c r="F23" i="19"/>
  <c r="K23" i="19"/>
  <c r="K31" i="19"/>
  <c r="K32" i="19" s="1"/>
  <c r="N23" i="19"/>
  <c r="N31" i="19"/>
  <c r="N32" i="19" s="1"/>
  <c r="G23" i="19"/>
  <c r="G31" i="19"/>
  <c r="G32" i="19" s="1"/>
  <c r="J31" i="19"/>
  <c r="J32" i="19" s="1"/>
  <c r="J23" i="19"/>
  <c r="L23" i="16"/>
  <c r="J23" i="16"/>
  <c r="I23" i="17"/>
  <c r="D31" i="18"/>
  <c r="D32" i="18" s="1"/>
  <c r="D23" i="18"/>
  <c r="M31" i="17"/>
  <c r="M32" i="17" s="1"/>
  <c r="M23" i="17"/>
  <c r="E23" i="17"/>
  <c r="L31" i="18"/>
  <c r="L32" i="18" s="1"/>
  <c r="L23" i="18"/>
  <c r="L17" i="16"/>
  <c r="F17" i="19"/>
  <c r="M17" i="19"/>
  <c r="K17" i="19"/>
  <c r="N17" i="19"/>
  <c r="I17" i="19"/>
  <c r="L17" i="19"/>
  <c r="G17" i="19"/>
  <c r="D23" i="19"/>
  <c r="J17" i="19"/>
  <c r="E17" i="19"/>
  <c r="H17" i="19"/>
  <c r="C17" i="19"/>
  <c r="D17" i="18"/>
  <c r="K17" i="18"/>
  <c r="L17" i="18"/>
  <c r="C17" i="18"/>
  <c r="F17" i="18"/>
  <c r="H17" i="18"/>
  <c r="J17" i="18"/>
  <c r="M17" i="18"/>
  <c r="E17" i="18"/>
  <c r="G17" i="18"/>
  <c r="N17" i="18"/>
  <c r="I17" i="18"/>
  <c r="J31" i="17"/>
  <c r="J32" i="17" s="1"/>
  <c r="J23" i="17"/>
  <c r="G31" i="17"/>
  <c r="G32" i="17" s="1"/>
  <c r="G23" i="17"/>
  <c r="K31" i="17"/>
  <c r="K32" i="17" s="1"/>
  <c r="K23" i="17"/>
  <c r="C23" i="17"/>
  <c r="G17" i="17"/>
  <c r="M17" i="17"/>
  <c r="K17" i="17"/>
  <c r="I17" i="17"/>
  <c r="L17" i="17"/>
  <c r="J17" i="17"/>
  <c r="D23" i="17"/>
  <c r="D31" i="17"/>
  <c r="D32" i="17" s="1"/>
  <c r="E17" i="17"/>
  <c r="H17" i="17"/>
  <c r="C17" i="17"/>
  <c r="F17" i="17"/>
  <c r="K17" i="16"/>
  <c r="H17" i="16"/>
  <c r="F17" i="16"/>
  <c r="E17" i="16"/>
  <c r="D17" i="16"/>
  <c r="G17" i="16"/>
  <c r="C17" i="16"/>
  <c r="J17" i="16"/>
  <c r="I17" i="16"/>
  <c r="C3" i="14"/>
  <c r="E28" i="13" l="1"/>
  <c r="BJ21" i="11" l="1"/>
  <c r="N16" i="17" s="1"/>
  <c r="BE21" i="11"/>
  <c r="AZ21" i="11"/>
  <c r="AU21" i="11"/>
  <c r="AP21" i="11"/>
  <c r="AK21" i="11"/>
  <c r="AF21" i="11"/>
  <c r="AA21" i="11"/>
  <c r="V21" i="11"/>
  <c r="B4" i="16" l="1"/>
  <c r="B4" i="18"/>
  <c r="B4" i="17"/>
  <c r="AP49" i="11"/>
  <c r="AU49" i="11"/>
  <c r="AV49" i="11"/>
  <c r="AW49" i="11"/>
  <c r="AX49" i="11"/>
  <c r="AY49" i="11"/>
  <c r="AZ49" i="11"/>
  <c r="BA49" i="11"/>
  <c r="BB49" i="11"/>
  <c r="BC49" i="11"/>
  <c r="BD49" i="11"/>
  <c r="BE49" i="11"/>
  <c r="BF49" i="11"/>
  <c r="BG49" i="11"/>
  <c r="BH49" i="11"/>
  <c r="BI49" i="11"/>
  <c r="BJ49" i="11"/>
  <c r="BK49" i="11"/>
  <c r="BL49" i="11"/>
  <c r="BM49" i="11"/>
  <c r="BN49" i="11"/>
  <c r="BN28" i="11"/>
  <c r="BM28" i="11"/>
  <c r="BL28" i="11"/>
  <c r="BK28" i="11"/>
  <c r="BI28" i="11"/>
  <c r="BH28" i="11"/>
  <c r="BG28" i="11"/>
  <c r="BF28" i="11"/>
  <c r="BD28" i="11"/>
  <c r="BC28" i="11"/>
  <c r="BB28" i="11"/>
  <c r="BA28" i="11"/>
  <c r="AY28" i="11"/>
  <c r="AX28" i="11"/>
  <c r="AW28" i="11"/>
  <c r="AV28" i="11"/>
  <c r="AT28" i="11"/>
  <c r="AS28" i="11"/>
  <c r="AR28" i="11"/>
  <c r="AQ28" i="11"/>
  <c r="AO28" i="11"/>
  <c r="AN28" i="11"/>
  <c r="AM28" i="11"/>
  <c r="AL28" i="11"/>
  <c r="AJ28" i="11"/>
  <c r="AI28" i="11"/>
  <c r="AH28" i="11"/>
  <c r="AG28" i="11"/>
  <c r="AE28" i="11"/>
  <c r="AD28" i="11"/>
  <c r="AC28" i="11"/>
  <c r="AB28" i="11"/>
  <c r="Z28" i="11"/>
  <c r="Y28" i="11"/>
  <c r="X28" i="11"/>
  <c r="W28" i="11"/>
  <c r="U28" i="11"/>
  <c r="T28" i="11"/>
  <c r="S28" i="11"/>
  <c r="R28" i="11"/>
  <c r="P28" i="11"/>
  <c r="O28" i="11"/>
  <c r="N28" i="11"/>
  <c r="M28" i="11"/>
  <c r="BN24" i="11"/>
  <c r="BM24" i="11"/>
  <c r="BL24" i="11"/>
  <c r="BK24" i="11"/>
  <c r="BI24" i="11"/>
  <c r="BH24" i="11"/>
  <c r="BG24" i="11"/>
  <c r="BF24" i="11"/>
  <c r="BD24" i="11"/>
  <c r="BC24" i="11"/>
  <c r="BB24" i="11"/>
  <c r="BA24" i="11"/>
  <c r="AY24" i="11"/>
  <c r="AX24" i="11"/>
  <c r="AW24" i="11"/>
  <c r="AV24" i="11"/>
  <c r="AT24" i="11"/>
  <c r="AS24" i="11"/>
  <c r="AR24" i="11"/>
  <c r="AQ24" i="11"/>
  <c r="AO24" i="11"/>
  <c r="AN24" i="11"/>
  <c r="AM24" i="11"/>
  <c r="AL24" i="11"/>
  <c r="AJ24" i="11"/>
  <c r="AI24" i="11"/>
  <c r="AH24" i="11"/>
  <c r="AG24" i="11"/>
  <c r="AE24" i="11"/>
  <c r="AD24" i="11"/>
  <c r="AC24" i="11"/>
  <c r="AB24" i="11"/>
  <c r="Z24" i="11"/>
  <c r="Y24" i="11"/>
  <c r="X24" i="11"/>
  <c r="W24" i="11"/>
  <c r="U24" i="11"/>
  <c r="T24" i="11"/>
  <c r="S24" i="11"/>
  <c r="R24" i="11"/>
  <c r="P24" i="11"/>
  <c r="O24" i="11"/>
  <c r="N24" i="11"/>
  <c r="M24" i="11"/>
  <c r="BN20" i="11"/>
  <c r="BM20" i="11"/>
  <c r="BL20" i="11"/>
  <c r="BK20" i="11"/>
  <c r="BI20" i="11"/>
  <c r="BH20" i="11"/>
  <c r="BG20" i="11"/>
  <c r="BF20" i="11"/>
  <c r="BD20" i="11"/>
  <c r="BC20" i="11"/>
  <c r="BB20" i="11"/>
  <c r="BA20" i="11"/>
  <c r="AY20" i="11"/>
  <c r="AX20" i="11"/>
  <c r="AW20" i="11"/>
  <c r="AV20" i="11"/>
  <c r="AT20" i="11"/>
  <c r="AS20" i="11"/>
  <c r="AR20" i="11"/>
  <c r="AQ20" i="11"/>
  <c r="AO20" i="11"/>
  <c r="AN20" i="11"/>
  <c r="AM20" i="11"/>
  <c r="AL20" i="11"/>
  <c r="AJ20" i="11"/>
  <c r="AI20" i="11"/>
  <c r="AH20" i="11"/>
  <c r="AG20" i="11"/>
  <c r="AE20" i="11"/>
  <c r="AD20" i="11"/>
  <c r="AC20" i="11"/>
  <c r="AB20" i="11"/>
  <c r="Z20" i="11"/>
  <c r="Y20" i="11"/>
  <c r="X20" i="11"/>
  <c r="W20" i="11"/>
  <c r="U20" i="11"/>
  <c r="T20" i="11"/>
  <c r="S20" i="11"/>
  <c r="R20" i="11"/>
  <c r="P20" i="11"/>
  <c r="O20" i="11"/>
  <c r="N20" i="11"/>
  <c r="M20" i="11"/>
  <c r="BN16" i="11"/>
  <c r="BM16" i="11"/>
  <c r="BL16" i="11"/>
  <c r="BK16" i="11"/>
  <c r="BI16" i="11"/>
  <c r="BH16" i="11"/>
  <c r="BG16" i="11"/>
  <c r="BF16" i="11"/>
  <c r="BD16" i="11"/>
  <c r="BC16" i="11"/>
  <c r="BB16" i="11"/>
  <c r="BA16" i="11"/>
  <c r="AY16" i="11"/>
  <c r="AX16" i="11"/>
  <c r="AW16" i="11"/>
  <c r="AV16" i="11"/>
  <c r="AT16" i="11"/>
  <c r="AS16" i="11"/>
  <c r="AR16" i="11"/>
  <c r="AQ16" i="11"/>
  <c r="AO16" i="11"/>
  <c r="AM16" i="11"/>
  <c r="AL16" i="11"/>
  <c r="AJ16" i="11"/>
  <c r="AH16" i="11"/>
  <c r="AG16" i="11"/>
  <c r="AE16" i="11"/>
  <c r="AC16" i="11"/>
  <c r="AB16" i="11"/>
  <c r="Z16" i="11"/>
  <c r="X16" i="11"/>
  <c r="W16" i="11"/>
  <c r="U16" i="11"/>
  <c r="S16" i="11"/>
  <c r="R16" i="11"/>
  <c r="P16" i="11"/>
  <c r="N16" i="11"/>
  <c r="M16" i="11"/>
  <c r="BN29" i="11"/>
  <c r="BM29" i="11"/>
  <c r="BK29" i="11"/>
  <c r="BI29" i="11"/>
  <c r="BH29" i="11"/>
  <c r="BG29" i="11"/>
  <c r="BF29" i="11"/>
  <c r="BF30" i="11" s="1"/>
  <c r="BD29" i="11"/>
  <c r="BC29" i="11"/>
  <c r="BB29" i="11"/>
  <c r="BA29" i="11"/>
  <c r="AY29" i="11"/>
  <c r="AX29" i="11"/>
  <c r="AW29" i="11"/>
  <c r="AV29" i="11"/>
  <c r="AT29" i="11"/>
  <c r="AS29" i="11"/>
  <c r="AS30" i="11" s="1"/>
  <c r="AR29" i="11"/>
  <c r="AO29" i="11"/>
  <c r="AO30" i="11" s="1"/>
  <c r="AM29" i="11"/>
  <c r="AM30" i="11" s="1"/>
  <c r="AL29" i="11"/>
  <c r="AJ29" i="11"/>
  <c r="AJ30" i="11" s="1"/>
  <c r="AH29" i="11"/>
  <c r="AH30" i="11" s="1"/>
  <c r="AE29" i="11"/>
  <c r="AC29" i="11"/>
  <c r="AB29" i="11"/>
  <c r="AB30" i="11" s="1"/>
  <c r="Z29" i="11"/>
  <c r="Z30" i="11" s="1"/>
  <c r="X29" i="11"/>
  <c r="W29" i="11"/>
  <c r="U29" i="11"/>
  <c r="S29" i="11"/>
  <c r="R29" i="11"/>
  <c r="P29" i="11"/>
  <c r="N29" i="11"/>
  <c r="N30" i="11" s="1"/>
  <c r="M29" i="11"/>
  <c r="M30" i="11" s="1"/>
  <c r="K20" i="11"/>
  <c r="J20" i="11"/>
  <c r="I20" i="11"/>
  <c r="H20" i="11"/>
  <c r="K28" i="11"/>
  <c r="J28" i="11"/>
  <c r="I28" i="11"/>
  <c r="H28" i="11"/>
  <c r="K24" i="11"/>
  <c r="J24" i="11"/>
  <c r="I24" i="11"/>
  <c r="H24" i="11"/>
  <c r="K16" i="11"/>
  <c r="J16" i="11"/>
  <c r="I16" i="11"/>
  <c r="BJ56" i="11"/>
  <c r="BJ55" i="11"/>
  <c r="BJ45" i="11"/>
  <c r="N30" i="17" s="1"/>
  <c r="BJ44" i="11"/>
  <c r="N29" i="17" s="1"/>
  <c r="BJ35" i="11"/>
  <c r="N28" i="17" s="1"/>
  <c r="BJ34" i="11"/>
  <c r="N27" i="17" s="1"/>
  <c r="BJ33" i="11"/>
  <c r="N26" i="17" s="1"/>
  <c r="BJ32" i="11"/>
  <c r="N25" i="17" s="1"/>
  <c r="BN31" i="11"/>
  <c r="BM31" i="11"/>
  <c r="BL31" i="11"/>
  <c r="BK31" i="11"/>
  <c r="BJ27" i="11"/>
  <c r="N20" i="17" s="1"/>
  <c r="BJ23" i="11"/>
  <c r="N18" i="17" s="1"/>
  <c r="BJ19" i="11"/>
  <c r="N14" i="17" s="1"/>
  <c r="BJ15" i="11"/>
  <c r="N12" i="17" s="1"/>
  <c r="BL29" i="11"/>
  <c r="BN11" i="11"/>
  <c r="BN18" i="11" s="1"/>
  <c r="BM11" i="11"/>
  <c r="BM18" i="11" s="1"/>
  <c r="BL11" i="11"/>
  <c r="BL18" i="11" s="1"/>
  <c r="BK11" i="11"/>
  <c r="BK18" i="11" s="1"/>
  <c r="BJ9" i="11"/>
  <c r="N6" i="17" s="1"/>
  <c r="M2" i="20" s="1"/>
  <c r="BJ8" i="11"/>
  <c r="N5" i="17" s="1"/>
  <c r="BE56" i="11"/>
  <c r="BE55" i="11"/>
  <c r="BE45" i="11"/>
  <c r="BE44" i="11"/>
  <c r="BE35" i="11"/>
  <c r="BE34" i="11"/>
  <c r="BE33" i="11"/>
  <c r="BE32" i="11"/>
  <c r="BI31" i="11"/>
  <c r="BH31" i="11"/>
  <c r="BG31" i="11"/>
  <c r="BF31" i="11"/>
  <c r="BE27" i="11"/>
  <c r="BE23" i="11"/>
  <c r="BE19" i="11"/>
  <c r="BE15" i="11"/>
  <c r="BI11" i="11"/>
  <c r="BI18" i="11" s="1"/>
  <c r="BH11" i="11"/>
  <c r="BH18" i="11" s="1"/>
  <c r="BG11" i="11"/>
  <c r="BG18" i="11" s="1"/>
  <c r="BF11" i="11"/>
  <c r="BF18" i="11" s="1"/>
  <c r="BE9" i="11"/>
  <c r="BE8" i="11"/>
  <c r="AZ56" i="11"/>
  <c r="AZ55" i="11"/>
  <c r="AZ45" i="11"/>
  <c r="AZ44" i="11"/>
  <c r="AZ35" i="11"/>
  <c r="AZ34" i="11"/>
  <c r="AZ33" i="11"/>
  <c r="AZ32" i="11"/>
  <c r="BD31" i="11"/>
  <c r="BC31" i="11"/>
  <c r="BB31" i="11"/>
  <c r="BA31" i="11"/>
  <c r="AZ27" i="11"/>
  <c r="AZ23" i="11"/>
  <c r="AZ19" i="11"/>
  <c r="AZ15" i="11"/>
  <c r="BD11" i="11"/>
  <c r="BD18" i="11" s="1"/>
  <c r="BC11" i="11"/>
  <c r="BC18" i="11" s="1"/>
  <c r="BB11" i="11"/>
  <c r="BB18" i="11" s="1"/>
  <c r="BA11" i="11"/>
  <c r="BA18" i="11" s="1"/>
  <c r="AZ9" i="11"/>
  <c r="AZ8" i="11"/>
  <c r="AU56" i="11"/>
  <c r="AU55" i="11"/>
  <c r="AU45" i="11"/>
  <c r="AU44" i="11"/>
  <c r="AU35" i="11"/>
  <c r="AU34" i="11"/>
  <c r="AU33" i="11"/>
  <c r="AU32" i="11"/>
  <c r="AY31" i="11"/>
  <c r="AX31" i="11"/>
  <c r="AW31" i="11"/>
  <c r="AV31" i="11"/>
  <c r="AU27" i="11"/>
  <c r="AU23" i="11"/>
  <c r="AU19" i="11"/>
  <c r="AU15" i="11"/>
  <c r="AY11" i="11"/>
  <c r="AY18" i="11" s="1"/>
  <c r="AX11" i="11"/>
  <c r="AX18" i="11" s="1"/>
  <c r="AW11" i="11"/>
  <c r="AW18" i="11" s="1"/>
  <c r="AV11" i="11"/>
  <c r="AV18" i="11" s="1"/>
  <c r="AU9" i="11"/>
  <c r="AU8" i="11"/>
  <c r="AT31" i="11"/>
  <c r="AS31" i="11"/>
  <c r="AR31" i="11"/>
  <c r="AQ31" i="11"/>
  <c r="AO31" i="11"/>
  <c r="AM31" i="11"/>
  <c r="AL31" i="11"/>
  <c r="AJ31" i="11"/>
  <c r="AH31" i="11"/>
  <c r="AG31" i="11"/>
  <c r="AE31" i="11"/>
  <c r="AD31" i="11"/>
  <c r="AC31" i="11"/>
  <c r="AB31" i="11"/>
  <c r="N31" i="11"/>
  <c r="M31" i="11"/>
  <c r="AP35" i="11"/>
  <c r="AA35" i="11"/>
  <c r="V35" i="11"/>
  <c r="AP34" i="11"/>
  <c r="AK34" i="11"/>
  <c r="AF34" i="11"/>
  <c r="AA34" i="11"/>
  <c r="V34" i="11"/>
  <c r="Q34" i="11"/>
  <c r="L34" i="11"/>
  <c r="AP33" i="11"/>
  <c r="AK33" i="11"/>
  <c r="AF33" i="11"/>
  <c r="AA33" i="11"/>
  <c r="V33" i="11"/>
  <c r="Q33" i="11"/>
  <c r="L33" i="11"/>
  <c r="AP32" i="11"/>
  <c r="AK32" i="11"/>
  <c r="AF32" i="11"/>
  <c r="AA32" i="11"/>
  <c r="V32" i="11"/>
  <c r="Q32" i="11"/>
  <c r="AP45" i="11"/>
  <c r="AK45" i="11"/>
  <c r="AF45" i="11"/>
  <c r="AA45" i="11"/>
  <c r="L45" i="11"/>
  <c r="AP44" i="11"/>
  <c r="AK44" i="11"/>
  <c r="AF44" i="11"/>
  <c r="AA44" i="11"/>
  <c r="V44" i="11"/>
  <c r="Q44" i="11"/>
  <c r="L44" i="11"/>
  <c r="AP56" i="11"/>
  <c r="AK56" i="11"/>
  <c r="AF56" i="11"/>
  <c r="AA56" i="11"/>
  <c r="V56" i="11"/>
  <c r="Q56" i="11"/>
  <c r="L56" i="11"/>
  <c r="G56" i="11"/>
  <c r="AP55" i="11"/>
  <c r="AK55" i="11"/>
  <c r="AF55" i="11"/>
  <c r="AA55" i="11"/>
  <c r="V55" i="11"/>
  <c r="Q55" i="11"/>
  <c r="L55" i="11"/>
  <c r="AK49" i="11"/>
  <c r="Q49" i="11"/>
  <c r="L49" i="11"/>
  <c r="AP27" i="11"/>
  <c r="AK27" i="11"/>
  <c r="AF27" i="11"/>
  <c r="AA27" i="11"/>
  <c r="V27" i="11"/>
  <c r="AP23" i="11"/>
  <c r="AK23" i="11"/>
  <c r="AF23" i="11"/>
  <c r="AA23" i="11"/>
  <c r="V23" i="11"/>
  <c r="AP19" i="11"/>
  <c r="AK19" i="11"/>
  <c r="AF19" i="11"/>
  <c r="AA19" i="11"/>
  <c r="V19" i="11"/>
  <c r="AP15" i="11"/>
  <c r="G15" i="11"/>
  <c r="AT11" i="11"/>
  <c r="AT18" i="11" s="1"/>
  <c r="AS11" i="11"/>
  <c r="AS18" i="11" s="1"/>
  <c r="AR11" i="11"/>
  <c r="AR18" i="11" s="1"/>
  <c r="AQ11" i="11"/>
  <c r="AQ18" i="11" s="1"/>
  <c r="AO11" i="11"/>
  <c r="AO18" i="11" s="1"/>
  <c r="AN11" i="11"/>
  <c r="AN18" i="11" s="1"/>
  <c r="AM11" i="11"/>
  <c r="AM18" i="11" s="1"/>
  <c r="AL11" i="11"/>
  <c r="AL18" i="11" s="1"/>
  <c r="AJ11" i="11"/>
  <c r="AJ18" i="11" s="1"/>
  <c r="AI11" i="11"/>
  <c r="AI18" i="11" s="1"/>
  <c r="AH11" i="11"/>
  <c r="AH18" i="11" s="1"/>
  <c r="AG11" i="11"/>
  <c r="AG18" i="11" s="1"/>
  <c r="AE11" i="11"/>
  <c r="AE18" i="11" s="1"/>
  <c r="AD11" i="11"/>
  <c r="AD18" i="11" s="1"/>
  <c r="AC11" i="11"/>
  <c r="AC18" i="11" s="1"/>
  <c r="AB11" i="11"/>
  <c r="AB18" i="11" s="1"/>
  <c r="Z11" i="11"/>
  <c r="Z18" i="11" s="1"/>
  <c r="Y11" i="11"/>
  <c r="Y18" i="11" s="1"/>
  <c r="X11" i="11"/>
  <c r="X18" i="11" s="1"/>
  <c r="W11" i="11"/>
  <c r="W18" i="11" s="1"/>
  <c r="U11" i="11"/>
  <c r="T11" i="11"/>
  <c r="S11" i="11"/>
  <c r="R11" i="11"/>
  <c r="P11" i="11"/>
  <c r="O11" i="11"/>
  <c r="N11" i="11"/>
  <c r="M11" i="11"/>
  <c r="K11" i="11"/>
  <c r="J11" i="11"/>
  <c r="I11" i="11"/>
  <c r="H11" i="11"/>
  <c r="AP9" i="11"/>
  <c r="AK9" i="11"/>
  <c r="AF9" i="11"/>
  <c r="AA9" i="11"/>
  <c r="AA26" i="11" s="1"/>
  <c r="V9" i="11"/>
  <c r="Q9" i="11"/>
  <c r="L9" i="11"/>
  <c r="G9" i="11"/>
  <c r="AP8" i="11"/>
  <c r="AK8" i="11"/>
  <c r="Q8" i="11"/>
  <c r="L8" i="11"/>
  <c r="G8" i="11"/>
  <c r="Y45" i="11" l="1"/>
  <c r="X45" i="11"/>
  <c r="Z45" i="11"/>
  <c r="V26" i="11"/>
  <c r="W45" i="11"/>
  <c r="S45" i="11"/>
  <c r="T45" i="11"/>
  <c r="U45" i="11"/>
  <c r="R45" i="11"/>
  <c r="Q22" i="11"/>
  <c r="Q20" i="11"/>
  <c r="Q24" i="11"/>
  <c r="Q28" i="11"/>
  <c r="Q18" i="11"/>
  <c r="Q26" i="11"/>
  <c r="L28" i="11"/>
  <c r="L16" i="11"/>
  <c r="L24" i="11"/>
  <c r="L20" i="11"/>
  <c r="L26" i="11"/>
  <c r="L22" i="11"/>
  <c r="L18" i="11"/>
  <c r="G26" i="11"/>
  <c r="G22" i="11"/>
  <c r="G18" i="11"/>
  <c r="AA49" i="11"/>
  <c r="B32" i="11"/>
  <c r="B51" i="11"/>
  <c r="AF49" i="11"/>
  <c r="N8" i="17"/>
  <c r="N9" i="17" s="1"/>
  <c r="V49" i="11"/>
  <c r="V15" i="11"/>
  <c r="V16" i="11" s="1"/>
  <c r="F12" i="16"/>
  <c r="Y29" i="11"/>
  <c r="C28" i="16"/>
  <c r="C24" i="16" s="1"/>
  <c r="C31" i="16" s="1"/>
  <c r="N19" i="17"/>
  <c r="AD16" i="11"/>
  <c r="G12" i="16"/>
  <c r="AD29" i="11"/>
  <c r="AD46" i="11" s="1"/>
  <c r="C28" i="19"/>
  <c r="C24" i="19" s="1"/>
  <c r="C31" i="19" s="1"/>
  <c r="N21" i="17"/>
  <c r="AI16" i="11"/>
  <c r="H12" i="16"/>
  <c r="AI29" i="11"/>
  <c r="AI30" i="11" s="1"/>
  <c r="L35" i="11"/>
  <c r="D28" i="16"/>
  <c r="D24" i="16" s="1"/>
  <c r="AF35" i="11"/>
  <c r="AF31" i="11" s="1"/>
  <c r="H28" i="16"/>
  <c r="H24" i="16" s="1"/>
  <c r="N13" i="17"/>
  <c r="N11" i="17"/>
  <c r="N22" i="17" s="1"/>
  <c r="N24" i="17"/>
  <c r="L32" i="11"/>
  <c r="D25" i="19"/>
  <c r="D24" i="19" s="1"/>
  <c r="D31" i="19" s="1"/>
  <c r="D32" i="19" s="1"/>
  <c r="O16" i="11"/>
  <c r="D12" i="16"/>
  <c r="O29" i="11"/>
  <c r="Q15" i="11"/>
  <c r="Q16" i="11" s="1"/>
  <c r="E12" i="16"/>
  <c r="T29" i="11"/>
  <c r="AK15" i="11"/>
  <c r="AK16" i="11" s="1"/>
  <c r="I12" i="16"/>
  <c r="H31" i="11"/>
  <c r="C28" i="17"/>
  <c r="C24" i="17" s="1"/>
  <c r="C31" i="17" s="1"/>
  <c r="Q35" i="11"/>
  <c r="Q31" i="11" s="1"/>
  <c r="E28" i="16"/>
  <c r="AK35" i="11"/>
  <c r="AK31" i="11" s="1"/>
  <c r="I28" i="16"/>
  <c r="I24" i="16" s="1"/>
  <c r="N15" i="17"/>
  <c r="J12" i="11"/>
  <c r="Y12" i="11"/>
  <c r="Y22" i="11"/>
  <c r="AS12" i="11"/>
  <c r="AS22" i="11"/>
  <c r="K12" i="11"/>
  <c r="P12" i="11"/>
  <c r="U12" i="11"/>
  <c r="Z12" i="11"/>
  <c r="Z22" i="11"/>
  <c r="AE12" i="11"/>
  <c r="AE22" i="11"/>
  <c r="AJ12" i="11"/>
  <c r="AJ22" i="11"/>
  <c r="AO12" i="11"/>
  <c r="AO22" i="11"/>
  <c r="AT12" i="11"/>
  <c r="AT22" i="11"/>
  <c r="AW12" i="11"/>
  <c r="AW22" i="11"/>
  <c r="BD12" i="11"/>
  <c r="BD22" i="11"/>
  <c r="BG12" i="11"/>
  <c r="BG22" i="11"/>
  <c r="BN12" i="11"/>
  <c r="BN22" i="11"/>
  <c r="O12" i="11"/>
  <c r="AD12" i="11"/>
  <c r="AD22" i="11"/>
  <c r="AI12" i="11"/>
  <c r="AI22" i="11"/>
  <c r="AV12" i="11"/>
  <c r="AV22" i="11"/>
  <c r="BC12" i="11"/>
  <c r="BC22" i="11"/>
  <c r="BM12" i="11"/>
  <c r="BM22" i="11"/>
  <c r="H12" i="11"/>
  <c r="M12" i="11"/>
  <c r="R12" i="11"/>
  <c r="W12" i="11"/>
  <c r="W22" i="11"/>
  <c r="AB12" i="11"/>
  <c r="AB22" i="11"/>
  <c r="AG12" i="11"/>
  <c r="AG22" i="11"/>
  <c r="AL12" i="11"/>
  <c r="AL22" i="11"/>
  <c r="AQ12" i="11"/>
  <c r="AQ22" i="11"/>
  <c r="AX12" i="11"/>
  <c r="AX22" i="11"/>
  <c r="BA12" i="11"/>
  <c r="BA22" i="11"/>
  <c r="BH12" i="11"/>
  <c r="BH22" i="11"/>
  <c r="BK12" i="11"/>
  <c r="BK22" i="11"/>
  <c r="T12" i="11"/>
  <c r="AN12" i="11"/>
  <c r="AN22" i="11"/>
  <c r="BF12" i="11"/>
  <c r="BF22" i="11"/>
  <c r="I12" i="11"/>
  <c r="N12" i="11"/>
  <c r="S12" i="11"/>
  <c r="X12" i="11"/>
  <c r="X22" i="11"/>
  <c r="AC12" i="11"/>
  <c r="AC22" i="11"/>
  <c r="AH12" i="11"/>
  <c r="AH22" i="11"/>
  <c r="AM12" i="11"/>
  <c r="AM22" i="11"/>
  <c r="AR12" i="11"/>
  <c r="AR22" i="11"/>
  <c r="AY12" i="11"/>
  <c r="AY22" i="11"/>
  <c r="BB12" i="11"/>
  <c r="BB22" i="11"/>
  <c r="BI12" i="11"/>
  <c r="BI22" i="11"/>
  <c r="BL12" i="11"/>
  <c r="BL22" i="11"/>
  <c r="AZ24" i="11"/>
  <c r="G49" i="11"/>
  <c r="AX46" i="11"/>
  <c r="BM46" i="11"/>
  <c r="BE16" i="11"/>
  <c r="BE20" i="11"/>
  <c r="V24" i="11"/>
  <c r="AA24" i="11"/>
  <c r="V20" i="11"/>
  <c r="AP24" i="11"/>
  <c r="G20" i="11"/>
  <c r="AA20" i="11"/>
  <c r="G24" i="11"/>
  <c r="G28" i="11"/>
  <c r="AA28" i="11"/>
  <c r="AZ16" i="11"/>
  <c r="BJ24" i="11"/>
  <c r="AK20" i="11"/>
  <c r="AZ20" i="11"/>
  <c r="BJ28" i="11"/>
  <c r="AP20" i="11"/>
  <c r="BJ16" i="11"/>
  <c r="AU28" i="11"/>
  <c r="AK28" i="11"/>
  <c r="AP16" i="11"/>
  <c r="V28" i="11"/>
  <c r="AU24" i="11"/>
  <c r="AN16" i="11"/>
  <c r="G16" i="11"/>
  <c r="T31" i="11"/>
  <c r="BC46" i="11"/>
  <c r="AZ28" i="11"/>
  <c r="BE24" i="11"/>
  <c r="T16" i="11"/>
  <c r="Y16" i="11"/>
  <c r="AK24" i="11"/>
  <c r="AU20" i="11"/>
  <c r="AP28" i="11"/>
  <c r="AF20" i="11"/>
  <c r="AF24" i="11"/>
  <c r="AF28" i="11"/>
  <c r="AU16" i="11"/>
  <c r="BE28" i="11"/>
  <c r="BJ20" i="11"/>
  <c r="BH46" i="11"/>
  <c r="AN29" i="11"/>
  <c r="AN30" i="11" s="1"/>
  <c r="AU11" i="11"/>
  <c r="AU18" i="11" s="1"/>
  <c r="BJ11" i="11"/>
  <c r="BJ18" i="11" s="1"/>
  <c r="AZ11" i="11"/>
  <c r="AZ18" i="11" s="1"/>
  <c r="V31" i="11"/>
  <c r="AP31" i="11"/>
  <c r="AA31" i="11"/>
  <c r="AU31" i="11"/>
  <c r="BE11" i="11"/>
  <c r="BE18" i="11" s="1"/>
  <c r="BJ31" i="11"/>
  <c r="P31" i="11"/>
  <c r="AR46" i="11"/>
  <c r="AZ31" i="11"/>
  <c r="AN31" i="11"/>
  <c r="O31" i="11"/>
  <c r="AI31" i="11"/>
  <c r="BE31" i="11"/>
  <c r="AE30" i="11"/>
  <c r="AE46" i="11"/>
  <c r="S30" i="11"/>
  <c r="AC30" i="11"/>
  <c r="AC46" i="11"/>
  <c r="P30" i="11"/>
  <c r="U30" i="11"/>
  <c r="AT30" i="11"/>
  <c r="AT46" i="11"/>
  <c r="BN30" i="11"/>
  <c r="BN46" i="11"/>
  <c r="X30" i="11"/>
  <c r="R30" i="11"/>
  <c r="W30" i="11"/>
  <c r="AL30" i="11"/>
  <c r="AL46" i="11"/>
  <c r="AB46" i="11"/>
  <c r="AP29" i="11"/>
  <c r="AQ29" i="11"/>
  <c r="AQ30" i="11" s="1"/>
  <c r="N46" i="11"/>
  <c r="AH46" i="11"/>
  <c r="AG29" i="11"/>
  <c r="M46" i="11"/>
  <c r="BK30" i="11"/>
  <c r="BK46" i="11"/>
  <c r="BL30" i="11"/>
  <c r="BL46" i="11"/>
  <c r="BM30" i="11"/>
  <c r="BJ29" i="11"/>
  <c r="BI30" i="11"/>
  <c r="BI46" i="11"/>
  <c r="BG46" i="11"/>
  <c r="BG30" i="11"/>
  <c r="BH30" i="11"/>
  <c r="BF46" i="11"/>
  <c r="BE29" i="11"/>
  <c r="BD30" i="11"/>
  <c r="BD46" i="11"/>
  <c r="BA30" i="11"/>
  <c r="BA46" i="11"/>
  <c r="BB46" i="11"/>
  <c r="BB30" i="11"/>
  <c r="BC30" i="11"/>
  <c r="AZ29" i="11"/>
  <c r="AY30" i="11"/>
  <c r="AY46" i="11"/>
  <c r="AV30" i="11"/>
  <c r="AV46" i="11"/>
  <c r="AW30" i="11"/>
  <c r="AW46" i="11"/>
  <c r="AX30" i="11"/>
  <c r="AU29" i="11"/>
  <c r="AR30" i="11"/>
  <c r="AS46" i="11"/>
  <c r="AM46" i="11"/>
  <c r="AO46" i="11"/>
  <c r="AJ46" i="11"/>
  <c r="AA15" i="11"/>
  <c r="AA16" i="11" s="1"/>
  <c r="G31" i="11"/>
  <c r="AF15" i="11"/>
  <c r="AF16" i="11" s="1"/>
  <c r="Q11" i="11"/>
  <c r="V11" i="11"/>
  <c r="V18" i="11" s="1"/>
  <c r="AP11" i="11"/>
  <c r="AP18" i="11" s="1"/>
  <c r="G11" i="11"/>
  <c r="AA11" i="11"/>
  <c r="AA18" i="11" s="1"/>
  <c r="AK11" i="11"/>
  <c r="AK18" i="11" s="1"/>
  <c r="L11" i="11"/>
  <c r="AF11" i="11"/>
  <c r="AF18" i="11" s="1"/>
  <c r="F30" i="19" l="1"/>
  <c r="F24" i="19" s="1"/>
  <c r="F31" i="19" s="1"/>
  <c r="F32" i="19" s="1"/>
  <c r="Z31" i="11"/>
  <c r="Z46" i="11" s="1"/>
  <c r="F30" i="18"/>
  <c r="F24" i="18" s="1"/>
  <c r="F31" i="18" s="1"/>
  <c r="F32" i="18" s="1"/>
  <c r="X31" i="11"/>
  <c r="X46" i="11" s="1"/>
  <c r="F30" i="17"/>
  <c r="F24" i="17" s="1"/>
  <c r="F31" i="17" s="1"/>
  <c r="F32" i="17" s="1"/>
  <c r="W31" i="11"/>
  <c r="W46" i="11" s="1"/>
  <c r="F30" i="16"/>
  <c r="F24" i="16" s="1"/>
  <c r="Y31" i="11"/>
  <c r="Y46" i="11" s="1"/>
  <c r="F45" i="11"/>
  <c r="F31" i="11" s="1"/>
  <c r="F46" i="11" s="1"/>
  <c r="F47" i="11" s="1"/>
  <c r="E30" i="19"/>
  <c r="E24" i="19" s="1"/>
  <c r="E31" i="19" s="1"/>
  <c r="E32" i="19" s="1"/>
  <c r="U31" i="11"/>
  <c r="U46" i="11" s="1"/>
  <c r="U47" i="11" s="1"/>
  <c r="C45" i="11"/>
  <c r="E30" i="17"/>
  <c r="E24" i="17" s="1"/>
  <c r="E31" i="17" s="1"/>
  <c r="E32" i="17" s="1"/>
  <c r="R31" i="11"/>
  <c r="R46" i="11" s="1"/>
  <c r="R47" i="11" s="1"/>
  <c r="E45" i="11"/>
  <c r="E31" i="11" s="1"/>
  <c r="E30" i="16"/>
  <c r="E24" i="16" s="1"/>
  <c r="D45" i="11"/>
  <c r="D31" i="11" s="1"/>
  <c r="D46" i="11" s="1"/>
  <c r="D47" i="11" s="1"/>
  <c r="E30" i="18"/>
  <c r="E24" i="18" s="1"/>
  <c r="E31" i="18" s="1"/>
  <c r="E32" i="18" s="1"/>
  <c r="S31" i="11"/>
  <c r="S46" i="11" s="1"/>
  <c r="S47" i="11" s="1"/>
  <c r="C51" i="11"/>
  <c r="B15" i="11"/>
  <c r="B16" i="11" s="1"/>
  <c r="L31" i="11"/>
  <c r="N17" i="17"/>
  <c r="E11" i="16"/>
  <c r="E22" i="16" s="1"/>
  <c r="E13" i="16"/>
  <c r="N31" i="17"/>
  <c r="N32" i="17" s="1"/>
  <c r="N23" i="17"/>
  <c r="C32" i="19"/>
  <c r="B31" i="19"/>
  <c r="D13" i="16"/>
  <c r="D11" i="16"/>
  <c r="D22" i="16" s="1"/>
  <c r="H11" i="16"/>
  <c r="H22" i="16" s="1"/>
  <c r="H13" i="16"/>
  <c r="I13" i="16"/>
  <c r="I11" i="16"/>
  <c r="I22" i="16" s="1"/>
  <c r="F11" i="16"/>
  <c r="F22" i="16" s="1"/>
  <c r="F13" i="16"/>
  <c r="G11" i="16"/>
  <c r="G22" i="16" s="1"/>
  <c r="G13" i="16"/>
  <c r="C32" i="17"/>
  <c r="C32" i="16"/>
  <c r="AA12" i="11"/>
  <c r="AA22" i="11"/>
  <c r="Q12" i="11"/>
  <c r="BE12" i="11"/>
  <c r="BE22" i="11"/>
  <c r="AK12" i="11"/>
  <c r="AK22" i="11"/>
  <c r="AU12" i="11"/>
  <c r="AU22" i="11"/>
  <c r="AF12" i="11"/>
  <c r="AF22" i="11"/>
  <c r="G12" i="11"/>
  <c r="AZ12" i="11"/>
  <c r="AZ22" i="11"/>
  <c r="V12" i="11"/>
  <c r="V22" i="11"/>
  <c r="L12" i="11"/>
  <c r="AP12" i="11"/>
  <c r="AP22" i="11"/>
  <c r="BJ12" i="11"/>
  <c r="BJ22" i="11"/>
  <c r="AA29" i="11"/>
  <c r="AA30" i="11" s="1"/>
  <c r="P46" i="11"/>
  <c r="P47" i="11" s="1"/>
  <c r="T46" i="11"/>
  <c r="T47" i="11" s="1"/>
  <c r="BA47" i="11"/>
  <c r="BG47" i="11"/>
  <c r="X47" i="11"/>
  <c r="BI47" i="11"/>
  <c r="Z47" i="11"/>
  <c r="AW47" i="11"/>
  <c r="BC47" i="11"/>
  <c r="AX47" i="11"/>
  <c r="AO47" i="11"/>
  <c r="AV47" i="11"/>
  <c r="N47" i="11"/>
  <c r="W47" i="11"/>
  <c r="AT47" i="11"/>
  <c r="AD47" i="11"/>
  <c r="AM47" i="11"/>
  <c r="BF47" i="11"/>
  <c r="BL47" i="11"/>
  <c r="M47" i="11"/>
  <c r="AB47" i="11"/>
  <c r="AR47" i="11"/>
  <c r="BM47" i="11"/>
  <c r="AS47" i="11"/>
  <c r="AY47" i="11"/>
  <c r="BD47" i="11"/>
  <c r="AL47" i="11"/>
  <c r="BN47" i="11"/>
  <c r="AC47" i="11"/>
  <c r="AE47" i="11"/>
  <c r="BH47" i="11"/>
  <c r="AJ47" i="11"/>
  <c r="BB47" i="11"/>
  <c r="BK47" i="11"/>
  <c r="AH47" i="11"/>
  <c r="AK29" i="11"/>
  <c r="AK46" i="11" s="1"/>
  <c r="AO48" i="11" s="1"/>
  <c r="AD30" i="11"/>
  <c r="AN46" i="11"/>
  <c r="Y30" i="11"/>
  <c r="V29" i="11"/>
  <c r="V30" i="11" s="1"/>
  <c r="T30" i="11"/>
  <c r="AF29" i="11"/>
  <c r="AF30" i="11" s="1"/>
  <c r="AI46" i="11"/>
  <c r="AQ46" i="11"/>
  <c r="AP30" i="11"/>
  <c r="AP46" i="11"/>
  <c r="AP53" i="11" s="1"/>
  <c r="AP54" i="11" s="1"/>
  <c r="AG30" i="11"/>
  <c r="AG46" i="11"/>
  <c r="L14" i="11"/>
  <c r="L29" i="11" s="1"/>
  <c r="O30" i="11"/>
  <c r="O46" i="11"/>
  <c r="BJ46" i="11"/>
  <c r="BL48" i="11" s="1"/>
  <c r="BJ30" i="11"/>
  <c r="BE46" i="11"/>
  <c r="BF48" i="11" s="1"/>
  <c r="BE30" i="11"/>
  <c r="AZ30" i="11"/>
  <c r="AZ46" i="11"/>
  <c r="BA48" i="11" s="1"/>
  <c r="AU30" i="11"/>
  <c r="AU46" i="11"/>
  <c r="AX48" i="11" s="1"/>
  <c r="B45" i="11" l="1"/>
  <c r="B31" i="11" s="1"/>
  <c r="C31" i="11"/>
  <c r="C46" i="11" s="1"/>
  <c r="C47" i="11" s="1"/>
  <c r="Q29" i="11"/>
  <c r="Q30" i="11" s="1"/>
  <c r="E29" i="11"/>
  <c r="B14" i="11"/>
  <c r="B29" i="11" s="1"/>
  <c r="B31" i="17"/>
  <c r="D31" i="16"/>
  <c r="D23" i="16"/>
  <c r="G23" i="16"/>
  <c r="G31" i="16"/>
  <c r="G32" i="16" s="1"/>
  <c r="I31" i="16"/>
  <c r="I32" i="16" s="1"/>
  <c r="I23" i="16"/>
  <c r="F23" i="16"/>
  <c r="F31" i="16"/>
  <c r="F32" i="16" s="1"/>
  <c r="H23" i="16"/>
  <c r="H31" i="16"/>
  <c r="H32" i="16" s="1"/>
  <c r="E31" i="16"/>
  <c r="E32" i="16" s="1"/>
  <c r="E23" i="16"/>
  <c r="AK30" i="11"/>
  <c r="AA46" i="11"/>
  <c r="AB48" i="11" s="1"/>
  <c r="BI48" i="11"/>
  <c r="BH48" i="11"/>
  <c r="BG48" i="11"/>
  <c r="BB48" i="11"/>
  <c r="AL48" i="11"/>
  <c r="BN48" i="11"/>
  <c r="BM48" i="11"/>
  <c r="AY48" i="11"/>
  <c r="AV48" i="11"/>
  <c r="AW48" i="11"/>
  <c r="O47" i="11"/>
  <c r="AN47" i="11"/>
  <c r="AN48" i="11"/>
  <c r="BK48" i="11"/>
  <c r="BD48" i="11"/>
  <c r="AS48" i="11"/>
  <c r="AR48" i="11"/>
  <c r="AM48" i="11"/>
  <c r="AT48" i="11"/>
  <c r="BC48" i="11"/>
  <c r="AG47" i="11"/>
  <c r="AQ47" i="11"/>
  <c r="AQ48" i="11"/>
  <c r="AI47" i="11"/>
  <c r="Y47" i="11"/>
  <c r="V46" i="11"/>
  <c r="Y48" i="11" s="1"/>
  <c r="AP47" i="11"/>
  <c r="AF46" i="11"/>
  <c r="AG48" i="11" s="1"/>
  <c r="L30" i="11"/>
  <c r="L46" i="11"/>
  <c r="L53" i="11" s="1"/>
  <c r="BJ53" i="11"/>
  <c r="BJ47" i="11"/>
  <c r="BJ48" i="11" s="1"/>
  <c r="BE53" i="11"/>
  <c r="BE47" i="11"/>
  <c r="BE48" i="11" s="1"/>
  <c r="AZ53" i="11"/>
  <c r="AZ47" i="11"/>
  <c r="AU53" i="11"/>
  <c r="AU47" i="11"/>
  <c r="AK47" i="11"/>
  <c r="AK53" i="11"/>
  <c r="Q46" i="11" l="1"/>
  <c r="Q47" i="11" s="1"/>
  <c r="B30" i="11"/>
  <c r="B46" i="11"/>
  <c r="E46" i="11"/>
  <c r="E30" i="11"/>
  <c r="AE48" i="11"/>
  <c r="AA47" i="11"/>
  <c r="AD48" i="11"/>
  <c r="D32" i="16"/>
  <c r="B31" i="16"/>
  <c r="AA53" i="11"/>
  <c r="B50" i="11" s="1"/>
  <c r="AC48" i="11"/>
  <c r="M48" i="11"/>
  <c r="N48" i="11"/>
  <c r="P48" i="11"/>
  <c r="AI48" i="11"/>
  <c r="O48" i="11"/>
  <c r="AJ48" i="11"/>
  <c r="AH48" i="11"/>
  <c r="W48" i="11"/>
  <c r="X48" i="11"/>
  <c r="Z48" i="11"/>
  <c r="V47" i="11"/>
  <c r="V53" i="11"/>
  <c r="AF53" i="11"/>
  <c r="AF47" i="11"/>
  <c r="L47" i="11"/>
  <c r="BJ54" i="11"/>
  <c r="BE54" i="11"/>
  <c r="AZ54" i="11"/>
  <c r="AU54" i="11"/>
  <c r="AK54" i="11"/>
  <c r="C50" i="11" l="1"/>
  <c r="B49" i="11"/>
  <c r="C49" i="11" s="1"/>
  <c r="U48" i="11"/>
  <c r="S48" i="11"/>
  <c r="T48" i="11"/>
  <c r="Q53" i="11"/>
  <c r="R48" i="11"/>
  <c r="L54" i="11"/>
  <c r="E47" i="11"/>
  <c r="E48" i="11"/>
  <c r="B47" i="11"/>
  <c r="D48" i="11"/>
  <c r="F48" i="11"/>
  <c r="C48" i="11"/>
  <c r="AA54" i="11"/>
  <c r="V54" i="11"/>
  <c r="AF54" i="11"/>
  <c r="B53" i="11" l="1"/>
  <c r="B54" i="11" s="1"/>
  <c r="Q54" i="11"/>
  <c r="AQ43" i="2" l="1"/>
  <c r="F54" i="2" l="1"/>
  <c r="E54" i="2"/>
  <c r="D54" i="2"/>
  <c r="C54" i="2"/>
  <c r="AF47" i="2" l="1"/>
  <c r="AI20" i="2"/>
  <c r="AI13" i="2"/>
  <c r="AF26" i="2"/>
  <c r="AK42" i="2" l="1"/>
  <c r="AK41" i="2"/>
  <c r="AO24" i="2"/>
  <c r="AN24" i="2"/>
  <c r="AM24" i="2"/>
  <c r="AL24" i="2"/>
  <c r="AK24" i="2"/>
  <c r="AO22" i="2"/>
  <c r="AO23" i="2" s="1"/>
  <c r="AK21" i="2"/>
  <c r="AK20" i="2"/>
  <c r="AK19" i="2"/>
  <c r="AK18" i="2"/>
  <c r="AK17" i="2"/>
  <c r="AK16" i="2"/>
  <c r="AK15" i="2"/>
  <c r="AK14" i="2"/>
  <c r="AK13" i="2"/>
  <c r="AK12" i="2"/>
  <c r="AO11" i="2"/>
  <c r="AN11" i="2"/>
  <c r="AN22" i="2" s="1"/>
  <c r="AN23" i="2" s="1"/>
  <c r="AM11" i="2"/>
  <c r="AM22" i="2" s="1"/>
  <c r="AM23" i="2" s="1"/>
  <c r="AL11" i="2"/>
  <c r="AL22" i="2" s="1"/>
  <c r="AL23" i="2" s="1"/>
  <c r="AO8" i="2"/>
  <c r="AO9" i="2" s="1"/>
  <c r="AN8" i="2"/>
  <c r="AN9" i="2" s="1"/>
  <c r="AM8" i="2"/>
  <c r="AM9" i="2" s="1"/>
  <c r="AL8" i="2"/>
  <c r="AL9" i="2" s="1"/>
  <c r="AK6" i="2"/>
  <c r="AK5" i="2"/>
  <c r="AF42" i="2"/>
  <c r="AF41" i="2"/>
  <c r="AJ24" i="2"/>
  <c r="AI24" i="2"/>
  <c r="AH24" i="2"/>
  <c r="AG24" i="2"/>
  <c r="AF24" i="2"/>
  <c r="AF21" i="2"/>
  <c r="AF20" i="2"/>
  <c r="AF19" i="2"/>
  <c r="AF18" i="2"/>
  <c r="AF17" i="2"/>
  <c r="AF16" i="2"/>
  <c r="AF15" i="2"/>
  <c r="AF14" i="2"/>
  <c r="AF13" i="2"/>
  <c r="AF12" i="2"/>
  <c r="AJ11" i="2"/>
  <c r="AJ22" i="2" s="1"/>
  <c r="AJ23" i="2" s="1"/>
  <c r="AI11" i="2"/>
  <c r="AH11" i="2"/>
  <c r="AH22" i="2" s="1"/>
  <c r="AH23" i="2" s="1"/>
  <c r="AG11" i="2"/>
  <c r="AG22" i="2" s="1"/>
  <c r="AG23" i="2" s="1"/>
  <c r="AJ8" i="2"/>
  <c r="AJ9" i="2" s="1"/>
  <c r="AI8" i="2"/>
  <c r="AI9" i="2" s="1"/>
  <c r="AH8" i="2"/>
  <c r="AH9" i="2" s="1"/>
  <c r="AG8" i="2"/>
  <c r="AG9" i="2" s="1"/>
  <c r="AF6" i="2"/>
  <c r="AF5" i="2"/>
  <c r="AA26" i="2"/>
  <c r="AD20" i="2"/>
  <c r="AA36" i="2"/>
  <c r="AD13" i="2"/>
  <c r="V36" i="2"/>
  <c r="Y13" i="2"/>
  <c r="V26" i="2"/>
  <c r="Q26" i="2"/>
  <c r="Q36" i="2"/>
  <c r="T13" i="2"/>
  <c r="AG51" i="2" l="1"/>
  <c r="AI51" i="2"/>
  <c r="AH51" i="2"/>
  <c r="AJ51" i="2"/>
  <c r="AK11" i="2"/>
  <c r="AK39" i="2" s="1"/>
  <c r="AK8" i="2"/>
  <c r="AK9" i="2" s="1"/>
  <c r="AF11" i="2"/>
  <c r="AF22" i="2" s="1"/>
  <c r="AF23" i="2" s="1"/>
  <c r="AI22" i="2"/>
  <c r="AI23" i="2" s="1"/>
  <c r="AF8" i="2"/>
  <c r="AF9" i="2" s="1"/>
  <c r="O13" i="2"/>
  <c r="J13" i="2"/>
  <c r="L26" i="2"/>
  <c r="O20" i="2"/>
  <c r="AF39" i="2" l="1"/>
  <c r="AF40" i="2" s="1"/>
  <c r="AK44" i="2"/>
  <c r="AK40" i="2"/>
  <c r="AK22" i="2"/>
  <c r="AK23" i="2" s="1"/>
  <c r="AF44" i="2" l="1"/>
  <c r="AA47" i="2"/>
  <c r="AA42" i="2"/>
  <c r="AA41" i="2"/>
  <c r="AE24" i="2"/>
  <c r="AD24" i="2"/>
  <c r="AC24" i="2"/>
  <c r="AB24" i="2"/>
  <c r="AA24" i="2"/>
  <c r="AA21" i="2"/>
  <c r="AA20" i="2"/>
  <c r="AA19" i="2"/>
  <c r="AA18" i="2"/>
  <c r="AA17" i="2"/>
  <c r="AA16" i="2"/>
  <c r="AA15" i="2"/>
  <c r="AA14" i="2"/>
  <c r="AA13" i="2"/>
  <c r="AA12" i="2"/>
  <c r="AE11" i="2"/>
  <c r="AE22" i="2" s="1"/>
  <c r="AE23" i="2" s="1"/>
  <c r="AD11" i="2"/>
  <c r="AD22" i="2" s="1"/>
  <c r="AD23" i="2" s="1"/>
  <c r="AC11" i="2"/>
  <c r="AC22" i="2" s="1"/>
  <c r="AC23" i="2" s="1"/>
  <c r="AB11" i="2"/>
  <c r="AB22" i="2" s="1"/>
  <c r="AB23" i="2" s="1"/>
  <c r="AE8" i="2"/>
  <c r="AE9" i="2" s="1"/>
  <c r="AD8" i="2"/>
  <c r="AD9" i="2" s="1"/>
  <c r="AC8" i="2"/>
  <c r="AC9" i="2" s="1"/>
  <c r="AB8" i="2"/>
  <c r="AB9" i="2" s="1"/>
  <c r="AA6" i="2"/>
  <c r="AA5" i="2"/>
  <c r="V47" i="2"/>
  <c r="V42" i="2"/>
  <c r="V41" i="2"/>
  <c r="Z24" i="2"/>
  <c r="Y24" i="2"/>
  <c r="X24" i="2"/>
  <c r="W24" i="2"/>
  <c r="V24" i="2"/>
  <c r="V21" i="2"/>
  <c r="V20" i="2"/>
  <c r="V19" i="2"/>
  <c r="V18" i="2"/>
  <c r="V17" i="2"/>
  <c r="V16" i="2"/>
  <c r="V15" i="2"/>
  <c r="V14" i="2"/>
  <c r="V13" i="2"/>
  <c r="V12" i="2"/>
  <c r="Z11" i="2"/>
  <c r="Z22" i="2" s="1"/>
  <c r="Z23" i="2" s="1"/>
  <c r="Y11" i="2"/>
  <c r="Y22" i="2" s="1"/>
  <c r="Y23" i="2" s="1"/>
  <c r="X11" i="2"/>
  <c r="X22" i="2" s="1"/>
  <c r="X23" i="2" s="1"/>
  <c r="W11" i="2"/>
  <c r="W22" i="2" s="1"/>
  <c r="W23" i="2" s="1"/>
  <c r="Z8" i="2"/>
  <c r="Z9" i="2" s="1"/>
  <c r="Y8" i="2"/>
  <c r="Y9" i="2" s="1"/>
  <c r="X8" i="2"/>
  <c r="X9" i="2" s="1"/>
  <c r="W8" i="2"/>
  <c r="W9" i="2" s="1"/>
  <c r="V6" i="2"/>
  <c r="V5" i="2"/>
  <c r="Q47" i="2"/>
  <c r="Q42" i="2"/>
  <c r="Q41" i="2"/>
  <c r="U24" i="2"/>
  <c r="T24" i="2"/>
  <c r="S24" i="2"/>
  <c r="R24" i="2"/>
  <c r="Q24" i="2"/>
  <c r="Q21" i="2"/>
  <c r="Q20" i="2"/>
  <c r="Q19" i="2"/>
  <c r="Q18" i="2"/>
  <c r="Q17" i="2"/>
  <c r="Q16" i="2"/>
  <c r="Q15" i="2"/>
  <c r="Q14" i="2"/>
  <c r="Q13" i="2"/>
  <c r="Q12" i="2"/>
  <c r="U11" i="2"/>
  <c r="U22" i="2" s="1"/>
  <c r="U23" i="2" s="1"/>
  <c r="T11" i="2"/>
  <c r="T22" i="2" s="1"/>
  <c r="T23" i="2" s="1"/>
  <c r="S11" i="2"/>
  <c r="S22" i="2" s="1"/>
  <c r="S23" i="2" s="1"/>
  <c r="R11" i="2"/>
  <c r="R22" i="2" s="1"/>
  <c r="R23" i="2" s="1"/>
  <c r="U8" i="2"/>
  <c r="U9" i="2" s="1"/>
  <c r="T8" i="2"/>
  <c r="T9" i="2" s="1"/>
  <c r="S8" i="2"/>
  <c r="S9" i="2" s="1"/>
  <c r="R8" i="2"/>
  <c r="R9" i="2" s="1"/>
  <c r="Q6" i="2"/>
  <c r="Q5" i="2"/>
  <c r="L47" i="2"/>
  <c r="L42" i="2"/>
  <c r="L41" i="2"/>
  <c r="L24" i="2"/>
  <c r="P24" i="2"/>
  <c r="O24" i="2"/>
  <c r="N24" i="2"/>
  <c r="M24" i="2"/>
  <c r="L21" i="2"/>
  <c r="L20" i="2"/>
  <c r="L19" i="2"/>
  <c r="L18" i="2"/>
  <c r="L17" i="2"/>
  <c r="L16" i="2"/>
  <c r="L15" i="2"/>
  <c r="L14" i="2"/>
  <c r="L13" i="2"/>
  <c r="L12" i="2"/>
  <c r="O11" i="2"/>
  <c r="O22" i="2" s="1"/>
  <c r="O23" i="2" s="1"/>
  <c r="N11" i="2"/>
  <c r="N22" i="2" s="1"/>
  <c r="N23" i="2" s="1"/>
  <c r="M11" i="2"/>
  <c r="M22" i="2" s="1"/>
  <c r="M23" i="2" s="1"/>
  <c r="P8" i="2"/>
  <c r="P9" i="2" s="1"/>
  <c r="O8" i="2"/>
  <c r="O9" i="2" s="1"/>
  <c r="N8" i="2"/>
  <c r="N9" i="2" s="1"/>
  <c r="M8" i="2"/>
  <c r="M9" i="2" s="1"/>
  <c r="L6" i="2"/>
  <c r="L5" i="2"/>
  <c r="G32" i="2"/>
  <c r="K12" i="2"/>
  <c r="G26" i="2"/>
  <c r="G47" i="2"/>
  <c r="J20" i="2"/>
  <c r="M51" i="2" l="1"/>
  <c r="N51" i="2"/>
  <c r="P51" i="2"/>
  <c r="O51" i="2"/>
  <c r="AB51" i="2"/>
  <c r="AD51" i="2"/>
  <c r="AE51" i="2"/>
  <c r="AC51" i="2"/>
  <c r="W51" i="2"/>
  <c r="Y51" i="2"/>
  <c r="X51" i="2"/>
  <c r="Z51" i="2"/>
  <c r="R51" i="2"/>
  <c r="T51" i="2"/>
  <c r="U51" i="2"/>
  <c r="S51" i="2"/>
  <c r="AA8" i="2"/>
  <c r="AA9" i="2" s="1"/>
  <c r="Q8" i="2"/>
  <c r="Q9" i="2" s="1"/>
  <c r="V8" i="2"/>
  <c r="V9" i="2" s="1"/>
  <c r="AA11" i="2"/>
  <c r="AA22" i="2" s="1"/>
  <c r="AA23" i="2" s="1"/>
  <c r="V11" i="2"/>
  <c r="V22" i="2" s="1"/>
  <c r="V23" i="2" s="1"/>
  <c r="Q11" i="2"/>
  <c r="Q39" i="2" s="1"/>
  <c r="P11" i="2"/>
  <c r="P22" i="2" s="1"/>
  <c r="P23" i="2" s="1"/>
  <c r="L8" i="2"/>
  <c r="L9" i="2" s="1"/>
  <c r="Q22" i="2" l="1"/>
  <c r="Q23" i="2" s="1"/>
  <c r="V39" i="2"/>
  <c r="V40" i="2" s="1"/>
  <c r="AA39" i="2"/>
  <c r="Q40" i="2"/>
  <c r="Q44" i="2"/>
  <c r="L11" i="2"/>
  <c r="V44" i="2" l="1"/>
  <c r="V46" i="2" s="1"/>
  <c r="AA40" i="2"/>
  <c r="AA44" i="2"/>
  <c r="Q46" i="2"/>
  <c r="Q45" i="2"/>
  <c r="L22" i="2"/>
  <c r="L23" i="2" s="1"/>
  <c r="L39" i="2"/>
  <c r="V45" i="2" l="1"/>
  <c r="AA46" i="2"/>
  <c r="AA45" i="2"/>
  <c r="L40" i="2"/>
  <c r="L44" i="2"/>
  <c r="G42" i="2"/>
  <c r="G41" i="2"/>
  <c r="G24" i="2"/>
  <c r="K24" i="2"/>
  <c r="J24" i="2"/>
  <c r="I24" i="2"/>
  <c r="H24" i="2"/>
  <c r="G21" i="2"/>
  <c r="K11" i="2"/>
  <c r="K22" i="2" s="1"/>
  <c r="K23" i="2" s="1"/>
  <c r="G20" i="2"/>
  <c r="G19" i="2"/>
  <c r="G18" i="2"/>
  <c r="G17" i="2"/>
  <c r="G16" i="2"/>
  <c r="G15" i="2"/>
  <c r="G14" i="2"/>
  <c r="G13" i="2"/>
  <c r="G12" i="2"/>
  <c r="J11" i="2"/>
  <c r="J22" i="2" s="1"/>
  <c r="J23" i="2" s="1"/>
  <c r="I11" i="2"/>
  <c r="I22" i="2" s="1"/>
  <c r="I23" i="2" s="1"/>
  <c r="K8" i="2"/>
  <c r="K9" i="2" s="1"/>
  <c r="J8" i="2"/>
  <c r="J9" i="2" s="1"/>
  <c r="I8" i="2"/>
  <c r="I9" i="2" s="1"/>
  <c r="H8" i="2"/>
  <c r="H9" i="2" s="1"/>
  <c r="G6" i="2"/>
  <c r="G5" i="2"/>
  <c r="H51" i="2" l="1"/>
  <c r="J51" i="2"/>
  <c r="K51" i="2"/>
  <c r="I51" i="2"/>
  <c r="L46" i="2"/>
  <c r="L45" i="2"/>
  <c r="G8" i="2"/>
  <c r="G9" i="2" s="1"/>
  <c r="H11" i="2"/>
  <c r="H22" i="2" l="1"/>
  <c r="H23" i="2" s="1"/>
  <c r="G11" i="2"/>
  <c r="G22" i="2" l="1"/>
  <c r="G23" i="2" s="1"/>
  <c r="G39" i="2"/>
  <c r="G40" i="2" l="1"/>
  <c r="G44" i="2"/>
  <c r="G46" i="2" s="1"/>
  <c r="G45" i="2" l="1"/>
  <c r="B26" i="2" l="1"/>
  <c r="B53" i="7"/>
  <c r="B58" i="7" l="1"/>
  <c r="B59" i="7" s="1"/>
  <c r="C59" i="7"/>
  <c r="D59" i="7"/>
  <c r="E59" i="7"/>
  <c r="C55" i="7"/>
  <c r="D55" i="7"/>
  <c r="E55" i="7"/>
  <c r="C50" i="7"/>
  <c r="D50" i="7"/>
  <c r="E50" i="7"/>
  <c r="C45" i="7"/>
  <c r="D45" i="7"/>
  <c r="E45" i="7"/>
  <c r="C27" i="7"/>
  <c r="D27" i="7"/>
  <c r="E27" i="7"/>
  <c r="D5" i="7"/>
  <c r="E5" i="7"/>
  <c r="C5" i="7"/>
  <c r="M32" i="8"/>
  <c r="L32" i="8"/>
  <c r="K32" i="8"/>
  <c r="J32" i="8"/>
  <c r="I32" i="8"/>
  <c r="H32" i="8"/>
  <c r="G32" i="8"/>
  <c r="F32" i="8"/>
  <c r="E32" i="8"/>
  <c r="D32" i="8"/>
  <c r="C32" i="8"/>
  <c r="B28" i="8"/>
  <c r="C26" i="8"/>
  <c r="D26" i="8"/>
  <c r="E26" i="8"/>
  <c r="F26" i="8"/>
  <c r="G26" i="8"/>
  <c r="H26" i="8"/>
  <c r="I26" i="8"/>
  <c r="J26" i="8"/>
  <c r="K26" i="8"/>
  <c r="L26" i="8"/>
  <c r="M26" i="8"/>
  <c r="B26" i="8"/>
  <c r="C20" i="8"/>
  <c r="D20" i="8"/>
  <c r="E20" i="8"/>
  <c r="F20" i="8"/>
  <c r="G20" i="8"/>
  <c r="H20" i="8"/>
  <c r="I20" i="8"/>
  <c r="J20" i="8"/>
  <c r="K20" i="8"/>
  <c r="L20" i="8"/>
  <c r="M20" i="8"/>
  <c r="B20" i="8"/>
  <c r="M17" i="8"/>
  <c r="L17" i="8"/>
  <c r="K17" i="8"/>
  <c r="J17" i="8"/>
  <c r="I17" i="8"/>
  <c r="H17" i="8"/>
  <c r="G17" i="8"/>
  <c r="F17" i="8"/>
  <c r="E17" i="8"/>
  <c r="D17" i="8"/>
  <c r="C17" i="8"/>
  <c r="B13" i="2"/>
  <c r="E61" i="7" l="1"/>
  <c r="D61" i="7"/>
  <c r="C61" i="7"/>
  <c r="B8" i="7" l="1"/>
  <c r="B7" i="7"/>
  <c r="B26" i="7"/>
  <c r="B25" i="7"/>
  <c r="B24" i="7"/>
  <c r="B3" i="7"/>
  <c r="B30" i="8" s="1"/>
  <c r="B49" i="7"/>
  <c r="B44" i="7"/>
  <c r="B43" i="7"/>
  <c r="B40" i="7"/>
  <c r="B39" i="7"/>
  <c r="B36" i="7"/>
  <c r="B35" i="7"/>
  <c r="B32" i="7"/>
  <c r="B21" i="7"/>
  <c r="B17" i="7"/>
  <c r="E63" i="7"/>
  <c r="B34" i="7"/>
  <c r="B33" i="7"/>
  <c r="B31" i="7"/>
  <c r="B30" i="7"/>
  <c r="B54" i="7"/>
  <c r="B52" i="7"/>
  <c r="B48" i="7"/>
  <c r="B42" i="7"/>
  <c r="B41" i="7"/>
  <c r="B38" i="7"/>
  <c r="B37" i="7"/>
  <c r="B23" i="7"/>
  <c r="B22" i="7"/>
  <c r="B20" i="7"/>
  <c r="B19" i="7"/>
  <c r="B18" i="7"/>
  <c r="B13" i="7"/>
  <c r="B10" i="7"/>
  <c r="B9" i="7"/>
  <c r="B6" i="7"/>
  <c r="B3" i="8" s="1"/>
  <c r="B17" i="8" s="1"/>
  <c r="B29" i="8" s="1"/>
  <c r="D63" i="7"/>
  <c r="B45" i="7" l="1"/>
  <c r="B55" i="7"/>
  <c r="B5" i="7"/>
  <c r="B27" i="7"/>
  <c r="B50" i="7"/>
  <c r="B61" i="7" l="1"/>
  <c r="F20" i="2" l="1"/>
  <c r="E20" i="2" l="1"/>
  <c r="C20" i="2"/>
  <c r="B21" i="2"/>
  <c r="B14" i="2"/>
  <c r="B42" i="2"/>
  <c r="B41" i="2"/>
  <c r="B35" i="2"/>
  <c r="B32" i="2"/>
  <c r="B31" i="2"/>
  <c r="F24" i="2"/>
  <c r="E24" i="2"/>
  <c r="D24" i="2"/>
  <c r="C24" i="2"/>
  <c r="B20" i="2"/>
  <c r="B19" i="2"/>
  <c r="B18" i="2"/>
  <c r="B17" i="2"/>
  <c r="B16" i="2"/>
  <c r="B15" i="2"/>
  <c r="B12" i="2"/>
  <c r="F11" i="2"/>
  <c r="F22" i="2" s="1"/>
  <c r="F23" i="2" s="1"/>
  <c r="E11" i="2"/>
  <c r="E22" i="2" s="1"/>
  <c r="E23" i="2" s="1"/>
  <c r="D11" i="2"/>
  <c r="D22" i="2" s="1"/>
  <c r="D23" i="2" s="1"/>
  <c r="C11" i="2"/>
  <c r="C22" i="2" s="1"/>
  <c r="C23" i="2" s="1"/>
  <c r="F8" i="2"/>
  <c r="F9" i="2" s="1"/>
  <c r="E8" i="2"/>
  <c r="E9" i="2" s="1"/>
  <c r="D8" i="2"/>
  <c r="D9" i="2" s="1"/>
  <c r="C8" i="2"/>
  <c r="C9" i="2" s="1"/>
  <c r="B6" i="2"/>
  <c r="B5" i="2"/>
  <c r="B24" i="2" l="1"/>
  <c r="AQ24" i="2" s="1"/>
  <c r="C51" i="2"/>
  <c r="E51" i="2"/>
  <c r="D51" i="2"/>
  <c r="F51" i="2"/>
  <c r="B8" i="2"/>
  <c r="B9" i="2" s="1"/>
  <c r="B11" i="2"/>
  <c r="B22" i="2" s="1"/>
  <c r="B23" i="2" s="1"/>
  <c r="B39" i="2" l="1"/>
  <c r="AQ39" i="2" s="1"/>
  <c r="B40" i="2" l="1"/>
  <c r="B44" i="2"/>
  <c r="AQ44" i="2" s="1"/>
  <c r="C63" i="7"/>
  <c r="B63" i="7" s="1"/>
  <c r="B46" i="2" l="1"/>
  <c r="B45" i="2"/>
  <c r="B31" i="8"/>
  <c r="B32" i="8" s="1"/>
  <c r="H29" i="11"/>
  <c r="H30" i="11" l="1"/>
  <c r="H46" i="11"/>
  <c r="H47" i="11" l="1"/>
  <c r="G14" i="11"/>
  <c r="K30" i="11"/>
  <c r="J30" i="11"/>
  <c r="K47" i="11" l="1"/>
  <c r="J47" i="11"/>
  <c r="G29" i="11"/>
  <c r="G30" i="11" s="1"/>
  <c r="I30" i="11"/>
  <c r="I47" i="11" l="1"/>
  <c r="G46" i="11"/>
  <c r="G53" i="11" s="1"/>
  <c r="G47" i="11" l="1"/>
  <c r="H48" i="11"/>
  <c r="K48" i="11"/>
  <c r="J48" i="11"/>
  <c r="I48" i="11"/>
  <c r="G54" i="11" l="1"/>
</calcChain>
</file>

<file path=xl/comments1.xml><?xml version="1.0" encoding="utf-8"?>
<comments xmlns="http://schemas.openxmlformats.org/spreadsheetml/2006/main">
  <authors>
    <author>ДНС</author>
  </authors>
  <commentList>
    <comment ref="O44" authorId="0">
      <text>
        <r>
          <rPr>
            <b/>
            <sz val="9"/>
            <color indexed="81"/>
            <rFont val="Tahoma"/>
            <charset val="1"/>
          </rPr>
          <t>9000 типография
1500 эвакуация
600 прочие</t>
        </r>
      </text>
    </comment>
    <comment ref="P44" authorId="0">
      <text>
        <r>
          <rPr>
            <b/>
            <sz val="9"/>
            <color indexed="81"/>
            <rFont val="Tahoma"/>
            <charset val="1"/>
          </rPr>
          <t xml:space="preserve">33596 - поверка 
15000 - представительские ГАИ
20000 Союз автостраховщиков
16400 СОУТ
</t>
        </r>
      </text>
    </comment>
  </commentList>
</comments>
</file>

<file path=xl/comments2.xml><?xml version="1.0" encoding="utf-8"?>
<comments xmlns="http://schemas.openxmlformats.org/spreadsheetml/2006/main">
  <authors>
    <author>3</author>
  </authors>
  <commentList>
    <comment ref="B101" authorId="0">
      <text>
        <r>
          <rPr>
            <b/>
            <sz val="9"/>
            <color indexed="81"/>
            <rFont val="Tahoma"/>
            <family val="2"/>
            <charset val="204"/>
          </rPr>
          <t>Начислено в программе 200 руб за то, оплачиваю по 250 руб.</t>
        </r>
      </text>
    </comment>
  </commentList>
</comments>
</file>

<file path=xl/comments3.xml><?xml version="1.0" encoding="utf-8"?>
<comments xmlns="http://schemas.openxmlformats.org/spreadsheetml/2006/main">
  <authors>
    <author>3</author>
  </authors>
  <commentList>
    <comment ref="B101" authorId="0">
      <text>
        <r>
          <rPr>
            <b/>
            <sz val="9"/>
            <color indexed="81"/>
            <rFont val="Tahoma"/>
            <family val="2"/>
            <charset val="204"/>
          </rPr>
          <t>Начислено в программе 200 руб за то, оплачиваю по 250 руб.</t>
        </r>
      </text>
    </comment>
  </commentList>
</comments>
</file>

<file path=xl/comments4.xml><?xml version="1.0" encoding="utf-8"?>
<comments xmlns="http://schemas.openxmlformats.org/spreadsheetml/2006/main">
  <authors>
    <author>ДНС</author>
  </authors>
  <commentList>
    <comment ref="B26" authorId="0">
      <text>
        <r>
          <rPr>
            <b/>
            <sz val="9"/>
            <color indexed="81"/>
            <rFont val="Tahoma"/>
            <family val="2"/>
            <charset val="204"/>
          </rPr>
          <t>сибассист+эксперт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04"/>
          </rPr>
          <t>сибассист+эксперт</t>
        </r>
      </text>
    </comment>
    <comment ref="L26" authorId="0">
      <text>
        <r>
          <rPr>
            <b/>
            <sz val="9"/>
            <color indexed="81"/>
            <rFont val="Tahoma"/>
            <family val="2"/>
            <charset val="204"/>
          </rPr>
          <t>сибассист+эксперт</t>
        </r>
      </text>
    </comment>
    <comment ref="Q26" authorId="0">
      <text>
        <r>
          <rPr>
            <b/>
            <sz val="9"/>
            <color indexed="81"/>
            <rFont val="Tahoma"/>
            <family val="2"/>
            <charset val="204"/>
          </rPr>
          <t>сибассист+эксперт</t>
        </r>
      </text>
    </comment>
    <comment ref="V26" authorId="0">
      <text>
        <r>
          <rPr>
            <b/>
            <sz val="9"/>
            <color indexed="81"/>
            <rFont val="Tahoma"/>
            <family val="2"/>
            <charset val="204"/>
          </rPr>
          <t>сибассист+эксперт</t>
        </r>
      </text>
    </comment>
    <comment ref="AA26" authorId="0">
      <text>
        <r>
          <rPr>
            <b/>
            <sz val="9"/>
            <color indexed="81"/>
            <rFont val="Tahoma"/>
            <family val="2"/>
            <charset val="204"/>
          </rPr>
          <t>сибассист+эксперт</t>
        </r>
      </text>
    </comment>
    <comment ref="AF26" authorId="0">
      <text>
        <r>
          <rPr>
            <b/>
            <sz val="9"/>
            <color indexed="81"/>
            <rFont val="Tahoma"/>
            <family val="2"/>
            <charset val="204"/>
          </rPr>
          <t>сибассист+эксперт</t>
        </r>
      </text>
    </comment>
    <comment ref="AK26" authorId="0">
      <text>
        <r>
          <rPr>
            <b/>
            <sz val="9"/>
            <color indexed="81"/>
            <rFont val="Tahoma"/>
            <family val="2"/>
            <charset val="204"/>
          </rPr>
          <t>сибассист+эксперт</t>
        </r>
      </text>
    </comment>
  </commentList>
</comments>
</file>

<file path=xl/sharedStrings.xml><?xml version="1.0" encoding="utf-8"?>
<sst xmlns="http://schemas.openxmlformats.org/spreadsheetml/2006/main" count="713" uniqueCount="273">
  <si>
    <t>Сводный отчет по филиалу за 2019 год, руб. (НАЧИСЛЕНИЕ)</t>
  </si>
  <si>
    <t>январь</t>
  </si>
  <si>
    <t>Количество карт, справочно</t>
  </si>
  <si>
    <t>Отклонение от плана, руб.</t>
  </si>
  <si>
    <t>Отклонение от плана, %</t>
  </si>
  <si>
    <t>ПЛАН расходов</t>
  </si>
  <si>
    <t>РКО</t>
  </si>
  <si>
    <t>Содержание офиса</t>
  </si>
  <si>
    <t>Командировки</t>
  </si>
  <si>
    <t>Аллокация</t>
  </si>
  <si>
    <t>Прочие</t>
  </si>
  <si>
    <t xml:space="preserve">Фин. Результат </t>
  </si>
  <si>
    <t>рентабельность</t>
  </si>
  <si>
    <t>Аллокация и расходы на диспетчерскую</t>
  </si>
  <si>
    <t>Командировка</t>
  </si>
  <si>
    <t>Аудатэкс/ДатРус</t>
  </si>
  <si>
    <t>Оценка ТС</t>
  </si>
  <si>
    <t>Оценка Имущ</t>
  </si>
  <si>
    <t>Аварком/ Карты АК</t>
  </si>
  <si>
    <t>Эксперт</t>
  </si>
  <si>
    <t>Переменные расходы</t>
  </si>
  <si>
    <t>по филиалу</t>
  </si>
  <si>
    <t>Постоянные расходы</t>
  </si>
  <si>
    <t>Аренда спец.помещений</t>
  </si>
  <si>
    <t>ФОТ оклады</t>
  </si>
  <si>
    <t>Аренда офиса</t>
  </si>
  <si>
    <t>Связь, интернет</t>
  </si>
  <si>
    <t>Прибыль</t>
  </si>
  <si>
    <t>Налоги</t>
  </si>
  <si>
    <t>Доход филиала</t>
  </si>
  <si>
    <t>Маржинальная прибыль, %</t>
  </si>
  <si>
    <t>УСН 6%</t>
  </si>
  <si>
    <t>ПРЕМИЯ Директор</t>
  </si>
  <si>
    <t>Доход ГК (аллокация???)</t>
  </si>
  <si>
    <t>ФОТ перемен</t>
  </si>
  <si>
    <t>Налоги ФОТ</t>
  </si>
  <si>
    <t>Премии сотрудники</t>
  </si>
  <si>
    <t>Маржинальная прибыль, руб.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</si>
  <si>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</si>
  <si>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</si>
  <si>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</si>
  <si>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</si>
  <si>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</si>
  <si>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</si>
  <si>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</si>
  <si>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</si>
  <si>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</si>
  <si>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</si>
  <si>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</si>
  <si>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</si>
  <si>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Остаток денежных средств на начало месяца</t>
  </si>
  <si>
    <t>Поступило денежных средств всего</t>
  </si>
  <si>
    <t>РАСХОДЫ за отчетный месяц</t>
  </si>
  <si>
    <t>ИТОГО переменные расходы</t>
  </si>
  <si>
    <t>Аренда и коммун.расходы</t>
  </si>
  <si>
    <t>З/пл персонала</t>
  </si>
  <si>
    <t>Налоги с з/пл персонала</t>
  </si>
  <si>
    <t>Охрана</t>
  </si>
  <si>
    <t>Связь</t>
  </si>
  <si>
    <t>Хозяйственные расходы</t>
  </si>
  <si>
    <t>ИТОГО постоянные расходы</t>
  </si>
  <si>
    <t>Расходы на развитие бизнеса</t>
  </si>
  <si>
    <t>Основные средства (мебель, оборудование, компьютеры)</t>
  </si>
  <si>
    <t>Ремонт помещения</t>
  </si>
  <si>
    <t>Итого расходы на развитие бизнеса</t>
  </si>
  <si>
    <t xml:space="preserve">Уплаченные налоги </t>
  </si>
  <si>
    <t>ИТОГО налоги</t>
  </si>
  <si>
    <t>ВСЕГО расходы</t>
  </si>
  <si>
    <t>Остаток денежных средств на конец месяца</t>
  </si>
  <si>
    <t>наличные</t>
  </si>
  <si>
    <t>р/с</t>
  </si>
  <si>
    <t>карта</t>
  </si>
  <si>
    <t>Выручка Оценка ТС</t>
  </si>
  <si>
    <t>Выручка Оценка Имущ</t>
  </si>
  <si>
    <t>Выручка Аварком/Карты</t>
  </si>
  <si>
    <t>Выручка Эксперт</t>
  </si>
  <si>
    <t>Кэш-фло от операционной деятельности</t>
  </si>
  <si>
    <t xml:space="preserve"> </t>
  </si>
  <si>
    <t>Приобретение основных средств</t>
  </si>
  <si>
    <t>Кэш-фло от инвестиционной деятельности</t>
  </si>
  <si>
    <t>Кэш-фло от финансовой деятельности</t>
  </si>
  <si>
    <t>ВСЕГО РАСХОДЫ</t>
  </si>
  <si>
    <t>СУММАРНЫЙ ДЕНЕЖНЫЙ ПОТОК</t>
  </si>
  <si>
    <t>Денежные средства на начало периода</t>
  </si>
  <si>
    <t>Денежные средства на конец периода</t>
  </si>
  <si>
    <t>Проверка</t>
  </si>
  <si>
    <t>CF Новосибирск</t>
  </si>
  <si>
    <t>Выплата дивидендов ГК</t>
  </si>
  <si>
    <t>Переменные расходы Оценка ТС</t>
  </si>
  <si>
    <t>Переменные расходы Оценка Имущ</t>
  </si>
  <si>
    <t>Переменные расходы Аварком/Карты</t>
  </si>
  <si>
    <t>Переменные расходы Эксперт</t>
  </si>
  <si>
    <t>Прочие расходы</t>
  </si>
  <si>
    <t>Отчет о движении денежных средств</t>
  </si>
  <si>
    <t>период:</t>
  </si>
  <si>
    <t>ТС. ФОТ, налоги с ФОТ</t>
  </si>
  <si>
    <t>Имущ. ФОТ, налоги с ФОТ</t>
  </si>
  <si>
    <t>Аварком/Карты. ФОТ, налоги с ФОТ</t>
  </si>
  <si>
    <t>Эксперт. ФОТ, налоги с ФОТ</t>
  </si>
  <si>
    <t>Эксперт. Аренда</t>
  </si>
  <si>
    <t>Возврат инвенстиций</t>
  </si>
  <si>
    <t>Выплата дивидендов</t>
  </si>
  <si>
    <t>Представительские расходы</t>
  </si>
  <si>
    <t>Инвестиции ГК</t>
  </si>
  <si>
    <t>Комиссия с карт</t>
  </si>
  <si>
    <t>ТС. Прочие перем. расходы</t>
  </si>
  <si>
    <t>Имущ. Прочие перем. расходы</t>
  </si>
  <si>
    <t>Аварком/Карты. Прочие перем. расходы</t>
  </si>
  <si>
    <t>Эксперт. Прочие перем. расходы</t>
  </si>
  <si>
    <t>Постоянный ФОТ и налоги с ФОТ (сотрудники офиса)</t>
  </si>
  <si>
    <t>Перечисление выручки в ГК</t>
  </si>
  <si>
    <t>Возврат выручки от ГК</t>
  </si>
  <si>
    <t>Реклама</t>
  </si>
  <si>
    <t>Оплата расходов ГК на филиал</t>
  </si>
  <si>
    <t>ИТОГО выплаты ГК</t>
  </si>
  <si>
    <t>Выплаты ГК</t>
  </si>
  <si>
    <t>Инвестиции ГК (+)</t>
  </si>
  <si>
    <t>Возврат инвестиций ГК (-)</t>
  </si>
  <si>
    <t>Комиссионное вознаграждение</t>
  </si>
  <si>
    <t>Комиссия Тендеры</t>
  </si>
  <si>
    <t>перечисление в ГК</t>
  </si>
  <si>
    <t>СА</t>
  </si>
  <si>
    <t>Эк</t>
  </si>
  <si>
    <t>Перечисление в ГК (дивиденды)</t>
  </si>
  <si>
    <t>ПЛАН доходов</t>
  </si>
  <si>
    <t>ФАКТ доходов</t>
  </si>
  <si>
    <t>содержание офиса</t>
  </si>
  <si>
    <t>Бюджет Содержания офиса по направлениям</t>
  </si>
  <si>
    <t>Амортизация ОС</t>
  </si>
  <si>
    <t>Новосибирск</t>
  </si>
  <si>
    <t>Переменные расходы направления</t>
  </si>
  <si>
    <t>Маржинальная прибыль направления, руб.</t>
  </si>
  <si>
    <t>Маржинальная прибыль направления, %</t>
  </si>
  <si>
    <t>Постоянные расходы направления</t>
  </si>
  <si>
    <t>Расходы Филиала</t>
  </si>
  <si>
    <t>Прибыль Направления, руб.</t>
  </si>
  <si>
    <t>Рентабельность направления, %</t>
  </si>
  <si>
    <t>рентабельность Филиала</t>
  </si>
  <si>
    <t>Прибыль Филиала</t>
  </si>
  <si>
    <t>ФОТ перемен, %</t>
  </si>
  <si>
    <t>Аудатэкс/ДатРус, %</t>
  </si>
  <si>
    <t>УСН, %</t>
  </si>
  <si>
    <t>Комиссионное вознаграждение, %</t>
  </si>
  <si>
    <t>Доля направления в общем доходе ф-ла</t>
  </si>
  <si>
    <t>Комиссионное вознаграждение Ко-брэнд</t>
  </si>
  <si>
    <t>Контрагент</t>
  </si>
  <si>
    <t>Услуга</t>
  </si>
  <si>
    <t>Дата платежа</t>
  </si>
  <si>
    <t>на 31.07.2019</t>
  </si>
  <si>
    <t>ДЗ</t>
  </si>
  <si>
    <t>ИТОГО</t>
  </si>
  <si>
    <t>направление</t>
  </si>
  <si>
    <t>Направления</t>
  </si>
  <si>
    <t>Лемар</t>
  </si>
  <si>
    <t>Автобан Богдана Хмельницкого</t>
  </si>
  <si>
    <t>Автолайн</t>
  </si>
  <si>
    <t>Пункт в Чулыме 54</t>
  </si>
  <si>
    <t>Соловьев В.И. (от Хмелева Кирилла)</t>
  </si>
  <si>
    <t>Хмелев Кирилл Сергеевич</t>
  </si>
  <si>
    <t>AkaDen</t>
  </si>
  <si>
    <t>Автоаукцион</t>
  </si>
  <si>
    <t>Ренессанс</t>
  </si>
  <si>
    <t>К.В. Левобережный банк (имущество) 2019 год</t>
  </si>
  <si>
    <t>Автоаукцион комиссия</t>
  </si>
  <si>
    <t>Автоаукцион регионы</t>
  </si>
  <si>
    <t>КЗ</t>
  </si>
  <si>
    <t>Офис</t>
  </si>
  <si>
    <t>Направление</t>
  </si>
  <si>
    <t>Кредиторская задолженность</t>
  </si>
  <si>
    <t>Сумма по договору</t>
  </si>
  <si>
    <t>Налоги УСН</t>
  </si>
  <si>
    <t>Аренда</t>
  </si>
  <si>
    <t>Ко-брэнд</t>
  </si>
  <si>
    <t>Аварком/Карты</t>
  </si>
  <si>
    <t>ТБУ</t>
  </si>
  <si>
    <t>Оценка Имущества</t>
  </si>
  <si>
    <t>За ПЕРИОД</t>
  </si>
  <si>
    <t>Оценка имущества</t>
  </si>
  <si>
    <t>Штрафы</t>
  </si>
  <si>
    <t>УСН 6% из ГК</t>
  </si>
  <si>
    <t>ФОТ перемен из ГК (расчеты)</t>
  </si>
  <si>
    <t>УСН 6% филиал</t>
  </si>
  <si>
    <t>ФОТ перемен филиал</t>
  </si>
  <si>
    <t>Аллокация ГК</t>
  </si>
  <si>
    <t>Оборотно-сальдовая ведомость по счету 60 за Январь 2020 г.</t>
  </si>
  <si>
    <t>Выводимые данные:</t>
  </si>
  <si>
    <t>БУ (данные бухгалтерского учета)</t>
  </si>
  <si>
    <t>Счет</t>
  </si>
  <si>
    <t>Сальдо на начало периода</t>
  </si>
  <si>
    <t>Обороты за период</t>
  </si>
  <si>
    <t>Сальдо на конец периода</t>
  </si>
  <si>
    <t>Подразделение</t>
  </si>
  <si>
    <t>Дебет</t>
  </si>
  <si>
    <t>Кредит</t>
  </si>
  <si>
    <t>Контрагенты</t>
  </si>
  <si>
    <t>ГК СИБАССИСТ</t>
  </si>
  <si>
    <t>Прочее</t>
  </si>
  <si>
    <t>ФОТ оклады АУП (директор, бухгалтер)</t>
  </si>
  <si>
    <t>Прибыль ГК</t>
  </si>
  <si>
    <t>Налоги с ФОТ (страховые взносы)</t>
  </si>
  <si>
    <t>Поощрение сотрудников, обучение</t>
  </si>
  <si>
    <t>Почта, курьер</t>
  </si>
  <si>
    <t>IT расходы</t>
  </si>
  <si>
    <t>Единица измерения:</t>
  </si>
  <si>
    <t>рубль (код по ОКЕИ 383)</t>
  </si>
  <si>
    <t>Поставщик услуг</t>
  </si>
  <si>
    <t>Аварком Новосибирск</t>
  </si>
  <si>
    <t>программа "Очевидец"</t>
  </si>
  <si>
    <t>прочее</t>
  </si>
  <si>
    <t>АЗИЯ АВТО УСТЬ-КАМЕНОГОРСК ООО</t>
  </si>
  <si>
    <t>аренда ТО</t>
  </si>
  <si>
    <t>ТО</t>
  </si>
  <si>
    <t>аренда</t>
  </si>
  <si>
    <t>АО " ТК ЦЕНТР"</t>
  </si>
  <si>
    <t>аренда боксов Писарева</t>
  </si>
  <si>
    <t>АО "Бизнес центр Фрунзе 5"</t>
  </si>
  <si>
    <t>аренда бокса Фрунзе</t>
  </si>
  <si>
    <t>БТК Сибирь ООО</t>
  </si>
  <si>
    <t>канцелярия</t>
  </si>
  <si>
    <t>содержание</t>
  </si>
  <si>
    <t>Карты Аварком Новосибирск</t>
  </si>
  <si>
    <t>кв</t>
  </si>
  <si>
    <t>Квенцер Светлана Владимировна ИП</t>
  </si>
  <si>
    <t>эвакуатор</t>
  </si>
  <si>
    <t>Лудус Группа Компаний ООО</t>
  </si>
  <si>
    <t>заправка картриджей</t>
  </si>
  <si>
    <t>МИНВОДЫ БОРЖОМИ ООО</t>
  </si>
  <si>
    <t>вода "Норинга"</t>
  </si>
  <si>
    <t>ООО "Автосервис-Люкс"</t>
  </si>
  <si>
    <t>аренда боксов Бородина</t>
  </si>
  <si>
    <t>ООО ЧОП "БРЕСТ"</t>
  </si>
  <si>
    <t>охрана Николая Островского 111 к3</t>
  </si>
  <si>
    <t>ООО ЧОП "Шеротон"</t>
  </si>
  <si>
    <t>охрана бокса Фрунзе</t>
  </si>
  <si>
    <t>Радионов Олег Николаевич</t>
  </si>
  <si>
    <t>Саенков Сергей Сергеевич</t>
  </si>
  <si>
    <t>типография</t>
  </si>
  <si>
    <t>то</t>
  </si>
  <si>
    <t>Сибирский филиал ПАО "МегаФон"</t>
  </si>
  <si>
    <t>интернет, телефонная связь</t>
  </si>
  <si>
    <t>связь</t>
  </si>
  <si>
    <t>Универсал ЗАО</t>
  </si>
  <si>
    <t>аренда Николая островского д.111 к.3</t>
  </si>
  <si>
    <t>Электрон-сервис НСК ООО</t>
  </si>
  <si>
    <t>обслуживание кассовых аппаратов</t>
  </si>
  <si>
    <t>Омск</t>
  </si>
  <si>
    <t>Общество с ограниченной ответственностью "Пассажирская автотранспортная компания"</t>
  </si>
  <si>
    <t>аренда бокса г. Омск</t>
  </si>
  <si>
    <t>ОМСК ФИЛИАЛ</t>
  </si>
  <si>
    <t>интернет, телефонная связь Омск</t>
  </si>
  <si>
    <t>Поощрение сотрудников</t>
  </si>
  <si>
    <t>поощрение сотрудников</t>
  </si>
  <si>
    <t>Чай, кофе</t>
  </si>
  <si>
    <t>вода</t>
  </si>
  <si>
    <t>почта</t>
  </si>
  <si>
    <t>командировка Водопьянов</t>
  </si>
  <si>
    <t>командировки</t>
  </si>
  <si>
    <t>связь Омск</t>
  </si>
  <si>
    <t>Юридические, кадровые расходы</t>
  </si>
  <si>
    <t>Канцелярия, типография</t>
  </si>
  <si>
    <t>Ваычисляемое поле</t>
  </si>
  <si>
    <t>Статьи затрат</t>
  </si>
  <si>
    <t>Источник данных (пояснение для программиста)</t>
  </si>
  <si>
    <t>кт 20.01, группировка по вертикали - статьи затрат, по горизонтали - номенклатурные группы</t>
  </si>
  <si>
    <t>кт 26 за исключением указанных в параметрах отчета статей затрат по ФОТ директора и бухгалтера, группировка по вертикали по статьям затрат, по горизонтали - номенклатурные группы</t>
  </si>
  <si>
    <t>Не требуется автоматическое заполнение</t>
  </si>
  <si>
    <t>дт 90, группировка по горизонтали - номенклатурные группы</t>
  </si>
  <si>
    <t>Вычисляемое поле</t>
  </si>
  <si>
    <t>кт 02.01</t>
  </si>
  <si>
    <t>Статьи затрат, сумма и процент в группе</t>
  </si>
  <si>
    <t>кт 26 по отд. Статье затрат, указанной в параметрах отчета</t>
  </si>
  <si>
    <t>Задача: Создать отчет в установленной форме</t>
  </si>
  <si>
    <t>Конфигурация: Бухгалтерия предприятия (КОРП)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</si>
</sst>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-;\-* #,##0.00_-;_-* &quot;-&quot;??_-;_-@_-"/>
    <numFmt numFmtId="165" formatCode="_-* #,##0_р_._-;\-* #,##0_р_._-;_-* &quot;-&quot;??_р_._-;_-@_-"/>
    <numFmt numFmtId="166" formatCode="_-* #,##0.00_р_._-;\-* #,##0.00_р_._-;_-* &quot;-&quot;??_р_._-;_-@_-"/>
    <numFmt numFmtId="167" formatCode="#,##0;\(#,##0\)"/>
    <numFmt numFmtId="168" formatCode="[$-419]mmmm\ yyyy;@"/>
    <numFmt numFmtId="169" formatCode="_-* #,##0_-;\-* #,##0_-;_-* &quot;-&quot;??_-;_-@_-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theme="0" tint="-0.34998626667073579"/>
      <name val="Times New Roman"/>
      <family val="1"/>
      <charset val="204"/>
    </font>
    <font>
      <sz val="10"/>
      <name val="ЏрЯмой Џроп"/>
    </font>
    <font>
      <b/>
      <sz val="8"/>
      <color indexed="8"/>
      <name val="Arial"/>
      <family val="2"/>
      <charset val="204"/>
    </font>
    <font>
      <sz val="10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name val="Arial Cyr"/>
      <charset val="204"/>
    </font>
    <font>
      <sz val="11"/>
      <name val="Arial Cyr"/>
      <charset val="204"/>
    </font>
    <font>
      <i/>
      <sz val="10"/>
      <name val="Arial Cyr"/>
      <charset val="204"/>
    </font>
    <font>
      <b/>
      <i/>
      <sz val="12"/>
      <name val="Arial Cyr"/>
      <charset val="204"/>
    </font>
    <font>
      <b/>
      <u/>
      <sz val="11"/>
      <name val="Arial Cyr"/>
      <charset val="204"/>
    </font>
    <font>
      <b/>
      <u/>
      <sz val="10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u/>
      <sz val="11"/>
      <name val="Arial Cyr"/>
      <charset val="204"/>
    </font>
    <font>
      <u/>
      <sz val="10"/>
      <name val="Arial Cyr"/>
      <charset val="204"/>
    </font>
    <font>
      <sz val="8"/>
      <name val="Arial Cyr"/>
      <family val="2"/>
      <charset val="204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b/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  <font>
      <sz val="8"/>
      <name val="Arial"/>
      <family val="2"/>
    </font>
    <font>
      <i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2" tint="-0.249977111117893"/>
      <name val="Times New Roman"/>
      <family val="1"/>
      <charset val="204"/>
    </font>
    <font>
      <sz val="8"/>
      <name val="Calibri"/>
      <family val="2"/>
      <scheme val="minor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charset val="1"/>
    </font>
    <font>
      <sz val="11"/>
      <color rgb="FF006100"/>
      <name val="Calibri"/>
      <family val="2"/>
      <charset val="204"/>
      <scheme val="minor"/>
    </font>
    <font>
      <b/>
      <sz val="16"/>
      <color rgb="FF006100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</fills>
  <borders count="75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medium">
        <color rgb="FF00B0F0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/>
      <bottom/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 style="medium">
        <color rgb="FF00B0F0"/>
      </top>
      <bottom style="medium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B0F0"/>
      </left>
      <right/>
      <top style="medium">
        <color rgb="FF00B0F0"/>
      </top>
      <bottom/>
      <diagonal/>
    </border>
    <border>
      <left style="thin">
        <color rgb="FF00B0F0"/>
      </left>
      <right/>
      <top/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 style="medium">
        <color rgb="FF00B0F0"/>
      </left>
      <right/>
      <top/>
      <bottom/>
      <diagonal/>
    </border>
    <border>
      <left style="medium">
        <color rgb="FF00B0F0"/>
      </left>
      <right/>
      <top style="thin">
        <color rgb="FF00B0F0"/>
      </top>
      <bottom style="thin">
        <color rgb="FF00B0F0"/>
      </bottom>
      <diagonal/>
    </border>
    <border>
      <left style="medium">
        <color indexed="64"/>
      </left>
      <right/>
      <top style="medium">
        <color indexed="64"/>
      </top>
      <bottom style="medium">
        <color rgb="FF00B0F0"/>
      </bottom>
      <diagonal/>
    </border>
    <border>
      <left/>
      <right/>
      <top style="medium">
        <color indexed="64"/>
      </top>
      <bottom style="medium">
        <color rgb="FF00B0F0"/>
      </bottom>
      <diagonal/>
    </border>
    <border>
      <left/>
      <right style="medium">
        <color indexed="64"/>
      </right>
      <top style="medium">
        <color indexed="64"/>
      </top>
      <bottom style="medium">
        <color rgb="FF00B0F0"/>
      </bottom>
      <diagonal/>
    </border>
    <border>
      <left style="medium">
        <color indexed="64"/>
      </left>
      <right style="thin">
        <color rgb="FF00B0F0"/>
      </right>
      <top style="medium">
        <color rgb="FF00B0F0"/>
      </top>
      <bottom/>
      <diagonal/>
    </border>
    <border>
      <left style="thin">
        <color rgb="FF00B0F0"/>
      </left>
      <right style="medium">
        <color indexed="64"/>
      </right>
      <top style="medium">
        <color rgb="FF00B0F0"/>
      </top>
      <bottom/>
      <diagonal/>
    </border>
    <border>
      <left style="thin">
        <color rgb="FF00B0F0"/>
      </left>
      <right style="medium">
        <color indexed="64"/>
      </right>
      <top style="medium">
        <color rgb="FF00B0F0"/>
      </top>
      <bottom style="medium">
        <color rgb="FF00B0F0"/>
      </bottom>
      <diagonal/>
    </border>
    <border>
      <left style="medium">
        <color indexed="64"/>
      </left>
      <right style="thin">
        <color rgb="FF00B0F0"/>
      </right>
      <top/>
      <bottom/>
      <diagonal/>
    </border>
    <border>
      <left style="thin">
        <color rgb="FF00B0F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medium">
        <color indexed="64"/>
      </right>
      <top/>
      <bottom style="thin">
        <color rgb="FF00B0F0"/>
      </bottom>
      <diagonal/>
    </border>
    <border>
      <left style="medium">
        <color indexed="64"/>
      </left>
      <right style="thin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medium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rgb="FF00B0F0"/>
      </right>
      <top style="medium">
        <color rgb="FF00B0F0"/>
      </top>
      <bottom style="medium">
        <color indexed="64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medium">
        <color indexed="64"/>
      </bottom>
      <diagonal/>
    </border>
    <border>
      <left style="thin">
        <color rgb="FF00B0F0"/>
      </left>
      <right style="medium">
        <color indexed="64"/>
      </right>
      <top style="medium">
        <color rgb="FF00B0F0"/>
      </top>
      <bottom style="medium">
        <color indexed="64"/>
      </bottom>
      <diagonal/>
    </border>
    <border>
      <left/>
      <right style="thin">
        <color rgb="FF00B0F0"/>
      </right>
      <top style="medium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B0F0"/>
      </right>
      <top style="medium">
        <color rgb="FF00B0F0"/>
      </top>
      <bottom style="medium">
        <color rgb="FF00B0F0"/>
      </bottom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B0F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medium">
        <color indexed="64"/>
      </right>
      <top/>
      <bottom style="thin">
        <color rgb="FF00B0F0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/>
      <top/>
      <bottom style="thin">
        <color indexed="26"/>
      </bottom>
      <diagonal/>
    </border>
    <border>
      <left/>
      <right style="thin">
        <color indexed="26"/>
      </right>
      <top/>
      <bottom style="thin">
        <color indexed="26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/>
      <top style="thin">
        <color indexed="29"/>
      </top>
      <bottom style="thin">
        <color indexed="29"/>
      </bottom>
      <diagonal/>
    </border>
    <border>
      <left/>
      <right style="thin">
        <color indexed="29"/>
      </right>
      <top style="thin">
        <color indexed="29"/>
      </top>
      <bottom style="thin">
        <color indexed="29"/>
      </bottom>
      <diagonal/>
    </border>
    <border>
      <left/>
      <right/>
      <top/>
      <bottom style="thin">
        <color indexed="26"/>
      </bottom>
      <diagonal/>
    </border>
    <border>
      <left/>
      <right/>
      <top style="thin">
        <color indexed="29"/>
      </top>
      <bottom style="thin">
        <color indexed="29"/>
      </bottom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 style="medium">
        <color rgb="FF00B0F0"/>
      </top>
      <bottom/>
      <diagonal/>
    </border>
    <border>
      <left/>
      <right/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8" fillId="0" borderId="0"/>
    <xf numFmtId="166" fontId="20" fillId="0" borderId="0" applyFont="0" applyFill="0" applyBorder="0" applyAlignment="0" applyProtection="0"/>
    <xf numFmtId="0" fontId="20" fillId="0" borderId="0"/>
    <xf numFmtId="166" fontId="20" fillId="0" borderId="0" applyFont="0" applyFill="0" applyBorder="0" applyAlignment="0" applyProtection="0"/>
    <xf numFmtId="0" fontId="18" fillId="0" borderId="0"/>
    <xf numFmtId="166" fontId="7" fillId="0" borderId="0" applyFont="0" applyFill="0" applyBorder="0" applyAlignment="0" applyProtection="0"/>
    <xf numFmtId="0" fontId="4" fillId="0" borderId="0"/>
    <xf numFmtId="0" fontId="43" fillId="0" borderId="0"/>
    <xf numFmtId="0" fontId="3" fillId="0" borderId="0"/>
    <xf numFmtId="0" fontId="2" fillId="0" borderId="0"/>
    <xf numFmtId="0" fontId="1" fillId="0" borderId="0"/>
    <xf numFmtId="0" fontId="54" fillId="21" borderId="0" applyNumberFormat="0" applyBorder="0" applyAlignment="0" applyProtection="0"/>
  </cellStyleXfs>
  <cellXfs count="337">
    <xf numFmtId="0" fontId="0" fillId="0" borderId="0" xfId="0"/>
    <xf numFmtId="165" fontId="8" fillId="0" borderId="0" xfId="1" applyNumberFormat="1" applyFont="1" applyAlignment="1">
      <alignment horizontal="left"/>
    </xf>
    <xf numFmtId="165" fontId="9" fillId="0" borderId="0" xfId="1" applyNumberFormat="1" applyFont="1" applyAlignment="1">
      <alignment horizontal="center"/>
    </xf>
    <xf numFmtId="165" fontId="10" fillId="0" borderId="0" xfId="1" applyNumberFormat="1" applyFont="1" applyAlignment="1">
      <alignment horizontal="center"/>
    </xf>
    <xf numFmtId="165" fontId="10" fillId="0" borderId="0" xfId="1" applyNumberFormat="1" applyFont="1" applyAlignment="1">
      <alignment horizontal="center" vertical="center"/>
    </xf>
    <xf numFmtId="165" fontId="9" fillId="2" borderId="0" xfId="1" applyNumberFormat="1" applyFont="1" applyFill="1" applyAlignment="1">
      <alignment horizontal="center"/>
    </xf>
    <xf numFmtId="0" fontId="11" fillId="0" borderId="0" xfId="0" applyFont="1"/>
    <xf numFmtId="0" fontId="9" fillId="0" borderId="0" xfId="0" applyFont="1"/>
    <xf numFmtId="4" fontId="13" fillId="2" borderId="0" xfId="0" applyNumberFormat="1" applyFont="1" applyFill="1" applyAlignment="1">
      <alignment horizontal="center"/>
    </xf>
    <xf numFmtId="4" fontId="13" fillId="0" borderId="0" xfId="0" applyNumberFormat="1" applyFont="1"/>
    <xf numFmtId="3" fontId="12" fillId="2" borderId="4" xfId="0" applyNumberFormat="1" applyFont="1" applyFill="1" applyBorder="1" applyAlignment="1">
      <alignment vertical="center"/>
    </xf>
    <xf numFmtId="10" fontId="13" fillId="0" borderId="0" xfId="0" applyNumberFormat="1" applyFont="1"/>
    <xf numFmtId="4" fontId="13" fillId="4" borderId="0" xfId="0" applyNumberFormat="1" applyFont="1" applyFill="1"/>
    <xf numFmtId="3" fontId="12" fillId="5" borderId="4" xfId="0" applyNumberFormat="1" applyFont="1" applyFill="1" applyBorder="1" applyAlignment="1">
      <alignment vertical="center"/>
    </xf>
    <xf numFmtId="3" fontId="13" fillId="0" borderId="2" xfId="0" applyNumberFormat="1" applyFont="1" applyFill="1" applyBorder="1" applyAlignment="1">
      <alignment vertical="center"/>
    </xf>
    <xf numFmtId="3" fontId="13" fillId="0" borderId="3" xfId="0" applyNumberFormat="1" applyFont="1" applyFill="1" applyBorder="1" applyAlignment="1">
      <alignment vertical="center"/>
    </xf>
    <xf numFmtId="3" fontId="16" fillId="0" borderId="6" xfId="2" applyNumberFormat="1" applyFont="1" applyFill="1" applyBorder="1" applyAlignment="1">
      <alignment horizontal="right" vertical="center"/>
    </xf>
    <xf numFmtId="3" fontId="16" fillId="0" borderId="2" xfId="0" applyNumberFormat="1" applyFont="1" applyFill="1" applyBorder="1" applyAlignment="1">
      <alignment vertical="center"/>
    </xf>
    <xf numFmtId="3" fontId="16" fillId="0" borderId="3" xfId="0" applyNumberFormat="1" applyFont="1" applyFill="1" applyBorder="1" applyAlignment="1">
      <alignment vertical="center"/>
    </xf>
    <xf numFmtId="3" fontId="17" fillId="2" borderId="4" xfId="0" applyNumberFormat="1" applyFont="1" applyFill="1" applyBorder="1" applyAlignment="1">
      <alignment vertical="center"/>
    </xf>
    <xf numFmtId="0" fontId="19" fillId="7" borderId="9" xfId="4" applyFont="1" applyFill="1" applyBorder="1" applyAlignment="1" applyProtection="1">
      <alignment horizontal="left" vertical="center" wrapText="1"/>
      <protection hidden="1"/>
    </xf>
    <xf numFmtId="0" fontId="19" fillId="7" borderId="10" xfId="4" applyFont="1" applyFill="1" applyBorder="1" applyAlignment="1" applyProtection="1">
      <alignment horizontal="center" vertical="center" wrapText="1"/>
      <protection hidden="1"/>
    </xf>
    <xf numFmtId="0" fontId="19" fillId="7" borderId="11" xfId="4" applyFont="1" applyFill="1" applyBorder="1" applyAlignment="1" applyProtection="1">
      <alignment horizontal="center" vertical="center" wrapText="1"/>
      <protection hidden="1"/>
    </xf>
    <xf numFmtId="0" fontId="20" fillId="0" borderId="0" xfId="6" applyProtection="1">
      <protection hidden="1"/>
    </xf>
    <xf numFmtId="3" fontId="23" fillId="3" borderId="12" xfId="6" applyNumberFormat="1" applyFont="1" applyFill="1" applyBorder="1" applyAlignment="1" applyProtection="1">
      <alignment horizontal="center" vertical="center" wrapText="1"/>
      <protection hidden="1"/>
    </xf>
    <xf numFmtId="0" fontId="23" fillId="0" borderId="8" xfId="6" applyFont="1" applyBorder="1" applyProtection="1">
      <protection hidden="1"/>
    </xf>
    <xf numFmtId="0" fontId="20" fillId="0" borderId="13" xfId="6" applyBorder="1" applyProtection="1">
      <protection hidden="1"/>
    </xf>
    <xf numFmtId="165" fontId="24" fillId="0" borderId="0" xfId="7" applyNumberFormat="1" applyFont="1" applyProtection="1">
      <protection hidden="1"/>
    </xf>
    <xf numFmtId="0" fontId="23" fillId="3" borderId="8" xfId="6" applyFont="1" applyFill="1" applyBorder="1" applyProtection="1">
      <protection hidden="1"/>
    </xf>
    <xf numFmtId="0" fontId="25" fillId="0" borderId="8" xfId="6" applyFont="1" applyBorder="1" applyAlignment="1">
      <alignment horizontal="left"/>
    </xf>
    <xf numFmtId="0" fontId="26" fillId="0" borderId="8" xfId="6" applyFont="1" applyBorder="1" applyAlignment="1">
      <alignment horizontal="left"/>
    </xf>
    <xf numFmtId="0" fontId="25" fillId="0" borderId="0" xfId="6" applyFont="1" applyAlignment="1">
      <alignment horizontal="left"/>
    </xf>
    <xf numFmtId="0" fontId="27" fillId="0" borderId="13" xfId="6" applyFont="1" applyBorder="1" applyAlignment="1">
      <alignment horizontal="center"/>
    </xf>
    <xf numFmtId="165" fontId="24" fillId="0" borderId="0" xfId="7" applyNumberFormat="1" applyFont="1"/>
    <xf numFmtId="0" fontId="28" fillId="0" borderId="13" xfId="6" applyFont="1" applyBorder="1"/>
    <xf numFmtId="165" fontId="24" fillId="0" borderId="15" xfId="7" applyNumberFormat="1" applyFont="1" applyBorder="1"/>
    <xf numFmtId="0" fontId="20" fillId="0" borderId="8" xfId="6" applyBorder="1"/>
    <xf numFmtId="166" fontId="29" fillId="3" borderId="8" xfId="7" applyFont="1" applyFill="1" applyBorder="1" applyAlignment="1" applyProtection="1">
      <alignment horizontal="left"/>
      <protection hidden="1"/>
    </xf>
    <xf numFmtId="0" fontId="30" fillId="0" borderId="8" xfId="6" applyFont="1" applyBorder="1" applyAlignment="1">
      <alignment horizontal="left"/>
    </xf>
    <xf numFmtId="0" fontId="29" fillId="0" borderId="13" xfId="6" applyFont="1" applyBorder="1"/>
    <xf numFmtId="165" fontId="24" fillId="0" borderId="16" xfId="7" applyNumberFormat="1" applyFont="1" applyBorder="1"/>
    <xf numFmtId="0" fontId="25" fillId="0" borderId="8" xfId="6" applyFont="1" applyBorder="1"/>
    <xf numFmtId="0" fontId="29" fillId="0" borderId="13" xfId="6" applyFont="1" applyBorder="1" applyProtection="1">
      <protection hidden="1"/>
    </xf>
    <xf numFmtId="165" fontId="24" fillId="0" borderId="16" xfId="7" applyNumberFormat="1" applyFont="1" applyBorder="1" applyProtection="1">
      <protection hidden="1"/>
    </xf>
    <xf numFmtId="0" fontId="28" fillId="0" borderId="0" xfId="6" applyFont="1" applyProtection="1">
      <protection hidden="1"/>
    </xf>
    <xf numFmtId="0" fontId="28" fillId="0" borderId="0" xfId="6" applyFont="1"/>
    <xf numFmtId="165" fontId="29" fillId="0" borderId="0" xfId="7" applyNumberFormat="1" applyFont="1"/>
    <xf numFmtId="0" fontId="23" fillId="0" borderId="13" xfId="6" applyFont="1" applyBorder="1"/>
    <xf numFmtId="0" fontId="20" fillId="0" borderId="13" xfId="6" applyBorder="1"/>
    <xf numFmtId="165" fontId="20" fillId="0" borderId="0" xfId="7" applyNumberFormat="1" applyAlignment="1">
      <alignment horizontal="center"/>
    </xf>
    <xf numFmtId="0" fontId="23" fillId="2" borderId="0" xfId="6" applyFont="1" applyFill="1"/>
    <xf numFmtId="43" fontId="23" fillId="2" borderId="0" xfId="7" applyNumberFormat="1" applyFont="1" applyFill="1" applyAlignment="1">
      <alignment horizontal="left"/>
    </xf>
    <xf numFmtId="3" fontId="23" fillId="2" borderId="0" xfId="6" applyNumberFormat="1" applyFont="1" applyFill="1"/>
    <xf numFmtId="165" fontId="20" fillId="0" borderId="0" xfId="7" applyNumberFormat="1" applyFont="1" applyProtection="1">
      <protection hidden="1"/>
    </xf>
    <xf numFmtId="165" fontId="32" fillId="0" borderId="0" xfId="7" applyNumberFormat="1" applyFont="1" applyProtection="1">
      <protection hidden="1"/>
    </xf>
    <xf numFmtId="165" fontId="20" fillId="0" borderId="0" xfId="7" applyNumberFormat="1" applyFont="1"/>
    <xf numFmtId="165" fontId="32" fillId="0" borderId="0" xfId="7" applyNumberFormat="1" applyFont="1"/>
    <xf numFmtId="165" fontId="5" fillId="0" borderId="0" xfId="7" applyNumberFormat="1" applyFont="1"/>
    <xf numFmtId="165" fontId="24" fillId="3" borderId="8" xfId="7" applyNumberFormat="1" applyFont="1" applyFill="1" applyBorder="1" applyAlignment="1" applyProtection="1">
      <alignment horizontal="center"/>
      <protection hidden="1"/>
    </xf>
    <xf numFmtId="165" fontId="20" fillId="0" borderId="0" xfId="6" applyNumberFormat="1" applyFont="1" applyProtection="1">
      <protection hidden="1"/>
    </xf>
    <xf numFmtId="165" fontId="24" fillId="3" borderId="8" xfId="7" applyNumberFormat="1" applyFont="1" applyFill="1" applyBorder="1" applyProtection="1">
      <protection hidden="1"/>
    </xf>
    <xf numFmtId="165" fontId="25" fillId="3" borderId="14" xfId="7" applyNumberFormat="1" applyFont="1" applyFill="1" applyBorder="1" applyAlignment="1">
      <alignment horizontal="center"/>
    </xf>
    <xf numFmtId="165" fontId="25" fillId="3" borderId="8" xfId="7" applyNumberFormat="1" applyFont="1" applyFill="1" applyBorder="1" applyAlignment="1">
      <alignment horizontal="center"/>
    </xf>
    <xf numFmtId="165" fontId="25" fillId="0" borderId="14" xfId="7" applyNumberFormat="1" applyFont="1" applyBorder="1" applyAlignment="1">
      <alignment horizontal="center"/>
    </xf>
    <xf numFmtId="165" fontId="25" fillId="0" borderId="8" xfId="7" applyNumberFormat="1" applyFont="1" applyBorder="1" applyAlignment="1">
      <alignment horizontal="center"/>
    </xf>
    <xf numFmtId="165" fontId="24" fillId="0" borderId="0" xfId="7" applyNumberFormat="1" applyFont="1" applyAlignment="1">
      <alignment horizontal="center"/>
    </xf>
    <xf numFmtId="165" fontId="31" fillId="0" borderId="0" xfId="6" applyNumberFormat="1" applyFont="1" applyAlignment="1">
      <alignment horizontal="center"/>
    </xf>
    <xf numFmtId="165" fontId="32" fillId="0" borderId="0" xfId="6" applyNumberFormat="1" applyFont="1"/>
    <xf numFmtId="165" fontId="20" fillId="3" borderId="8" xfId="7" applyNumberFormat="1" applyFont="1" applyFill="1" applyBorder="1"/>
    <xf numFmtId="165" fontId="25" fillId="3" borderId="8" xfId="7" applyNumberFormat="1" applyFont="1" applyFill="1" applyBorder="1" applyAlignment="1">
      <alignment horizontal="left"/>
    </xf>
    <xf numFmtId="165" fontId="20" fillId="0" borderId="0" xfId="6" applyNumberFormat="1" applyFont="1"/>
    <xf numFmtId="165" fontId="25" fillId="3" borderId="8" xfId="7" applyNumberFormat="1" applyFont="1" applyFill="1" applyBorder="1"/>
    <xf numFmtId="165" fontId="23" fillId="3" borderId="8" xfId="7" applyNumberFormat="1" applyFont="1" applyFill="1" applyBorder="1" applyAlignment="1" applyProtection="1">
      <alignment horizontal="center"/>
      <protection hidden="1"/>
    </xf>
    <xf numFmtId="165" fontId="20" fillId="0" borderId="0" xfId="6" applyNumberFormat="1" applyProtection="1">
      <protection hidden="1"/>
    </xf>
    <xf numFmtId="165" fontId="23" fillId="3" borderId="8" xfId="7" applyNumberFormat="1" applyFont="1" applyFill="1" applyBorder="1" applyAlignment="1">
      <alignment horizontal="center"/>
    </xf>
    <xf numFmtId="165" fontId="24" fillId="3" borderId="8" xfId="7" applyNumberFormat="1" applyFont="1" applyFill="1" applyBorder="1" applyAlignment="1">
      <alignment horizontal="center"/>
    </xf>
    <xf numFmtId="165" fontId="24" fillId="0" borderId="8" xfId="7" applyNumberFormat="1" applyFont="1" applyBorder="1" applyAlignment="1">
      <alignment horizontal="center"/>
    </xf>
    <xf numFmtId="165" fontId="23" fillId="0" borderId="0" xfId="7" applyNumberFormat="1" applyFont="1" applyAlignment="1">
      <alignment horizontal="center"/>
    </xf>
    <xf numFmtId="165" fontId="20" fillId="3" borderId="8" xfId="7" applyNumberFormat="1" applyFill="1" applyBorder="1" applyAlignment="1">
      <alignment horizontal="center"/>
    </xf>
    <xf numFmtId="165" fontId="20" fillId="3" borderId="8" xfId="7" applyNumberFormat="1" applyFill="1" applyBorder="1" applyAlignment="1" applyProtection="1">
      <alignment horizontal="center"/>
      <protection hidden="1"/>
    </xf>
    <xf numFmtId="165" fontId="29" fillId="3" borderId="8" xfId="7" applyNumberFormat="1" applyFont="1" applyFill="1" applyBorder="1" applyAlignment="1" applyProtection="1">
      <alignment horizontal="center"/>
      <protection hidden="1"/>
    </xf>
    <xf numFmtId="165" fontId="23" fillId="3" borderId="8" xfId="7" applyNumberFormat="1" applyFont="1" applyFill="1" applyBorder="1" applyProtection="1">
      <protection hidden="1"/>
    </xf>
    <xf numFmtId="0" fontId="33" fillId="0" borderId="17" xfId="8" applyFont="1" applyBorder="1" applyAlignment="1" applyProtection="1">
      <alignment horizontal="left"/>
      <protection hidden="1"/>
    </xf>
    <xf numFmtId="167" fontId="21" fillId="0" borderId="8" xfId="1" applyNumberFormat="1" applyFont="1" applyBorder="1" applyAlignment="1" applyProtection="1">
      <alignment horizontal="right"/>
      <protection hidden="1"/>
    </xf>
    <xf numFmtId="167" fontId="22" fillId="0" borderId="8" xfId="1" applyNumberFormat="1" applyFont="1" applyBorder="1" applyAlignment="1" applyProtection="1">
      <alignment horizontal="right"/>
      <protection hidden="1"/>
    </xf>
    <xf numFmtId="0" fontId="21" fillId="3" borderId="20" xfId="4" applyFont="1" applyFill="1" applyBorder="1" applyProtection="1">
      <protection hidden="1"/>
    </xf>
    <xf numFmtId="167" fontId="21" fillId="3" borderId="8" xfId="4" applyNumberFormat="1" applyFont="1" applyFill="1" applyBorder="1" applyProtection="1">
      <protection hidden="1"/>
    </xf>
    <xf numFmtId="0" fontId="33" fillId="0" borderId="20" xfId="8" applyFont="1" applyBorder="1" applyProtection="1">
      <protection hidden="1"/>
    </xf>
    <xf numFmtId="167" fontId="33" fillId="0" borderId="8" xfId="8" applyNumberFormat="1" applyFont="1" applyBorder="1" applyProtection="1">
      <protection hidden="1"/>
    </xf>
    <xf numFmtId="0" fontId="21" fillId="0" borderId="20" xfId="4" applyFont="1" applyBorder="1" applyProtection="1">
      <protection hidden="1"/>
    </xf>
    <xf numFmtId="167" fontId="21" fillId="0" borderId="8" xfId="4" applyNumberFormat="1" applyFont="1" applyBorder="1" applyProtection="1">
      <protection hidden="1"/>
    </xf>
    <xf numFmtId="0" fontId="21" fillId="8" borderId="20" xfId="4" applyFont="1" applyFill="1" applyBorder="1" applyProtection="1">
      <protection hidden="1"/>
    </xf>
    <xf numFmtId="167" fontId="21" fillId="8" borderId="8" xfId="4" applyNumberFormat="1" applyFont="1" applyFill="1" applyBorder="1" applyProtection="1">
      <protection hidden="1"/>
    </xf>
    <xf numFmtId="0" fontId="33" fillId="0" borderId="21" xfId="8" applyFont="1" applyBorder="1" applyProtection="1">
      <protection hidden="1"/>
    </xf>
    <xf numFmtId="0" fontId="33" fillId="0" borderId="0" xfId="8" applyFont="1" applyProtection="1">
      <protection hidden="1"/>
    </xf>
    <xf numFmtId="3" fontId="33" fillId="0" borderId="0" xfId="8" applyNumberFormat="1" applyFont="1" applyProtection="1">
      <protection hidden="1"/>
    </xf>
    <xf numFmtId="3" fontId="34" fillId="0" borderId="0" xfId="0" applyNumberFormat="1" applyFont="1" applyProtection="1">
      <protection hidden="1"/>
    </xf>
    <xf numFmtId="167" fontId="33" fillId="0" borderId="18" xfId="1" applyNumberFormat="1" applyFont="1" applyBorder="1" applyAlignment="1" applyProtection="1">
      <alignment horizontal="right"/>
      <protection hidden="1"/>
    </xf>
    <xf numFmtId="167" fontId="33" fillId="0" borderId="22" xfId="1" applyNumberFormat="1" applyFont="1" applyBorder="1" applyAlignment="1" applyProtection="1">
      <alignment horizontal="right"/>
      <protection hidden="1"/>
    </xf>
    <xf numFmtId="167" fontId="33" fillId="0" borderId="19" xfId="1" applyNumberFormat="1" applyFont="1" applyBorder="1" applyAlignment="1" applyProtection="1">
      <alignment horizontal="right"/>
      <protection hidden="1"/>
    </xf>
    <xf numFmtId="0" fontId="27" fillId="0" borderId="8" xfId="6" applyFont="1" applyBorder="1" applyProtection="1">
      <protection hidden="1"/>
    </xf>
    <xf numFmtId="168" fontId="0" fillId="0" borderId="0" xfId="0" applyNumberFormat="1"/>
    <xf numFmtId="0" fontId="3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3" fontId="12" fillId="2" borderId="25" xfId="0" applyNumberFormat="1" applyFont="1" applyFill="1" applyBorder="1" applyAlignment="1">
      <alignment vertical="center"/>
    </xf>
    <xf numFmtId="3" fontId="12" fillId="2" borderId="35" xfId="0" applyNumberFormat="1" applyFont="1" applyFill="1" applyBorder="1" applyAlignment="1">
      <alignment vertical="center"/>
    </xf>
    <xf numFmtId="3" fontId="13" fillId="0" borderId="39" xfId="0" applyNumberFormat="1" applyFont="1" applyFill="1" applyBorder="1" applyAlignment="1">
      <alignment vertical="center"/>
    </xf>
    <xf numFmtId="3" fontId="13" fillId="0" borderId="43" xfId="0" applyNumberFormat="1" applyFont="1" applyFill="1" applyBorder="1" applyAlignment="1">
      <alignment vertical="center"/>
    </xf>
    <xf numFmtId="3" fontId="16" fillId="0" borderId="41" xfId="2" applyNumberFormat="1" applyFont="1" applyFill="1" applyBorder="1" applyAlignment="1">
      <alignment horizontal="right" vertical="center"/>
    </xf>
    <xf numFmtId="3" fontId="16" fillId="0" borderId="39" xfId="0" applyNumberFormat="1" applyFont="1" applyFill="1" applyBorder="1" applyAlignment="1">
      <alignment vertical="center"/>
    </xf>
    <xf numFmtId="3" fontId="16" fillId="0" borderId="43" xfId="0" applyNumberFormat="1" applyFont="1" applyFill="1" applyBorder="1" applyAlignment="1">
      <alignment vertical="center"/>
    </xf>
    <xf numFmtId="3" fontId="17" fillId="2" borderId="35" xfId="0" applyNumberFormat="1" applyFont="1" applyFill="1" applyBorder="1" applyAlignment="1">
      <alignment vertical="center"/>
    </xf>
    <xf numFmtId="3" fontId="12" fillId="5" borderId="35" xfId="0" applyNumberFormat="1" applyFont="1" applyFill="1" applyBorder="1" applyAlignment="1">
      <alignment vertical="center"/>
    </xf>
    <xf numFmtId="3" fontId="12" fillId="5" borderId="45" xfId="0" applyNumberFormat="1" applyFont="1" applyFill="1" applyBorder="1" applyAlignment="1">
      <alignment vertical="center"/>
    </xf>
    <xf numFmtId="3" fontId="12" fillId="5" borderId="46" xfId="0" applyNumberFormat="1" applyFont="1" applyFill="1" applyBorder="1" applyAlignment="1">
      <alignment vertical="center"/>
    </xf>
    <xf numFmtId="3" fontId="15" fillId="9" borderId="1" xfId="0" applyNumberFormat="1" applyFont="1" applyFill="1" applyBorder="1" applyAlignment="1">
      <alignment vertical="center"/>
    </xf>
    <xf numFmtId="3" fontId="15" fillId="9" borderId="34" xfId="0" applyNumberFormat="1" applyFont="1" applyFill="1" applyBorder="1" applyAlignment="1">
      <alignment vertical="center"/>
    </xf>
    <xf numFmtId="3" fontId="12" fillId="9" borderId="0" xfId="0" applyNumberFormat="1" applyFont="1" applyFill="1" applyBorder="1" applyAlignment="1">
      <alignment vertical="center"/>
    </xf>
    <xf numFmtId="3" fontId="12" fillId="9" borderId="36" xfId="0" applyNumberFormat="1" applyFont="1" applyFill="1" applyBorder="1" applyAlignment="1">
      <alignment horizontal="center" vertical="center"/>
    </xf>
    <xf numFmtId="3" fontId="13" fillId="9" borderId="5" xfId="0" applyNumberFormat="1" applyFont="1" applyFill="1" applyBorder="1" applyAlignment="1">
      <alignment vertical="center"/>
    </xf>
    <xf numFmtId="3" fontId="13" fillId="9" borderId="37" xfId="0" applyNumberFormat="1" applyFont="1" applyFill="1" applyBorder="1" applyAlignment="1">
      <alignment vertical="center"/>
    </xf>
    <xf numFmtId="3" fontId="12" fillId="9" borderId="27" xfId="0" applyNumberFormat="1" applyFont="1" applyFill="1" applyBorder="1" applyAlignment="1">
      <alignment vertical="center"/>
    </xf>
    <xf numFmtId="3" fontId="12" fillId="9" borderId="38" xfId="0" applyNumberFormat="1" applyFont="1" applyFill="1" applyBorder="1" applyAlignment="1">
      <alignment horizontal="center" vertical="center"/>
    </xf>
    <xf numFmtId="3" fontId="13" fillId="9" borderId="2" xfId="0" applyNumberFormat="1" applyFont="1" applyFill="1" applyBorder="1" applyAlignment="1">
      <alignment vertical="center"/>
    </xf>
    <xf numFmtId="3" fontId="13" fillId="9" borderId="39" xfId="0" applyNumberFormat="1" applyFont="1" applyFill="1" applyBorder="1" applyAlignment="1">
      <alignment vertical="center"/>
    </xf>
    <xf numFmtId="10" fontId="12" fillId="9" borderId="27" xfId="0" applyNumberFormat="1" applyFont="1" applyFill="1" applyBorder="1" applyAlignment="1">
      <alignment vertical="center"/>
    </xf>
    <xf numFmtId="10" fontId="12" fillId="9" borderId="38" xfId="0" applyNumberFormat="1" applyFont="1" applyFill="1" applyBorder="1" applyAlignment="1">
      <alignment horizontal="center" vertical="center"/>
    </xf>
    <xf numFmtId="10" fontId="13" fillId="9" borderId="2" xfId="0" applyNumberFormat="1" applyFont="1" applyFill="1" applyBorder="1" applyAlignment="1">
      <alignment vertical="center"/>
    </xf>
    <xf numFmtId="10" fontId="13" fillId="9" borderId="39" xfId="0" applyNumberFormat="1" applyFont="1" applyFill="1" applyBorder="1" applyAlignment="1">
      <alignment vertical="center"/>
    </xf>
    <xf numFmtId="4" fontId="12" fillId="9" borderId="28" xfId="0" applyNumberFormat="1" applyFont="1" applyFill="1" applyBorder="1" applyAlignment="1">
      <alignment vertical="center"/>
    </xf>
    <xf numFmtId="3" fontId="12" fillId="9" borderId="40" xfId="0" applyNumberFormat="1" applyFont="1" applyFill="1" applyBorder="1" applyAlignment="1">
      <alignment horizontal="center" vertical="center"/>
    </xf>
    <xf numFmtId="3" fontId="13" fillId="9" borderId="6" xfId="0" applyNumberFormat="1" applyFont="1" applyFill="1" applyBorder="1" applyAlignment="1">
      <alignment vertical="center"/>
    </xf>
    <xf numFmtId="3" fontId="13" fillId="9" borderId="41" xfId="0" applyNumberFormat="1" applyFont="1" applyFill="1" applyBorder="1" applyAlignment="1">
      <alignment vertical="center"/>
    </xf>
    <xf numFmtId="3" fontId="15" fillId="9" borderId="4" xfId="0" applyNumberFormat="1" applyFont="1" applyFill="1" applyBorder="1" applyAlignment="1">
      <alignment vertical="center"/>
    </xf>
    <xf numFmtId="3" fontId="15" fillId="9" borderId="35" xfId="0" applyNumberFormat="1" applyFont="1" applyFill="1" applyBorder="1" applyAlignment="1">
      <alignment vertical="center"/>
    </xf>
    <xf numFmtId="9" fontId="15" fillId="9" borderId="4" xfId="2" applyFont="1" applyFill="1" applyBorder="1" applyAlignment="1">
      <alignment vertical="center"/>
    </xf>
    <xf numFmtId="9" fontId="15" fillId="9" borderId="35" xfId="2" applyFont="1" applyFill="1" applyBorder="1" applyAlignment="1">
      <alignment vertical="center"/>
    </xf>
    <xf numFmtId="38" fontId="14" fillId="9" borderId="2" xfId="0" applyNumberFormat="1" applyFont="1" applyFill="1" applyBorder="1" applyAlignment="1">
      <alignment vertical="center" wrapText="1"/>
    </xf>
    <xf numFmtId="38" fontId="14" fillId="9" borderId="39" xfId="0" applyNumberFormat="1" applyFont="1" applyFill="1" applyBorder="1" applyAlignment="1">
      <alignment vertical="center" wrapText="1"/>
    </xf>
    <xf numFmtId="3" fontId="12" fillId="2" borderId="33" xfId="0" applyNumberFormat="1" applyFont="1" applyFill="1" applyBorder="1" applyAlignment="1">
      <alignment horizontal="center" vertical="center"/>
    </xf>
    <xf numFmtId="3" fontId="12" fillId="4" borderId="33" xfId="0" applyNumberFormat="1" applyFont="1" applyFill="1" applyBorder="1" applyAlignment="1">
      <alignment horizontal="center" vertical="center"/>
    </xf>
    <xf numFmtId="3" fontId="13" fillId="0" borderId="6" xfId="2" applyNumberFormat="1" applyFont="1" applyFill="1" applyBorder="1" applyAlignment="1">
      <alignment horizontal="right" vertical="center"/>
    </xf>
    <xf numFmtId="3" fontId="13" fillId="0" borderId="41" xfId="2" applyNumberFormat="1" applyFont="1" applyFill="1" applyBorder="1" applyAlignment="1">
      <alignment horizontal="right" vertical="center"/>
    </xf>
    <xf numFmtId="3" fontId="12" fillId="10" borderId="42" xfId="0" applyNumberFormat="1" applyFont="1" applyFill="1" applyBorder="1" applyAlignment="1">
      <alignment vertical="center"/>
    </xf>
    <xf numFmtId="3" fontId="12" fillId="10" borderId="4" xfId="0" applyNumberFormat="1" applyFont="1" applyFill="1" applyBorder="1" applyAlignment="1">
      <alignment vertical="center"/>
    </xf>
    <xf numFmtId="3" fontId="12" fillId="10" borderId="35" xfId="0" applyNumberFormat="1" applyFont="1" applyFill="1" applyBorder="1" applyAlignment="1">
      <alignment vertical="center"/>
    </xf>
    <xf numFmtId="3" fontId="12" fillId="10" borderId="44" xfId="0" applyNumberFormat="1" applyFont="1" applyFill="1" applyBorder="1" applyAlignment="1">
      <alignment vertical="center"/>
    </xf>
    <xf numFmtId="3" fontId="12" fillId="10" borderId="45" xfId="0" applyNumberFormat="1" applyFont="1" applyFill="1" applyBorder="1" applyAlignment="1">
      <alignment vertical="center"/>
    </xf>
    <xf numFmtId="3" fontId="12" fillId="10" borderId="46" xfId="0" applyNumberFormat="1" applyFont="1" applyFill="1" applyBorder="1" applyAlignment="1">
      <alignment vertical="center"/>
    </xf>
    <xf numFmtId="4" fontId="37" fillId="10" borderId="33" xfId="0" applyNumberFormat="1" applyFont="1" applyFill="1" applyBorder="1" applyAlignment="1">
      <alignment horizontal="center" vertical="center"/>
    </xf>
    <xf numFmtId="4" fontId="37" fillId="10" borderId="1" xfId="0" applyNumberFormat="1" applyFont="1" applyFill="1" applyBorder="1" applyAlignment="1">
      <alignment horizontal="center" vertical="center"/>
    </xf>
    <xf numFmtId="4" fontId="37" fillId="10" borderId="34" xfId="0" applyNumberFormat="1" applyFont="1" applyFill="1" applyBorder="1" applyAlignment="1">
      <alignment horizontal="center" vertical="center"/>
    </xf>
    <xf numFmtId="3" fontId="12" fillId="11" borderId="26" xfId="0" applyNumberFormat="1" applyFont="1" applyFill="1" applyBorder="1" applyAlignment="1">
      <alignment vertical="center"/>
    </xf>
    <xf numFmtId="3" fontId="12" fillId="11" borderId="33" xfId="0" applyNumberFormat="1" applyFont="1" applyFill="1" applyBorder="1" applyAlignment="1">
      <alignment horizontal="center" vertical="center"/>
    </xf>
    <xf numFmtId="3" fontId="13" fillId="11" borderId="1" xfId="0" applyNumberFormat="1" applyFont="1" applyFill="1" applyBorder="1" applyAlignment="1">
      <alignment vertical="center"/>
    </xf>
    <xf numFmtId="3" fontId="13" fillId="11" borderId="34" xfId="0" applyNumberFormat="1" applyFont="1" applyFill="1" applyBorder="1" applyAlignment="1">
      <alignment vertical="center"/>
    </xf>
    <xf numFmtId="3" fontId="38" fillId="11" borderId="26" xfId="0" applyNumberFormat="1" applyFont="1" applyFill="1" applyBorder="1" applyAlignment="1">
      <alignment vertical="center"/>
    </xf>
    <xf numFmtId="3" fontId="10" fillId="0" borderId="2" xfId="0" applyNumberFormat="1" applyFont="1" applyFill="1" applyBorder="1" applyAlignment="1">
      <alignment vertical="center"/>
    </xf>
    <xf numFmtId="3" fontId="10" fillId="0" borderId="39" xfId="0" applyNumberFormat="1" applyFont="1" applyFill="1" applyBorder="1" applyAlignment="1">
      <alignment vertical="center"/>
    </xf>
    <xf numFmtId="3" fontId="10" fillId="0" borderId="3" xfId="0" applyNumberFormat="1" applyFont="1" applyFill="1" applyBorder="1" applyAlignment="1">
      <alignment vertical="center"/>
    </xf>
    <xf numFmtId="3" fontId="10" fillId="0" borderId="43" xfId="0" applyNumberFormat="1" applyFont="1" applyFill="1" applyBorder="1" applyAlignment="1">
      <alignment vertical="center"/>
    </xf>
    <xf numFmtId="3" fontId="39" fillId="4" borderId="33" xfId="0" applyNumberFormat="1" applyFont="1" applyFill="1" applyBorder="1" applyAlignment="1">
      <alignment horizontal="center" vertical="center"/>
    </xf>
    <xf numFmtId="3" fontId="39" fillId="6" borderId="33" xfId="0" applyNumberFormat="1" applyFont="1" applyFill="1" applyBorder="1" applyAlignment="1">
      <alignment horizontal="center" vertical="center"/>
    </xf>
    <xf numFmtId="4" fontId="39" fillId="10" borderId="29" xfId="0" applyNumberFormat="1" applyFont="1" applyFill="1" applyBorder="1" applyAlignment="1">
      <alignment vertical="center"/>
    </xf>
    <xf numFmtId="3" fontId="39" fillId="10" borderId="7" xfId="0" applyNumberFormat="1" applyFont="1" applyFill="1" applyBorder="1" applyAlignment="1">
      <alignment vertical="center"/>
    </xf>
    <xf numFmtId="3" fontId="12" fillId="12" borderId="26" xfId="0" applyNumberFormat="1" applyFont="1" applyFill="1" applyBorder="1" applyAlignment="1">
      <alignment vertical="center"/>
    </xf>
    <xf numFmtId="3" fontId="12" fillId="12" borderId="33" xfId="0" applyNumberFormat="1" applyFont="1" applyFill="1" applyBorder="1" applyAlignment="1">
      <alignment horizontal="center" vertical="center"/>
    </xf>
    <xf numFmtId="3" fontId="13" fillId="12" borderId="1" xfId="0" applyNumberFormat="1" applyFont="1" applyFill="1" applyBorder="1" applyAlignment="1">
      <alignment vertical="center"/>
    </xf>
    <xf numFmtId="3" fontId="13" fillId="12" borderId="34" xfId="0" applyNumberFormat="1" applyFont="1" applyFill="1" applyBorder="1" applyAlignment="1">
      <alignment vertical="center"/>
    </xf>
    <xf numFmtId="9" fontId="38" fillId="11" borderId="33" xfId="2" applyFont="1" applyFill="1" applyBorder="1" applyAlignment="1">
      <alignment horizontal="center" vertical="center"/>
    </xf>
    <xf numFmtId="9" fontId="38" fillId="11" borderId="1" xfId="2" applyFont="1" applyFill="1" applyBorder="1" applyAlignment="1">
      <alignment vertical="center"/>
    </xf>
    <xf numFmtId="9" fontId="38" fillId="11" borderId="34" xfId="2" applyFont="1" applyFill="1" applyBorder="1" applyAlignment="1">
      <alignment vertical="center"/>
    </xf>
    <xf numFmtId="4" fontId="13" fillId="6" borderId="0" xfId="0" applyNumberFormat="1" applyFont="1" applyFill="1"/>
    <xf numFmtId="9" fontId="9" fillId="0" borderId="0" xfId="2" applyFont="1"/>
    <xf numFmtId="9" fontId="9" fillId="0" borderId="0" xfId="0" applyNumberFormat="1" applyFont="1"/>
    <xf numFmtId="9" fontId="12" fillId="2" borderId="51" xfId="2" applyFont="1" applyFill="1" applyBorder="1" applyAlignment="1">
      <alignment vertical="center"/>
    </xf>
    <xf numFmtId="9" fontId="12" fillId="12" borderId="51" xfId="2" applyFont="1" applyFill="1" applyBorder="1" applyAlignment="1">
      <alignment vertical="center"/>
    </xf>
    <xf numFmtId="9" fontId="12" fillId="9" borderId="51" xfId="2" applyFont="1" applyFill="1" applyBorder="1" applyAlignment="1">
      <alignment vertical="center"/>
    </xf>
    <xf numFmtId="9" fontId="12" fillId="11" borderId="51" xfId="2" applyFont="1" applyFill="1" applyBorder="1" applyAlignment="1">
      <alignment vertical="center"/>
    </xf>
    <xf numFmtId="9" fontId="39" fillId="10" borderId="51" xfId="2" applyFont="1" applyFill="1" applyBorder="1" applyAlignment="1">
      <alignment vertical="center"/>
    </xf>
    <xf numFmtId="9" fontId="38" fillId="11" borderId="51" xfId="2" applyFont="1" applyFill="1" applyBorder="1" applyAlignment="1">
      <alignment vertical="center"/>
    </xf>
    <xf numFmtId="4" fontId="37" fillId="10" borderId="47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vertical="center"/>
    </xf>
    <xf numFmtId="3" fontId="12" fillId="2" borderId="52" xfId="0" applyNumberFormat="1" applyFont="1" applyFill="1" applyBorder="1" applyAlignment="1">
      <alignment vertical="center"/>
    </xf>
    <xf numFmtId="3" fontId="13" fillId="12" borderId="47" xfId="0" applyNumberFormat="1" applyFont="1" applyFill="1" applyBorder="1" applyAlignment="1">
      <alignment vertical="center"/>
    </xf>
    <xf numFmtId="3" fontId="13" fillId="9" borderId="48" xfId="0" applyNumberFormat="1" applyFont="1" applyFill="1" applyBorder="1" applyAlignment="1">
      <alignment vertical="center"/>
    </xf>
    <xf numFmtId="3" fontId="13" fillId="9" borderId="49" xfId="0" applyNumberFormat="1" applyFont="1" applyFill="1" applyBorder="1" applyAlignment="1">
      <alignment vertical="center"/>
    </xf>
    <xf numFmtId="10" fontId="13" fillId="9" borderId="49" xfId="0" applyNumberFormat="1" applyFont="1" applyFill="1" applyBorder="1" applyAlignment="1">
      <alignment vertical="center"/>
    </xf>
    <xf numFmtId="3" fontId="13" fillId="9" borderId="50" xfId="0" applyNumberFormat="1" applyFont="1" applyFill="1" applyBorder="1" applyAlignment="1">
      <alignment vertical="center"/>
    </xf>
    <xf numFmtId="3" fontId="13" fillId="11" borderId="47" xfId="0" applyNumberFormat="1" applyFont="1" applyFill="1" applyBorder="1" applyAlignment="1">
      <alignment vertical="center"/>
    </xf>
    <xf numFmtId="3" fontId="10" fillId="0" borderId="49" xfId="0" applyNumberFormat="1" applyFont="1" applyFill="1" applyBorder="1" applyAlignment="1">
      <alignment vertical="center"/>
    </xf>
    <xf numFmtId="3" fontId="10" fillId="0" borderId="53" xfId="0" applyNumberFormat="1" applyFont="1" applyFill="1" applyBorder="1" applyAlignment="1">
      <alignment vertical="center"/>
    </xf>
    <xf numFmtId="9" fontId="38" fillId="11" borderId="47" xfId="2" applyFont="1" applyFill="1" applyBorder="1" applyAlignment="1">
      <alignment vertical="center"/>
    </xf>
    <xf numFmtId="3" fontId="12" fillId="2" borderId="54" xfId="0" applyNumberFormat="1" applyFont="1" applyFill="1" applyBorder="1" applyAlignment="1">
      <alignment horizontal="center" vertical="center"/>
    </xf>
    <xf numFmtId="3" fontId="12" fillId="12" borderId="55" xfId="0" applyNumberFormat="1" applyFont="1" applyFill="1" applyBorder="1" applyAlignment="1">
      <alignment horizontal="center" vertical="center"/>
    </xf>
    <xf numFmtId="3" fontId="12" fillId="9" borderId="56" xfId="0" applyNumberFormat="1" applyFont="1" applyFill="1" applyBorder="1" applyAlignment="1">
      <alignment horizontal="center" vertical="center"/>
    </xf>
    <xf numFmtId="3" fontId="12" fillId="9" borderId="57" xfId="0" applyNumberFormat="1" applyFont="1" applyFill="1" applyBorder="1" applyAlignment="1">
      <alignment horizontal="center" vertical="center"/>
    </xf>
    <xf numFmtId="10" fontId="12" fillId="9" borderId="57" xfId="0" applyNumberFormat="1" applyFont="1" applyFill="1" applyBorder="1" applyAlignment="1">
      <alignment horizontal="center" vertical="center"/>
    </xf>
    <xf numFmtId="3" fontId="12" fillId="9" borderId="58" xfId="0" applyNumberFormat="1" applyFont="1" applyFill="1" applyBorder="1" applyAlignment="1">
      <alignment horizontal="center" vertical="center"/>
    </xf>
    <xf numFmtId="3" fontId="12" fillId="11" borderId="55" xfId="0" applyNumberFormat="1" applyFont="1" applyFill="1" applyBorder="1" applyAlignment="1">
      <alignment horizontal="center" vertical="center"/>
    </xf>
    <xf numFmtId="3" fontId="39" fillId="4" borderId="55" xfId="0" applyNumberFormat="1" applyFont="1" applyFill="1" applyBorder="1" applyAlignment="1">
      <alignment horizontal="center" vertical="center"/>
    </xf>
    <xf numFmtId="9" fontId="38" fillId="11" borderId="55" xfId="2" applyFont="1" applyFill="1" applyBorder="1" applyAlignment="1">
      <alignment horizontal="center" vertical="center"/>
    </xf>
    <xf numFmtId="4" fontId="40" fillId="10" borderId="29" xfId="0" applyNumberFormat="1" applyFont="1" applyFill="1" applyBorder="1" applyAlignment="1">
      <alignment vertical="center"/>
    </xf>
    <xf numFmtId="9" fontId="40" fillId="10" borderId="51" xfId="2" applyFont="1" applyFill="1" applyBorder="1" applyAlignment="1">
      <alignment vertical="center"/>
    </xf>
    <xf numFmtId="9" fontId="40" fillId="4" borderId="55" xfId="2" applyFont="1" applyFill="1" applyBorder="1" applyAlignment="1">
      <alignment horizontal="center" vertical="center"/>
    </xf>
    <xf numFmtId="9" fontId="40" fillId="0" borderId="49" xfId="2" applyFont="1" applyFill="1" applyBorder="1" applyAlignment="1">
      <alignment vertical="center"/>
    </xf>
    <xf numFmtId="4" fontId="40" fillId="0" borderId="0" xfId="0" applyNumberFormat="1" applyFont="1"/>
    <xf numFmtId="169" fontId="9" fillId="6" borderId="0" xfId="1" applyNumberFormat="1" applyFont="1" applyFill="1"/>
    <xf numFmtId="4" fontId="12" fillId="10" borderId="31" xfId="0" applyNumberFormat="1" applyFont="1" applyFill="1" applyBorder="1" applyAlignment="1">
      <alignment horizontal="center" vertical="center"/>
    </xf>
    <xf numFmtId="166" fontId="9" fillId="0" borderId="0" xfId="9" applyFont="1"/>
    <xf numFmtId="0" fontId="9" fillId="0" borderId="0" xfId="0" applyFont="1" applyAlignment="1">
      <alignment horizontal="center"/>
    </xf>
    <xf numFmtId="0" fontId="9" fillId="2" borderId="8" xfId="0" applyFont="1" applyFill="1" applyBorder="1"/>
    <xf numFmtId="166" fontId="9" fillId="2" borderId="8" xfId="9" applyFont="1" applyFill="1" applyBorder="1"/>
    <xf numFmtId="0" fontId="9" fillId="2" borderId="8" xfId="0" applyFont="1" applyFill="1" applyBorder="1" applyAlignment="1">
      <alignment horizontal="center"/>
    </xf>
    <xf numFmtId="0" fontId="9" fillId="2" borderId="0" xfId="0" applyFont="1" applyFill="1"/>
    <xf numFmtId="166" fontId="9" fillId="2" borderId="0" xfId="0" applyNumberFormat="1" applyFont="1" applyFill="1"/>
    <xf numFmtId="166" fontId="11" fillId="2" borderId="8" xfId="9" applyFont="1" applyFill="1" applyBorder="1"/>
    <xf numFmtId="0" fontId="4" fillId="0" borderId="8" xfId="10" applyBorder="1"/>
    <xf numFmtId="0" fontId="4" fillId="0" borderId="0" xfId="10"/>
    <xf numFmtId="0" fontId="4" fillId="0" borderId="51" xfId="10" applyBorder="1"/>
    <xf numFmtId="0" fontId="4" fillId="0" borderId="8" xfId="10" applyBorder="1" applyAlignment="1">
      <alignment vertical="center"/>
    </xf>
    <xf numFmtId="0" fontId="42" fillId="0" borderId="8" xfId="10" applyFont="1" applyBorder="1"/>
    <xf numFmtId="0" fontId="4" fillId="2" borderId="8" xfId="10" applyFill="1" applyBorder="1"/>
    <xf numFmtId="0" fontId="9" fillId="0" borderId="51" xfId="10" applyFont="1" applyBorder="1"/>
    <xf numFmtId="0" fontId="4" fillId="0" borderId="8" xfId="10" applyBorder="1" applyAlignment="1">
      <alignment vertical="center" wrapText="1"/>
    </xf>
    <xf numFmtId="0" fontId="4" fillId="0" borderId="14" xfId="10" applyBorder="1" applyAlignment="1">
      <alignment horizontal="center"/>
    </xf>
    <xf numFmtId="0" fontId="4" fillId="0" borderId="0" xfId="10" applyFill="1"/>
    <xf numFmtId="0" fontId="4" fillId="13" borderId="8" xfId="10" applyFill="1" applyBorder="1"/>
    <xf numFmtId="3" fontId="4" fillId="13" borderId="8" xfId="10" applyNumberFormat="1" applyFill="1" applyBorder="1"/>
    <xf numFmtId="0" fontId="4" fillId="13" borderId="0" xfId="10" applyFill="1"/>
    <xf numFmtId="0" fontId="41" fillId="14" borderId="51" xfId="10" applyFont="1" applyFill="1" applyBorder="1"/>
    <xf numFmtId="0" fontId="41" fillId="14" borderId="8" xfId="10" applyFont="1" applyFill="1" applyBorder="1"/>
    <xf numFmtId="0" fontId="44" fillId="0" borderId="0" xfId="0" applyFont="1"/>
    <xf numFmtId="0" fontId="45" fillId="0" borderId="0" xfId="0" applyFont="1"/>
    <xf numFmtId="0" fontId="41" fillId="15" borderId="8" xfId="10" applyFont="1" applyFill="1" applyBorder="1"/>
    <xf numFmtId="0" fontId="11" fillId="0" borderId="8" xfId="0" applyFont="1" applyFill="1" applyBorder="1"/>
    <xf numFmtId="166" fontId="11" fillId="0" borderId="8" xfId="9" applyFont="1" applyFill="1" applyBorder="1"/>
    <xf numFmtId="0" fontId="11" fillId="0" borderId="8" xfId="0" applyFont="1" applyFill="1" applyBorder="1" applyAlignment="1">
      <alignment horizontal="center"/>
    </xf>
    <xf numFmtId="4" fontId="12" fillId="10" borderId="0" xfId="0" applyNumberFormat="1" applyFont="1" applyFill="1" applyAlignment="1">
      <alignment horizontal="center" vertical="center"/>
    </xf>
    <xf numFmtId="3" fontId="12" fillId="6" borderId="8" xfId="0" applyNumberFormat="1" applyFont="1" applyFill="1" applyBorder="1" applyAlignment="1">
      <alignment horizontal="center" vertical="center"/>
    </xf>
    <xf numFmtId="9" fontId="12" fillId="2" borderId="8" xfId="2" applyFont="1" applyFill="1" applyBorder="1" applyAlignment="1">
      <alignment vertical="center"/>
    </xf>
    <xf numFmtId="9" fontId="12" fillId="12" borderId="8" xfId="2" applyFont="1" applyFill="1" applyBorder="1" applyAlignment="1">
      <alignment vertical="center"/>
    </xf>
    <xf numFmtId="3" fontId="12" fillId="9" borderId="0" xfId="0" applyNumberFormat="1" applyFont="1" applyFill="1" applyAlignment="1">
      <alignment vertical="center"/>
    </xf>
    <xf numFmtId="9" fontId="12" fillId="9" borderId="8" xfId="2" applyFont="1" applyFill="1" applyBorder="1" applyAlignment="1">
      <alignment vertical="center"/>
    </xf>
    <xf numFmtId="9" fontId="12" fillId="11" borderId="8" xfId="2" applyFont="1" applyFill="1" applyBorder="1" applyAlignment="1">
      <alignment vertical="center"/>
    </xf>
    <xf numFmtId="9" fontId="39" fillId="10" borderId="8" xfId="2" applyFont="1" applyFill="1" applyBorder="1" applyAlignment="1">
      <alignment vertical="center"/>
    </xf>
    <xf numFmtId="3" fontId="10" fillId="0" borderId="49" xfId="0" applyNumberFormat="1" applyFont="1" applyBorder="1" applyAlignment="1">
      <alignment vertical="center"/>
    </xf>
    <xf numFmtId="3" fontId="10" fillId="0" borderId="2" xfId="0" applyNumberFormat="1" applyFont="1" applyBorder="1" applyAlignment="1">
      <alignment vertical="center"/>
    </xf>
    <xf numFmtId="9" fontId="40" fillId="10" borderId="8" xfId="2" applyFont="1" applyFill="1" applyBorder="1" applyAlignment="1">
      <alignment vertical="center"/>
    </xf>
    <xf numFmtId="9" fontId="40" fillId="0" borderId="49" xfId="2" applyFont="1" applyBorder="1" applyAlignment="1">
      <alignment vertical="center"/>
    </xf>
    <xf numFmtId="3" fontId="10" fillId="0" borderId="53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9" fontId="38" fillId="11" borderId="8" xfId="2" applyFont="1" applyFill="1" applyBorder="1" applyAlignment="1">
      <alignment vertical="center"/>
    </xf>
    <xf numFmtId="169" fontId="12" fillId="11" borderId="8" xfId="1" applyNumberFormat="1" applyFont="1" applyFill="1" applyBorder="1" applyAlignment="1">
      <alignment vertical="center"/>
    </xf>
    <xf numFmtId="3" fontId="38" fillId="11" borderId="8" xfId="0" applyNumberFormat="1" applyFont="1" applyFill="1" applyBorder="1" applyAlignment="1">
      <alignment vertical="center"/>
    </xf>
    <xf numFmtId="9" fontId="38" fillId="11" borderId="14" xfId="2" applyFont="1" applyFill="1" applyBorder="1" applyAlignment="1">
      <alignment vertical="center"/>
    </xf>
    <xf numFmtId="169" fontId="12" fillId="11" borderId="51" xfId="1" applyNumberFormat="1" applyFont="1" applyFill="1" applyBorder="1" applyAlignment="1">
      <alignment vertical="center"/>
    </xf>
    <xf numFmtId="4" fontId="37" fillId="12" borderId="47" xfId="0" applyNumberFormat="1" applyFont="1" applyFill="1" applyBorder="1" applyAlignment="1">
      <alignment horizontal="center" vertical="center"/>
    </xf>
    <xf numFmtId="4" fontId="37" fillId="12" borderId="1" xfId="0" applyNumberFormat="1" applyFont="1" applyFill="1" applyBorder="1" applyAlignment="1">
      <alignment horizontal="center" vertical="center"/>
    </xf>
    <xf numFmtId="4" fontId="37" fillId="12" borderId="34" xfId="0" applyNumberFormat="1" applyFont="1" applyFill="1" applyBorder="1" applyAlignment="1">
      <alignment horizontal="center" vertical="center"/>
    </xf>
    <xf numFmtId="3" fontId="10" fillId="0" borderId="39" xfId="0" applyNumberFormat="1" applyFont="1" applyBorder="1" applyAlignment="1">
      <alignment vertical="center"/>
    </xf>
    <xf numFmtId="10" fontId="46" fillId="0" borderId="0" xfId="2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3" fontId="0" fillId="0" borderId="0" xfId="0" applyNumberFormat="1"/>
    <xf numFmtId="0" fontId="43" fillId="0" borderId="0" xfId="11"/>
    <xf numFmtId="0" fontId="22" fillId="0" borderId="0" xfId="11" applyFont="1" applyAlignment="1">
      <alignment vertical="top" wrapText="1"/>
    </xf>
    <xf numFmtId="0" fontId="50" fillId="16" borderId="59" xfId="11" applyFont="1" applyFill="1" applyBorder="1" applyAlignment="1">
      <alignment vertical="top" wrapText="1"/>
    </xf>
    <xf numFmtId="0" fontId="50" fillId="16" borderId="60" xfId="11" applyFont="1" applyFill="1" applyBorder="1" applyAlignment="1">
      <alignment horizontal="center" vertical="top" wrapText="1"/>
    </xf>
    <xf numFmtId="0" fontId="50" fillId="16" borderId="61" xfId="11" applyFont="1" applyFill="1" applyBorder="1" applyAlignment="1">
      <alignment horizontal="center" vertical="top" wrapText="1"/>
    </xf>
    <xf numFmtId="1" fontId="50" fillId="17" borderId="64" xfId="11" applyNumberFormat="1" applyFont="1" applyFill="1" applyBorder="1" applyAlignment="1">
      <alignment horizontal="left" vertical="top" wrapText="1"/>
    </xf>
    <xf numFmtId="0" fontId="50" fillId="17" borderId="64" xfId="11" applyFont="1" applyFill="1" applyBorder="1" applyAlignment="1">
      <alignment horizontal="right" vertical="top" wrapText="1"/>
    </xf>
    <xf numFmtId="4" fontId="50" fillId="17" borderId="64" xfId="11" applyNumberFormat="1" applyFont="1" applyFill="1" applyBorder="1" applyAlignment="1">
      <alignment horizontal="right" vertical="top" wrapText="1"/>
    </xf>
    <xf numFmtId="0" fontId="50" fillId="17" borderId="65" xfId="11" applyFont="1" applyFill="1" applyBorder="1" applyAlignment="1">
      <alignment horizontal="right" vertical="top" wrapText="1"/>
    </xf>
    <xf numFmtId="0" fontId="50" fillId="17" borderId="66" xfId="11" applyFont="1" applyFill="1" applyBorder="1" applyAlignment="1">
      <alignment horizontal="right" vertical="top" wrapText="1"/>
    </xf>
    <xf numFmtId="0" fontId="51" fillId="18" borderId="64" xfId="11" applyFont="1" applyFill="1" applyBorder="1" applyAlignment="1">
      <alignment vertical="top" wrapText="1" indent="1"/>
    </xf>
    <xf numFmtId="0" fontId="51" fillId="18" borderId="64" xfId="11" applyFont="1" applyFill="1" applyBorder="1" applyAlignment="1">
      <alignment horizontal="right" vertical="top" wrapText="1"/>
    </xf>
    <xf numFmtId="4" fontId="51" fillId="18" borderId="64" xfId="11" applyNumberFormat="1" applyFont="1" applyFill="1" applyBorder="1" applyAlignment="1">
      <alignment horizontal="right" vertical="top" wrapText="1"/>
    </xf>
    <xf numFmtId="0" fontId="51" fillId="18" borderId="65" xfId="11" applyFont="1" applyFill="1" applyBorder="1" applyAlignment="1">
      <alignment horizontal="right" vertical="top" wrapText="1"/>
    </xf>
    <xf numFmtId="0" fontId="51" fillId="18" borderId="66" xfId="11" applyFont="1" applyFill="1" applyBorder="1" applyAlignment="1">
      <alignment horizontal="right" vertical="top" wrapText="1"/>
    </xf>
    <xf numFmtId="0" fontId="52" fillId="0" borderId="64" xfId="11" applyFont="1" applyBorder="1" applyAlignment="1">
      <alignment vertical="top" wrapText="1" indent="2"/>
    </xf>
    <xf numFmtId="0" fontId="52" fillId="0" borderId="64" xfId="11" applyFont="1" applyBorder="1" applyAlignment="1">
      <alignment horizontal="right" vertical="top" wrapText="1"/>
    </xf>
    <xf numFmtId="0" fontId="52" fillId="0" borderId="65" xfId="11" applyFont="1" applyBorder="1" applyAlignment="1">
      <alignment horizontal="right" vertical="top" wrapText="1"/>
    </xf>
    <xf numFmtId="0" fontId="52" fillId="0" borderId="68" xfId="11" applyFont="1" applyBorder="1" applyAlignment="1">
      <alignment horizontal="right" vertical="top" wrapText="1"/>
    </xf>
    <xf numFmtId="0" fontId="52" fillId="0" borderId="66" xfId="11" applyFont="1" applyBorder="1" applyAlignment="1">
      <alignment horizontal="right" vertical="top" wrapText="1"/>
    </xf>
    <xf numFmtId="2" fontId="52" fillId="19" borderId="64" xfId="11" applyNumberFormat="1" applyFont="1" applyFill="1" applyBorder="1" applyAlignment="1">
      <alignment horizontal="right" vertical="top" wrapText="1"/>
    </xf>
    <xf numFmtId="4" fontId="52" fillId="19" borderId="64" xfId="11" applyNumberFormat="1" applyFont="1" applyFill="1" applyBorder="1" applyAlignment="1">
      <alignment horizontal="right" vertical="top" wrapText="1"/>
    </xf>
    <xf numFmtId="4" fontId="52" fillId="20" borderId="64" xfId="11" applyNumberFormat="1" applyFont="1" applyFill="1" applyBorder="1" applyAlignment="1">
      <alignment horizontal="right" vertical="top" wrapText="1"/>
    </xf>
    <xf numFmtId="4" fontId="52" fillId="0" borderId="64" xfId="11" applyNumberFormat="1" applyFont="1" applyBorder="1" applyAlignment="1">
      <alignment horizontal="right" vertical="top" wrapText="1"/>
    </xf>
    <xf numFmtId="4" fontId="52" fillId="6" borderId="64" xfId="11" applyNumberFormat="1" applyFont="1" applyFill="1" applyBorder="1" applyAlignment="1">
      <alignment horizontal="right" vertical="top" wrapText="1"/>
    </xf>
    <xf numFmtId="0" fontId="51" fillId="18" borderId="68" xfId="11" applyFont="1" applyFill="1" applyBorder="1" applyAlignment="1">
      <alignment horizontal="right" vertical="top" wrapText="1"/>
    </xf>
    <xf numFmtId="3" fontId="9" fillId="0" borderId="0" xfId="0" applyNumberFormat="1" applyFont="1"/>
    <xf numFmtId="4" fontId="12" fillId="10" borderId="30" xfId="0" applyNumberFormat="1" applyFont="1" applyFill="1" applyBorder="1" applyAlignment="1">
      <alignment horizontal="center" vertical="center"/>
    </xf>
    <xf numFmtId="4" fontId="12" fillId="10" borderId="31" xfId="0" applyNumberFormat="1" applyFont="1" applyFill="1" applyBorder="1" applyAlignment="1">
      <alignment horizontal="center" vertical="center"/>
    </xf>
    <xf numFmtId="4" fontId="12" fillId="10" borderId="32" xfId="0" applyNumberFormat="1" applyFont="1" applyFill="1" applyBorder="1" applyAlignment="1">
      <alignment horizontal="center" vertical="center"/>
    </xf>
    <xf numFmtId="4" fontId="12" fillId="10" borderId="23" xfId="0" applyNumberFormat="1" applyFont="1" applyFill="1" applyBorder="1" applyAlignment="1">
      <alignment horizontal="center" vertical="center"/>
    </xf>
    <xf numFmtId="4" fontId="12" fillId="10" borderId="24" xfId="0" applyNumberFormat="1" applyFont="1" applyFill="1" applyBorder="1" applyAlignment="1">
      <alignment horizontal="center" vertical="center"/>
    </xf>
    <xf numFmtId="4" fontId="12" fillId="12" borderId="31" xfId="0" applyNumberFormat="1" applyFont="1" applyFill="1" applyBorder="1" applyAlignment="1">
      <alignment horizontal="center" vertical="center"/>
    </xf>
    <xf numFmtId="4" fontId="12" fillId="12" borderId="32" xfId="0" applyNumberFormat="1" applyFont="1" applyFill="1" applyBorder="1" applyAlignment="1">
      <alignment horizontal="center" vertical="center"/>
    </xf>
    <xf numFmtId="0" fontId="52" fillId="0" borderId="64" xfId="11" applyFont="1" applyBorder="1" applyAlignment="1">
      <alignment vertical="top" wrapText="1" indent="2"/>
    </xf>
    <xf numFmtId="4" fontId="52" fillId="0" borderId="64" xfId="11" applyNumberFormat="1" applyFont="1" applyBorder="1" applyAlignment="1">
      <alignment horizontal="right" vertical="top" wrapText="1"/>
    </xf>
    <xf numFmtId="2" fontId="52" fillId="0" borderId="64" xfId="11" applyNumberFormat="1" applyFont="1" applyBorder="1" applyAlignment="1">
      <alignment horizontal="right" vertical="top" wrapText="1"/>
    </xf>
    <xf numFmtId="0" fontId="51" fillId="18" borderId="64" xfId="11" applyFont="1" applyFill="1" applyBorder="1" applyAlignment="1">
      <alignment vertical="top" wrapText="1" indent="1"/>
    </xf>
    <xf numFmtId="4" fontId="51" fillId="18" borderId="64" xfId="11" applyNumberFormat="1" applyFont="1" applyFill="1" applyBorder="1" applyAlignment="1">
      <alignment horizontal="right" vertical="top" wrapText="1"/>
    </xf>
    <xf numFmtId="0" fontId="51" fillId="16" borderId="60" xfId="11" applyFont="1" applyFill="1" applyBorder="1" applyAlignment="1">
      <alignment horizontal="center" vertical="top"/>
    </xf>
    <xf numFmtId="0" fontId="51" fillId="16" borderId="62" xfId="11" applyFont="1" applyFill="1" applyBorder="1" applyAlignment="1">
      <alignment horizontal="center" vertical="top"/>
    </xf>
    <xf numFmtId="0" fontId="51" fillId="16" borderId="63" xfId="11" applyFont="1" applyFill="1" applyBorder="1" applyAlignment="1">
      <alignment horizontal="center" vertical="top"/>
    </xf>
    <xf numFmtId="0" fontId="51" fillId="16" borderId="67" xfId="11" applyFont="1" applyFill="1" applyBorder="1" applyAlignment="1">
      <alignment horizontal="center" vertical="top"/>
    </xf>
    <xf numFmtId="0" fontId="50" fillId="16" borderId="59" xfId="11" applyFont="1" applyFill="1" applyBorder="1" applyAlignment="1">
      <alignment vertical="top" wrapText="1"/>
    </xf>
    <xf numFmtId="1" fontId="50" fillId="17" borderId="64" xfId="11" applyNumberFormat="1" applyFont="1" applyFill="1" applyBorder="1" applyAlignment="1">
      <alignment horizontal="left" vertical="top" wrapText="1"/>
    </xf>
    <xf numFmtId="4" fontId="50" fillId="17" borderId="64" xfId="11" applyNumberFormat="1" applyFont="1" applyFill="1" applyBorder="1" applyAlignment="1">
      <alignment horizontal="right" vertical="top" wrapText="1"/>
    </xf>
    <xf numFmtId="0" fontId="50" fillId="16" borderId="60" xfId="11" applyFont="1" applyFill="1" applyBorder="1" applyAlignment="1">
      <alignment horizontal="center" vertical="top" wrapText="1"/>
    </xf>
    <xf numFmtId="0" fontId="50" fillId="16" borderId="61" xfId="11" applyFont="1" applyFill="1" applyBorder="1" applyAlignment="1">
      <alignment horizontal="center" vertical="top" wrapText="1"/>
    </xf>
    <xf numFmtId="0" fontId="51" fillId="16" borderId="61" xfId="11" applyFont="1" applyFill="1" applyBorder="1" applyAlignment="1">
      <alignment horizontal="center" vertical="top"/>
    </xf>
    <xf numFmtId="0" fontId="48" fillId="0" borderId="0" xfId="11" applyFont="1" applyAlignment="1">
      <alignment wrapText="1"/>
    </xf>
    <xf numFmtId="0" fontId="49" fillId="0" borderId="0" xfId="11" applyFont="1" applyAlignment="1">
      <alignment wrapText="1"/>
    </xf>
    <xf numFmtId="0" fontId="22" fillId="0" borderId="0" xfId="11" applyFont="1" applyAlignment="1">
      <alignment vertical="top" wrapText="1"/>
    </xf>
    <xf numFmtId="0" fontId="51" fillId="16" borderId="59" xfId="11" applyFont="1" applyFill="1" applyBorder="1" applyAlignment="1">
      <alignment horizontal="center" vertical="top"/>
    </xf>
    <xf numFmtId="4" fontId="37" fillId="10" borderId="23" xfId="0" applyNumberFormat="1" applyFont="1" applyFill="1" applyBorder="1" applyAlignment="1">
      <alignment horizontal="center" vertical="center"/>
    </xf>
    <xf numFmtId="3" fontId="12" fillId="2" borderId="7" xfId="0" applyNumberFormat="1" applyFont="1" applyFill="1" applyBorder="1" applyAlignment="1">
      <alignment vertical="center"/>
    </xf>
    <xf numFmtId="3" fontId="13" fillId="12" borderId="23" xfId="0" applyNumberFormat="1" applyFont="1" applyFill="1" applyBorder="1" applyAlignment="1">
      <alignment vertical="center"/>
    </xf>
    <xf numFmtId="3" fontId="13" fillId="9" borderId="69" xfId="0" applyNumberFormat="1" applyFont="1" applyFill="1" applyBorder="1" applyAlignment="1">
      <alignment vertical="center"/>
    </xf>
    <xf numFmtId="3" fontId="13" fillId="9" borderId="27" xfId="0" applyNumberFormat="1" applyFont="1" applyFill="1" applyBorder="1" applyAlignment="1">
      <alignment vertical="center"/>
    </xf>
    <xf numFmtId="10" fontId="13" fillId="9" borderId="27" xfId="0" applyNumberFormat="1" applyFont="1" applyFill="1" applyBorder="1" applyAlignment="1">
      <alignment vertical="center"/>
    </xf>
    <xf numFmtId="3" fontId="13" fillId="9" borderId="70" xfId="0" applyNumberFormat="1" applyFont="1" applyFill="1" applyBorder="1" applyAlignment="1">
      <alignment vertical="center"/>
    </xf>
    <xf numFmtId="3" fontId="13" fillId="11" borderId="71" xfId="0" applyNumberFormat="1" applyFont="1" applyFill="1" applyBorder="1" applyAlignment="1">
      <alignment vertical="center"/>
    </xf>
    <xf numFmtId="3" fontId="10" fillId="0" borderId="27" xfId="0" applyNumberFormat="1" applyFont="1" applyFill="1" applyBorder="1" applyAlignment="1">
      <alignment vertical="center"/>
    </xf>
    <xf numFmtId="9" fontId="40" fillId="0" borderId="72" xfId="2" applyFont="1" applyFill="1" applyBorder="1" applyAlignment="1">
      <alignment vertical="center"/>
    </xf>
    <xf numFmtId="3" fontId="10" fillId="0" borderId="73" xfId="0" applyNumberFormat="1" applyFont="1" applyFill="1" applyBorder="1" applyAlignment="1">
      <alignment vertical="center"/>
    </xf>
    <xf numFmtId="3" fontId="13" fillId="11" borderId="23" xfId="0" applyNumberFormat="1" applyFont="1" applyFill="1" applyBorder="1" applyAlignment="1">
      <alignment vertical="center"/>
    </xf>
    <xf numFmtId="9" fontId="38" fillId="11" borderId="23" xfId="2" applyFont="1" applyFill="1" applyBorder="1" applyAlignment="1">
      <alignment vertical="center"/>
    </xf>
    <xf numFmtId="3" fontId="16" fillId="0" borderId="70" xfId="2" applyNumberFormat="1" applyFont="1" applyFill="1" applyBorder="1" applyAlignment="1">
      <alignment horizontal="right" vertical="center"/>
    </xf>
    <xf numFmtId="0" fontId="54" fillId="21" borderId="8" xfId="15" applyBorder="1" applyAlignment="1">
      <alignment wrapText="1"/>
    </xf>
    <xf numFmtId="0" fontId="9" fillId="0" borderId="0" xfId="0" applyFont="1" applyAlignment="1">
      <alignment wrapText="1"/>
    </xf>
    <xf numFmtId="0" fontId="54" fillId="21" borderId="12" xfId="15" applyBorder="1" applyAlignment="1">
      <alignment horizontal="left" wrapText="1"/>
    </xf>
    <xf numFmtId="0" fontId="54" fillId="21" borderId="74" xfId="15" applyBorder="1" applyAlignment="1">
      <alignment horizontal="left" wrapText="1"/>
    </xf>
    <xf numFmtId="0" fontId="54" fillId="21" borderId="18" xfId="15" applyBorder="1" applyAlignment="1">
      <alignment horizontal="left" wrapText="1"/>
    </xf>
    <xf numFmtId="0" fontId="55" fillId="21" borderId="8" xfId="15" applyFont="1" applyBorder="1" applyAlignment="1">
      <alignment wrapText="1"/>
    </xf>
  </cellXfs>
  <cellStyles count="16">
    <cellStyle name="Normal_BS" xfId="4"/>
    <cellStyle name="Normal_CF" xfId="8"/>
    <cellStyle name="Обычный" xfId="0" builtinId="0"/>
    <cellStyle name="Обычный 2" xfId="6"/>
    <cellStyle name="Обычный 3" xfId="10"/>
    <cellStyle name="Обычный 4" xfId="11"/>
    <cellStyle name="Обычный 5" xfId="12"/>
    <cellStyle name="Обычный 5 2" xfId="13"/>
    <cellStyle name="Обычный 6" xfId="14"/>
    <cellStyle name="Процентный" xfId="2" builtinId="5"/>
    <cellStyle name="Финансовый" xfId="1" builtinId="3"/>
    <cellStyle name="Финансовый 2" xfId="3"/>
    <cellStyle name="Финансовый 2 3" xfId="5"/>
    <cellStyle name="Финансовый 3" xfId="9"/>
    <cellStyle name="Финансовый 6" xfId="7"/>
    <cellStyle name="Хороший" xfId="15" builtinId="26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  <color rgb="FFFFCC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Динамика</a:t>
            </a:r>
            <a:r>
              <a:rPr lang="ru-RU" baseline="0"/>
              <a:t> продаж</a:t>
            </a:r>
            <a:endParaRPr lang="ru-RU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динамика!$A$2</c:f>
              <c:strCache>
                <c:ptCount val="1"/>
                <c:pt idx="0">
                  <c:v>Оценка ТС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динамика!$B$1:$H$1</c:f>
              <c:strCache>
                <c:ptCount val="7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</c:strCache>
            </c:strRef>
          </c:cat>
          <c:val>
            <c:numRef>
              <c:f>динамика!$B$2:$H$2</c:f>
              <c:numCache>
                <c:formatCode>#,##0</c:formatCode>
                <c:ptCount val="7"/>
                <c:pt idx="0">
                  <c:v>556274</c:v>
                </c:pt>
                <c:pt idx="1">
                  <c:v>614566</c:v>
                </c:pt>
                <c:pt idx="2">
                  <c:v>667590</c:v>
                </c:pt>
                <c:pt idx="3">
                  <c:v>518910</c:v>
                </c:pt>
                <c:pt idx="4">
                  <c:v>400237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FC-4024-85AD-5292730AC371}"/>
            </c:ext>
          </c:extLst>
        </c:ser>
        <c:ser>
          <c:idx val="1"/>
          <c:order val="1"/>
          <c:tx>
            <c:strRef>
              <c:f>динамика!$A$3</c:f>
              <c:strCache>
                <c:ptCount val="1"/>
                <c:pt idx="0">
                  <c:v>Оценка имущества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динамика!$B$1:$H$1</c:f>
              <c:strCache>
                <c:ptCount val="7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</c:strCache>
            </c:strRef>
          </c:cat>
          <c:val>
            <c:numRef>
              <c:f>динамика!$B$3:$H$3</c:f>
              <c:numCache>
                <c:formatCode>#,##0</c:formatCode>
                <c:ptCount val="7"/>
                <c:pt idx="0">
                  <c:v>83900</c:v>
                </c:pt>
                <c:pt idx="1">
                  <c:v>219700</c:v>
                </c:pt>
                <c:pt idx="2">
                  <c:v>266800</c:v>
                </c:pt>
                <c:pt idx="3">
                  <c:v>108600</c:v>
                </c:pt>
                <c:pt idx="4">
                  <c:v>301050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FC-4024-85AD-5292730AC371}"/>
            </c:ext>
          </c:extLst>
        </c:ser>
        <c:ser>
          <c:idx val="2"/>
          <c:order val="2"/>
          <c:tx>
            <c:strRef>
              <c:f>динамика!$A$4</c:f>
              <c:strCache>
                <c:ptCount val="1"/>
                <c:pt idx="0">
                  <c:v>Аварком/Карты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динамика!$B$1:$H$1</c:f>
              <c:strCache>
                <c:ptCount val="7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</c:strCache>
            </c:strRef>
          </c:cat>
          <c:val>
            <c:numRef>
              <c:f>динамика!$B$4:$H$4</c:f>
              <c:numCache>
                <c:formatCode>#,##0</c:formatCode>
                <c:ptCount val="7"/>
                <c:pt idx="0">
                  <c:v>1234810</c:v>
                </c:pt>
                <c:pt idx="1">
                  <c:v>1292567</c:v>
                </c:pt>
                <c:pt idx="2">
                  <c:v>1613792</c:v>
                </c:pt>
                <c:pt idx="3">
                  <c:v>891000</c:v>
                </c:pt>
                <c:pt idx="4">
                  <c:v>787930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FC-4024-85AD-5292730AC371}"/>
            </c:ext>
          </c:extLst>
        </c:ser>
        <c:ser>
          <c:idx val="3"/>
          <c:order val="3"/>
          <c:tx>
            <c:strRef>
              <c:f>динамика!$A$5</c:f>
              <c:strCache>
                <c:ptCount val="1"/>
                <c:pt idx="0">
                  <c:v>Эксперт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динамика!$B$1:$H$1</c:f>
              <c:strCache>
                <c:ptCount val="7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</c:strCache>
            </c:strRef>
          </c:cat>
          <c:val>
            <c:numRef>
              <c:f>динамика!$B$5:$H$5</c:f>
              <c:numCache>
                <c:formatCode>#,##0</c:formatCode>
                <c:ptCount val="7"/>
                <c:pt idx="0">
                  <c:v>1018946</c:v>
                </c:pt>
                <c:pt idx="1">
                  <c:v>1193500</c:v>
                </c:pt>
                <c:pt idx="2">
                  <c:v>1574168</c:v>
                </c:pt>
                <c:pt idx="3">
                  <c:v>1840598</c:v>
                </c:pt>
                <c:pt idx="4">
                  <c:v>1448899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0FC-4024-85AD-5292730AC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90336"/>
        <c:axId val="192191872"/>
      </c:lineChart>
      <c:catAx>
        <c:axId val="19219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2191872"/>
        <c:crosses val="autoZero"/>
        <c:auto val="1"/>
        <c:lblAlgn val="ctr"/>
        <c:lblOffset val="100"/>
        <c:noMultiLvlLbl val="0"/>
      </c:catAx>
      <c:valAx>
        <c:axId val="19219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219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339724</xdr:colOff>
      <xdr:row>0</xdr:row>
      <xdr:rowOff>57150</xdr:rowOff>
    </xdr:from>
    <xdr:to>
      <xdr:col>17</xdr:col>
      <xdr:colOff>253999</xdr:colOff>
      <xdr:row>21</xdr:row>
      <xdr:rowOff>63500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40EE057F-CEBD-4EBE-B385-7F9D9FD58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53;&#1057;/Desktop/&#1057;&#1080;&#1073;&#1072;&#1089;&#1089;&#1080;&#1089;&#1090;/&#1056;&#1072;&#1073;&#1086;&#1095;&#1080;&#1077;/&#1054;&#1090;&#1095;&#1077;&#1090;%20&#1041;&#1072;&#1088;&#1085;&#1072;&#1091;&#1083;%20&#1080;&#1102;&#1083;&#1100;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53;&#1057;/Desktop/&#1057;&#1080;&#1073;&#1072;&#1089;&#1089;&#1080;&#1089;&#1090;/&#1074;&#1077;&#1076;&#1086;&#1084;&#1086;&#1089;&#1090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 (направления)"/>
      <sheetName val="BS"/>
      <sheetName val="CF"/>
      <sheetName val="ДДС"/>
      <sheetName val="КЗ"/>
      <sheetName val="ДЗ"/>
      <sheetName val="Оценка ТС"/>
      <sheetName val="Оценка Имущ"/>
      <sheetName val="АваркомКарты"/>
      <sheetName val="Эксперт"/>
      <sheetName val="list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Оценка ТС</v>
          </cell>
        </row>
        <row r="4">
          <cell r="A4" t="str">
            <v>Оценка Имущ</v>
          </cell>
        </row>
        <row r="5">
          <cell r="A5" t="str">
            <v>Аварком/ Карты АК</v>
          </cell>
        </row>
        <row r="6">
          <cell r="A6" t="str">
            <v>Эксперт</v>
          </cell>
        </row>
        <row r="7">
          <cell r="A7" t="str">
            <v>Офис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1 (4)"/>
      <sheetName val="Лист1 (2)"/>
      <sheetName val="Лист1 (3)"/>
      <sheetName val="Лист2"/>
      <sheetName val="Лист3"/>
      <sheetName val="ШР ГК с 06.05.2019 с ФИО"/>
    </sheetNames>
    <sheetDataSet>
      <sheetData sheetId="0"/>
      <sheetData sheetId="1"/>
      <sheetData sheetId="2"/>
      <sheetData sheetId="3"/>
      <sheetData sheetId="4">
        <row r="3">
          <cell r="B3" t="str">
            <v>АУП</v>
          </cell>
        </row>
        <row r="4">
          <cell r="B4" t="str">
            <v>Оценка ТС</v>
          </cell>
        </row>
        <row r="5">
          <cell r="B5" t="str">
            <v>Оценка Имущ</v>
          </cell>
        </row>
        <row r="6">
          <cell r="B6" t="str">
            <v>Аварком/Карты</v>
          </cell>
        </row>
        <row r="7">
          <cell r="B7" t="str">
            <v>Эксперт</v>
          </cell>
        </row>
      </sheetData>
      <sheetData sheetId="5"/>
      <sheetData sheetId="6">
        <row r="16">
          <cell r="C16" t="str">
            <v>Неделько Константин Борисович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outlinePr summaryBelow="0" summaryRight="0"/>
  </sheetPr>
  <dimension ref="A1:BO59"/>
  <sheetViews>
    <sheetView tabSelected="1" topLeftCell="A3" zoomScale="80" zoomScaleNormal="80" workbookViewId="0">
      <pane xSplit="1" ySplit="11" topLeftCell="B14" activePane="bottomRight" state="frozen"/>
      <selection activeCell="A3" sqref="A3"/>
      <selection pane="topRight" activeCell="B3" sqref="B3"/>
      <selection pane="bottomLeft" activeCell="A11" sqref="A11"/>
      <selection pane="bottomRight" activeCell="BP30" sqref="BP30"/>
    </sheetView>
  </sheetViews>
  <sheetFormatPr defaultColWidth="9.140625" defaultRowHeight="15" outlineLevelRow="1" outlineLevelCol="1"/>
  <cols>
    <col min="1" max="1" width="47.85546875" style="6" customWidth="1"/>
    <col min="2" max="2" width="12.42578125" style="7" customWidth="1" collapsed="1"/>
    <col min="3" max="6" width="10.5703125" style="7" hidden="1" customWidth="1" outlineLevel="1"/>
    <col min="7" max="7" width="13.85546875" style="7" customWidth="1" collapsed="1"/>
    <col min="8" max="8" width="14" style="7" hidden="1" customWidth="1" outlineLevel="1"/>
    <col min="9" max="9" width="16.7109375" style="7" hidden="1" customWidth="1" outlineLevel="1"/>
    <col min="10" max="10" width="18.28515625" style="7" hidden="1" customWidth="1" outlineLevel="1"/>
    <col min="11" max="11" width="14.85546875" style="7" hidden="1" customWidth="1" outlineLevel="1"/>
    <col min="12" max="12" width="10.5703125" style="7" customWidth="1" collapsed="1"/>
    <col min="13" max="16" width="10.5703125" style="7" hidden="1" customWidth="1" outlineLevel="1"/>
    <col min="17" max="17" width="9.85546875" style="7" bestFit="1" customWidth="1" collapsed="1"/>
    <col min="18" max="21" width="9.140625" style="7" hidden="1" customWidth="1" outlineLevel="1"/>
    <col min="22" max="22" width="9.140625" style="7" collapsed="1"/>
    <col min="23" max="25" width="9.140625" style="7" hidden="1" customWidth="1" outlineLevel="1"/>
    <col min="26" max="26" width="11.42578125" style="7" hidden="1" customWidth="1" outlineLevel="1"/>
    <col min="27" max="27" width="9.140625" style="7" collapsed="1"/>
    <col min="28" max="31" width="9.140625" style="7" hidden="1" customWidth="1" outlineLevel="1"/>
    <col min="32" max="32" width="9.140625" style="7" collapsed="1"/>
    <col min="33" max="35" width="9.140625" style="7" hidden="1" customWidth="1" outlineLevel="1"/>
    <col min="36" max="36" width="11" style="7" hidden="1" customWidth="1" outlineLevel="1"/>
    <col min="37" max="37" width="9.140625" style="7" collapsed="1"/>
    <col min="38" max="41" width="9.140625" style="7" hidden="1" customWidth="1" outlineLevel="1"/>
    <col min="42" max="42" width="9.140625" style="7" customWidth="1" collapsed="1"/>
    <col min="43" max="45" width="9.140625" style="7" hidden="1" customWidth="1" outlineLevel="1"/>
    <col min="46" max="46" width="5" style="7" customWidth="1" outlineLevel="1"/>
    <col min="47" max="47" width="11.85546875" style="7" customWidth="1" collapsed="1"/>
    <col min="48" max="48" width="11.42578125" style="7" hidden="1" customWidth="1" outlineLevel="1"/>
    <col min="49" max="49" width="9.85546875" style="7" hidden="1" customWidth="1" outlineLevel="1"/>
    <col min="50" max="51" width="9.140625" style="7" hidden="1" customWidth="1" outlineLevel="1"/>
    <col min="52" max="52" width="9.140625" style="7" collapsed="1"/>
    <col min="53" max="56" width="9.140625" style="7" hidden="1" customWidth="1" outlineLevel="1"/>
    <col min="57" max="57" width="9.140625" style="7" collapsed="1"/>
    <col min="58" max="61" width="9.140625" style="7" hidden="1" customWidth="1" outlineLevel="1"/>
    <col min="62" max="62" width="9.140625" style="7" collapsed="1"/>
    <col min="63" max="66" width="9.140625" style="7" hidden="1" customWidth="1" outlineLevel="1"/>
    <col min="67" max="67" width="97.7109375" style="332" customWidth="1"/>
    <col min="68" max="16384" width="9.140625" style="7"/>
  </cols>
  <sheetData>
    <row r="1" spans="1:67" s="2" customFormat="1" ht="20.25">
      <c r="A1" s="1" t="s">
        <v>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4"/>
      <c r="AP1" s="5"/>
      <c r="BO1" s="332"/>
    </row>
    <row r="3" spans="1:67">
      <c r="A3" s="6" t="s">
        <v>271</v>
      </c>
    </row>
    <row r="4" spans="1:67">
      <c r="A4" s="6" t="s">
        <v>272</v>
      </c>
    </row>
    <row r="5" spans="1:67" ht="15.75" thickBot="1"/>
    <row r="6" spans="1:67" s="8" customFormat="1" ht="21.75" thickBot="1">
      <c r="A6" s="294" t="s">
        <v>129</v>
      </c>
      <c r="B6" s="296" t="s">
        <v>176</v>
      </c>
      <c r="C6" s="296"/>
      <c r="D6" s="296"/>
      <c r="E6" s="296"/>
      <c r="F6" s="297"/>
      <c r="G6" s="292" t="s">
        <v>1</v>
      </c>
      <c r="H6" s="292"/>
      <c r="I6" s="292"/>
      <c r="J6" s="292"/>
      <c r="K6" s="293"/>
      <c r="L6" s="292" t="s">
        <v>38</v>
      </c>
      <c r="M6" s="292"/>
      <c r="N6" s="292"/>
      <c r="O6" s="292"/>
      <c r="P6" s="293"/>
      <c r="Q6" s="291" t="s">
        <v>39</v>
      </c>
      <c r="R6" s="292"/>
      <c r="S6" s="292"/>
      <c r="T6" s="292"/>
      <c r="U6" s="293"/>
      <c r="V6" s="291" t="s">
        <v>40</v>
      </c>
      <c r="W6" s="292"/>
      <c r="X6" s="292"/>
      <c r="Y6" s="292"/>
      <c r="Z6" s="293"/>
      <c r="AA6" s="291" t="s">
        <v>41</v>
      </c>
      <c r="AB6" s="292"/>
      <c r="AC6" s="292"/>
      <c r="AD6" s="292"/>
      <c r="AE6" s="293"/>
      <c r="AF6" s="291" t="s">
        <v>42</v>
      </c>
      <c r="AG6" s="292"/>
      <c r="AH6" s="292"/>
      <c r="AI6" s="292"/>
      <c r="AJ6" s="293"/>
      <c r="AK6" s="291" t="s">
        <v>43</v>
      </c>
      <c r="AL6" s="292"/>
      <c r="AM6" s="292"/>
      <c r="AN6" s="292"/>
      <c r="AO6" s="293"/>
      <c r="AP6" s="291" t="s">
        <v>44</v>
      </c>
      <c r="AQ6" s="292"/>
      <c r="AR6" s="292"/>
      <c r="AS6" s="292"/>
      <c r="AT6" s="293"/>
      <c r="AU6" s="291" t="s">
        <v>45</v>
      </c>
      <c r="AV6" s="292"/>
      <c r="AW6" s="292"/>
      <c r="AX6" s="292"/>
      <c r="AY6" s="293"/>
      <c r="AZ6" s="291" t="s">
        <v>46</v>
      </c>
      <c r="BA6" s="292"/>
      <c r="BB6" s="292"/>
      <c r="BC6" s="292"/>
      <c r="BD6" s="293"/>
      <c r="BE6" s="291" t="s">
        <v>47</v>
      </c>
      <c r="BF6" s="292"/>
      <c r="BG6" s="292"/>
      <c r="BH6" s="292"/>
      <c r="BI6" s="293"/>
      <c r="BJ6" s="291" t="s">
        <v>48</v>
      </c>
      <c r="BK6" s="292"/>
      <c r="BL6" s="292"/>
      <c r="BM6" s="292"/>
      <c r="BN6" s="292"/>
      <c r="BO6" s="336" t="s">
        <v>262</v>
      </c>
    </row>
    <row r="7" spans="1:67" s="8" customFormat="1" ht="15.75" thickBot="1">
      <c r="A7" s="295"/>
      <c r="B7" s="257" t="s">
        <v>21</v>
      </c>
      <c r="C7" s="258" t="s">
        <v>16</v>
      </c>
      <c r="D7" s="258" t="s">
        <v>17</v>
      </c>
      <c r="E7" s="258" t="s">
        <v>18</v>
      </c>
      <c r="F7" s="259" t="s">
        <v>19</v>
      </c>
      <c r="G7" s="181" t="s">
        <v>21</v>
      </c>
      <c r="H7" s="150" t="s">
        <v>16</v>
      </c>
      <c r="I7" s="150" t="s">
        <v>17</v>
      </c>
      <c r="J7" s="150" t="s">
        <v>18</v>
      </c>
      <c r="K7" s="151" t="s">
        <v>19</v>
      </c>
      <c r="L7" s="181" t="s">
        <v>21</v>
      </c>
      <c r="M7" s="150" t="s">
        <v>16</v>
      </c>
      <c r="N7" s="150" t="s">
        <v>17</v>
      </c>
      <c r="O7" s="150" t="s">
        <v>18</v>
      </c>
      <c r="P7" s="151" t="s">
        <v>19</v>
      </c>
      <c r="Q7" s="149" t="s">
        <v>21</v>
      </c>
      <c r="R7" s="150" t="s">
        <v>16</v>
      </c>
      <c r="S7" s="150" t="s">
        <v>17</v>
      </c>
      <c r="T7" s="150" t="s">
        <v>18</v>
      </c>
      <c r="U7" s="151" t="s">
        <v>19</v>
      </c>
      <c r="V7" s="149" t="s">
        <v>21</v>
      </c>
      <c r="W7" s="150" t="s">
        <v>16</v>
      </c>
      <c r="X7" s="150" t="s">
        <v>17</v>
      </c>
      <c r="Y7" s="150" t="s">
        <v>18</v>
      </c>
      <c r="Z7" s="151" t="s">
        <v>19</v>
      </c>
      <c r="AA7" s="149" t="s">
        <v>21</v>
      </c>
      <c r="AB7" s="150" t="s">
        <v>16</v>
      </c>
      <c r="AC7" s="150" t="s">
        <v>17</v>
      </c>
      <c r="AD7" s="150" t="s">
        <v>18</v>
      </c>
      <c r="AE7" s="151" t="s">
        <v>19</v>
      </c>
      <c r="AF7" s="149" t="s">
        <v>21</v>
      </c>
      <c r="AG7" s="150" t="s">
        <v>16</v>
      </c>
      <c r="AH7" s="150" t="s">
        <v>17</v>
      </c>
      <c r="AI7" s="150" t="s">
        <v>18</v>
      </c>
      <c r="AJ7" s="151" t="s">
        <v>19</v>
      </c>
      <c r="AK7" s="149" t="s">
        <v>21</v>
      </c>
      <c r="AL7" s="150" t="s">
        <v>16</v>
      </c>
      <c r="AM7" s="150" t="s">
        <v>17</v>
      </c>
      <c r="AN7" s="150" t="s">
        <v>18</v>
      </c>
      <c r="AO7" s="151" t="s">
        <v>19</v>
      </c>
      <c r="AP7" s="149" t="s">
        <v>21</v>
      </c>
      <c r="AQ7" s="150" t="s">
        <v>16</v>
      </c>
      <c r="AR7" s="150" t="s">
        <v>17</v>
      </c>
      <c r="AS7" s="150" t="s">
        <v>18</v>
      </c>
      <c r="AT7" s="151" t="s">
        <v>19</v>
      </c>
      <c r="AU7" s="149" t="s">
        <v>21</v>
      </c>
      <c r="AV7" s="150" t="s">
        <v>16</v>
      </c>
      <c r="AW7" s="150" t="s">
        <v>17</v>
      </c>
      <c r="AX7" s="150" t="s">
        <v>18</v>
      </c>
      <c r="AY7" s="151" t="s">
        <v>19</v>
      </c>
      <c r="AZ7" s="149" t="s">
        <v>21</v>
      </c>
      <c r="BA7" s="150" t="s">
        <v>16</v>
      </c>
      <c r="BB7" s="150" t="s">
        <v>17</v>
      </c>
      <c r="BC7" s="150" t="s">
        <v>18</v>
      </c>
      <c r="BD7" s="151" t="s">
        <v>19</v>
      </c>
      <c r="BE7" s="149" t="s">
        <v>21</v>
      </c>
      <c r="BF7" s="150" t="s">
        <v>16</v>
      </c>
      <c r="BG7" s="150" t="s">
        <v>17</v>
      </c>
      <c r="BH7" s="150" t="s">
        <v>18</v>
      </c>
      <c r="BI7" s="151" t="s">
        <v>19</v>
      </c>
      <c r="BJ7" s="149" t="s">
        <v>21</v>
      </c>
      <c r="BK7" s="150" t="s">
        <v>16</v>
      </c>
      <c r="BL7" s="150" t="s">
        <v>17</v>
      </c>
      <c r="BM7" s="150" t="s">
        <v>18</v>
      </c>
      <c r="BN7" s="317" t="s">
        <v>19</v>
      </c>
      <c r="BO7" s="331"/>
    </row>
    <row r="8" spans="1:67" s="9" customFormat="1" ht="15.75" thickBot="1">
      <c r="A8" s="104" t="s">
        <v>124</v>
      </c>
      <c r="B8" s="193" t="e">
        <f>SUM(C8:F8)</f>
        <v>#REF!</v>
      </c>
      <c r="C8" s="183" t="e">
        <f>SUM(H8,M8,R8,W8,#REF!,AB8,AG8,AL8,AQ8,AV8,BA8,BF8,BK8)</f>
        <v>#REF!</v>
      </c>
      <c r="D8" s="10" t="e">
        <f>SUM(I8,N8,S8,X8,#REF!,AC8,AH8,AM8,AR8,AW8,BB8,BG8,BL8)</f>
        <v>#REF!</v>
      </c>
      <c r="E8" s="10" t="e">
        <f>SUM(J8,O8,T8,Y8,#REF!,AD8,AI8,AN8,AS8,AX8,BC8,BH8,BM8)</f>
        <v>#REF!</v>
      </c>
      <c r="F8" s="105" t="e">
        <f>SUM(K8,P8,U8,Z8,#REF!,AE8,AJ8,AO8,AT8,AY8,BD8,BI8,BN8)</f>
        <v>#REF!</v>
      </c>
      <c r="G8" s="193">
        <f>SUM(H8:K8)</f>
        <v>2700000</v>
      </c>
      <c r="H8" s="183">
        <v>500000</v>
      </c>
      <c r="I8" s="10">
        <v>100000</v>
      </c>
      <c r="J8" s="10">
        <v>1050000</v>
      </c>
      <c r="K8" s="105">
        <v>1050000</v>
      </c>
      <c r="L8" s="193">
        <f>SUM(M8:P8)</f>
        <v>3050000</v>
      </c>
      <c r="M8" s="10">
        <v>500000</v>
      </c>
      <c r="N8" s="10">
        <v>150000</v>
      </c>
      <c r="O8" s="10">
        <v>1200000</v>
      </c>
      <c r="P8" s="105">
        <v>1200000</v>
      </c>
      <c r="Q8" s="193">
        <f>SUM(R8:U8)</f>
        <v>3450000</v>
      </c>
      <c r="R8" s="10">
        <v>500000</v>
      </c>
      <c r="S8" s="10">
        <v>200000</v>
      </c>
      <c r="T8" s="10">
        <v>1250000</v>
      </c>
      <c r="U8" s="105">
        <v>1500000</v>
      </c>
      <c r="V8" s="193">
        <v>4000000</v>
      </c>
      <c r="W8" s="10">
        <v>500000</v>
      </c>
      <c r="X8" s="10">
        <v>200000</v>
      </c>
      <c r="Y8" s="10">
        <v>1300000</v>
      </c>
      <c r="Z8" s="105">
        <v>2000000</v>
      </c>
      <c r="AA8" s="193">
        <v>3380000</v>
      </c>
      <c r="AB8" s="10">
        <v>500000</v>
      </c>
      <c r="AC8" s="10">
        <v>180000</v>
      </c>
      <c r="AD8" s="10">
        <v>1100000</v>
      </c>
      <c r="AE8" s="105">
        <v>1600000</v>
      </c>
      <c r="AF8" s="193">
        <v>3480000</v>
      </c>
      <c r="AG8" s="10">
        <v>500000</v>
      </c>
      <c r="AH8" s="10">
        <v>180000</v>
      </c>
      <c r="AI8" s="10">
        <v>1200000</v>
      </c>
      <c r="AJ8" s="105">
        <v>1600000</v>
      </c>
      <c r="AK8" s="193">
        <f>SUM(AL8:AO8)</f>
        <v>0</v>
      </c>
      <c r="AL8" s="10"/>
      <c r="AM8" s="10"/>
      <c r="AN8" s="10"/>
      <c r="AO8" s="105"/>
      <c r="AP8" s="193">
        <f>SUM(AQ8:AT8)</f>
        <v>0</v>
      </c>
      <c r="AQ8" s="10"/>
      <c r="AR8" s="10"/>
      <c r="AS8" s="10"/>
      <c r="AT8" s="105"/>
      <c r="AU8" s="193">
        <f>SUM(AV8:AY8)</f>
        <v>0</v>
      </c>
      <c r="AV8" s="10"/>
      <c r="AW8" s="10"/>
      <c r="AX8" s="10"/>
      <c r="AY8" s="105"/>
      <c r="AZ8" s="193">
        <f>SUM(BA8:BD8)</f>
        <v>0</v>
      </c>
      <c r="BA8" s="10"/>
      <c r="BB8" s="10"/>
      <c r="BC8" s="10"/>
      <c r="BD8" s="105"/>
      <c r="BE8" s="193">
        <f>SUM(BF8:BI8)</f>
        <v>0</v>
      </c>
      <c r="BF8" s="10"/>
      <c r="BG8" s="10"/>
      <c r="BH8" s="10"/>
      <c r="BI8" s="105"/>
      <c r="BJ8" s="193">
        <f>SUM(BK8:BN8)</f>
        <v>0</v>
      </c>
      <c r="BK8" s="10"/>
      <c r="BL8" s="10"/>
      <c r="BM8" s="10"/>
      <c r="BN8" s="318"/>
      <c r="BO8" s="331" t="s">
        <v>265</v>
      </c>
    </row>
    <row r="9" spans="1:67" s="9" customFormat="1">
      <c r="A9" s="165" t="s">
        <v>125</v>
      </c>
      <c r="B9" s="194" t="e">
        <f>SUM(C9:F9)</f>
        <v>#REF!</v>
      </c>
      <c r="C9" s="184" t="e">
        <f>SUM(H9,M9,R9,W9,#REF!,AB9,AG9,AL9,AQ9,AV9,BA9,BF9,BK9)</f>
        <v>#REF!</v>
      </c>
      <c r="D9" s="167" t="e">
        <f>SUM(I9,N9,S9,X9,#REF!,AC9,AH9,AM9,AR9,AW9,BB9,BG9,BL9)</f>
        <v>#REF!</v>
      </c>
      <c r="E9" s="167" t="e">
        <f>SUM(J9,O9,T9,Y9,#REF!,AD9,AI9,AN9,AS9,AX9,BC9,BH9,BM9)</f>
        <v>#REF!</v>
      </c>
      <c r="F9" s="168" t="e">
        <f>SUM(K9,P9,U9,Z9,#REF!,AE9,AJ9,AO9,AT9,AY9,BD9,BI9,BN9)</f>
        <v>#REF!</v>
      </c>
      <c r="G9" s="194">
        <f>SUM(H9:K9)</f>
        <v>2893930</v>
      </c>
      <c r="H9" s="167">
        <f>571974-12500-3200</f>
        <v>556274</v>
      </c>
      <c r="I9" s="167">
        <f>68200+12500+3200</f>
        <v>83900</v>
      </c>
      <c r="J9" s="167">
        <v>1234810</v>
      </c>
      <c r="K9" s="168">
        <v>1018946</v>
      </c>
      <c r="L9" s="194">
        <f>SUM(M9:P9)</f>
        <v>3320333</v>
      </c>
      <c r="M9" s="167">
        <v>614566</v>
      </c>
      <c r="N9" s="167">
        <v>219700</v>
      </c>
      <c r="O9" s="167">
        <v>1292567</v>
      </c>
      <c r="P9" s="168">
        <v>1193500</v>
      </c>
      <c r="Q9" s="194">
        <f>SUM(R9:U9)</f>
        <v>4122350</v>
      </c>
      <c r="R9" s="167">
        <v>667590</v>
      </c>
      <c r="S9" s="167">
        <v>266800</v>
      </c>
      <c r="T9" s="167">
        <v>1613792</v>
      </c>
      <c r="U9" s="168">
        <v>1574168</v>
      </c>
      <c r="V9" s="194">
        <f>SUM(W9:Z9)</f>
        <v>3359108</v>
      </c>
      <c r="W9" s="167">
        <f>532810-13900</f>
        <v>518910</v>
      </c>
      <c r="X9" s="167">
        <f>94700+13900</f>
        <v>108600</v>
      </c>
      <c r="Y9" s="167">
        <v>891000</v>
      </c>
      <c r="Z9" s="168">
        <v>1840598</v>
      </c>
      <c r="AA9" s="194">
        <f>SUM(AB9:AE9)</f>
        <v>2938116</v>
      </c>
      <c r="AB9" s="167">
        <f>553187-152950</f>
        <v>400237</v>
      </c>
      <c r="AC9" s="167">
        <f>148100+152950</f>
        <v>301050</v>
      </c>
      <c r="AD9" s="167">
        <v>787930</v>
      </c>
      <c r="AE9" s="168">
        <f>1449149-250</f>
        <v>1448899</v>
      </c>
      <c r="AF9" s="194">
        <f>SUM(AG9:AJ9)</f>
        <v>0</v>
      </c>
      <c r="AG9" s="167"/>
      <c r="AH9" s="167"/>
      <c r="AI9" s="167"/>
      <c r="AJ9" s="168"/>
      <c r="AK9" s="194">
        <f>SUM(AL9:AO9)</f>
        <v>0</v>
      </c>
      <c r="AL9" s="167"/>
      <c r="AM9" s="167"/>
      <c r="AN9" s="167"/>
      <c r="AO9" s="168"/>
      <c r="AP9" s="194">
        <f>SUM(AQ9:AT9)</f>
        <v>0</v>
      </c>
      <c r="AQ9" s="167"/>
      <c r="AR9" s="167"/>
      <c r="AS9" s="167"/>
      <c r="AT9" s="168"/>
      <c r="AU9" s="194">
        <f>SUM(AV9:AY9)</f>
        <v>0</v>
      </c>
      <c r="AV9" s="167"/>
      <c r="AW9" s="167"/>
      <c r="AX9" s="167"/>
      <c r="AY9" s="168"/>
      <c r="AZ9" s="194">
        <f>SUM(BA9:BD9)</f>
        <v>0</v>
      </c>
      <c r="BA9" s="167"/>
      <c r="BB9" s="167"/>
      <c r="BC9" s="167"/>
      <c r="BD9" s="168"/>
      <c r="BE9" s="194">
        <f>SUM(BF9:BI9)</f>
        <v>0</v>
      </c>
      <c r="BF9" s="167"/>
      <c r="BG9" s="167"/>
      <c r="BH9" s="167"/>
      <c r="BI9" s="168"/>
      <c r="BJ9" s="194">
        <f>SUM(BK9:BN9)</f>
        <v>0</v>
      </c>
      <c r="BK9" s="167"/>
      <c r="BL9" s="167"/>
      <c r="BM9" s="167"/>
      <c r="BN9" s="319"/>
      <c r="BO9" s="331" t="s">
        <v>266</v>
      </c>
    </row>
    <row r="10" spans="1:67" s="9" customFormat="1">
      <c r="A10" s="117" t="s">
        <v>2</v>
      </c>
      <c r="B10" s="195">
        <v>4014</v>
      </c>
      <c r="C10" s="185" t="e">
        <v>#REF!</v>
      </c>
      <c r="D10" s="119" t="e">
        <v>#REF!</v>
      </c>
      <c r="E10" s="119">
        <v>4458</v>
      </c>
      <c r="F10" s="120" t="e">
        <v>#REF!</v>
      </c>
      <c r="G10" s="195">
        <v>4014</v>
      </c>
      <c r="H10" s="185" t="e">
        <v>#REF!</v>
      </c>
      <c r="I10" s="119" t="e">
        <v>#REF!</v>
      </c>
      <c r="J10" s="119">
        <v>4458</v>
      </c>
      <c r="K10" s="120" t="e">
        <v>#REF!</v>
      </c>
      <c r="L10" s="195" t="e">
        <v>#REF!</v>
      </c>
      <c r="M10" s="119">
        <v>8566</v>
      </c>
      <c r="N10" s="119">
        <v>8566</v>
      </c>
      <c r="O10" s="119" t="e">
        <v>#REF!</v>
      </c>
      <c r="P10" s="120">
        <v>6928</v>
      </c>
      <c r="Q10" s="195" t="e">
        <v>#REF!</v>
      </c>
      <c r="R10" s="119" t="e">
        <v>#REF!</v>
      </c>
      <c r="S10" s="119" t="e">
        <v>#REF!</v>
      </c>
      <c r="T10" s="119">
        <v>7663</v>
      </c>
      <c r="U10" s="120" t="e">
        <v>#REF!</v>
      </c>
      <c r="V10" s="195" t="e">
        <v>#REF!</v>
      </c>
      <c r="W10" s="119" t="e">
        <v>#REF!</v>
      </c>
      <c r="X10" s="119" t="e">
        <v>#REF!</v>
      </c>
      <c r="Y10" s="119" t="e">
        <v>#REF!</v>
      </c>
      <c r="Z10" s="120" t="e">
        <v>#REF!</v>
      </c>
      <c r="AA10" s="195" t="e">
        <v>#REF!</v>
      </c>
      <c r="AB10" s="119" t="e">
        <v>#REF!</v>
      </c>
      <c r="AC10" s="119" t="e">
        <v>#REF!</v>
      </c>
      <c r="AD10" s="119" t="e">
        <v>#REF!</v>
      </c>
      <c r="AE10" s="120" t="e">
        <v>#REF!</v>
      </c>
      <c r="AF10" s="195">
        <v>0</v>
      </c>
      <c r="AG10" s="119" t="e">
        <v>#REF!</v>
      </c>
      <c r="AH10" s="119" t="e">
        <v>#REF!</v>
      </c>
      <c r="AI10" s="119" t="e">
        <v>#REF!</v>
      </c>
      <c r="AJ10" s="120" t="e">
        <v>#REF!</v>
      </c>
      <c r="AK10" s="195" t="e">
        <v>#REF!</v>
      </c>
      <c r="AL10" s="119" t="e">
        <v>#REF!</v>
      </c>
      <c r="AM10" s="119" t="e">
        <v>#REF!</v>
      </c>
      <c r="AN10" s="119" t="e">
        <v>#REF!</v>
      </c>
      <c r="AO10" s="120" t="e">
        <v>#REF!</v>
      </c>
      <c r="AP10" s="195" t="e">
        <v>#REF!</v>
      </c>
      <c r="AQ10" s="119" t="e">
        <v>#REF!</v>
      </c>
      <c r="AR10" s="119" t="e">
        <v>#REF!</v>
      </c>
      <c r="AS10" s="119" t="e">
        <v>#REF!</v>
      </c>
      <c r="AT10" s="120" t="e">
        <v>#REF!</v>
      </c>
      <c r="AU10" s="195" t="e">
        <v>#REF!</v>
      </c>
      <c r="AV10" s="119" t="e">
        <v>#REF!</v>
      </c>
      <c r="AW10" s="119" t="e">
        <v>#REF!</v>
      </c>
      <c r="AX10" s="119" t="e">
        <v>#REF!</v>
      </c>
      <c r="AY10" s="120" t="e">
        <v>#REF!</v>
      </c>
      <c r="AZ10" s="195" t="e">
        <v>#REF!</v>
      </c>
      <c r="BA10" s="119" t="e">
        <v>#REF!</v>
      </c>
      <c r="BB10" s="119" t="e">
        <v>#REF!</v>
      </c>
      <c r="BC10" s="119" t="e">
        <v>#REF!</v>
      </c>
      <c r="BD10" s="120" t="e">
        <v>#REF!</v>
      </c>
      <c r="BE10" s="195" t="e">
        <v>#REF!</v>
      </c>
      <c r="BF10" s="119" t="e">
        <v>#REF!</v>
      </c>
      <c r="BG10" s="119" t="e">
        <v>#REF!</v>
      </c>
      <c r="BH10" s="119" t="e">
        <v>#REF!</v>
      </c>
      <c r="BI10" s="120" t="e">
        <v>#REF!</v>
      </c>
      <c r="BJ10" s="195" t="e">
        <v>#REF!</v>
      </c>
      <c r="BK10" s="119" t="e">
        <v>#REF!</v>
      </c>
      <c r="BL10" s="119" t="e">
        <v>#REF!</v>
      </c>
      <c r="BM10" s="119" t="e">
        <v>#REF!</v>
      </c>
      <c r="BN10" s="320" t="e">
        <v>#REF!</v>
      </c>
      <c r="BO10" s="331" t="s">
        <v>265</v>
      </c>
    </row>
    <row r="11" spans="1:67" s="9" customFormat="1">
      <c r="A11" s="121" t="s">
        <v>3</v>
      </c>
      <c r="B11" s="196" t="e">
        <f>B9-B8</f>
        <v>#REF!</v>
      </c>
      <c r="C11" s="186" t="e">
        <f>C9-C8</f>
        <v>#REF!</v>
      </c>
      <c r="D11" s="123" t="e">
        <f>D9-D8</f>
        <v>#REF!</v>
      </c>
      <c r="E11" s="123" t="e">
        <f t="shared" ref="E11:F11" si="0">E9-E8</f>
        <v>#REF!</v>
      </c>
      <c r="F11" s="124" t="e">
        <f t="shared" si="0"/>
        <v>#REF!</v>
      </c>
      <c r="G11" s="196">
        <f>G9-G8</f>
        <v>193930</v>
      </c>
      <c r="H11" s="186">
        <f>H9-H8</f>
        <v>56274</v>
      </c>
      <c r="I11" s="123">
        <f>I9-I8</f>
        <v>-16100</v>
      </c>
      <c r="J11" s="123">
        <f t="shared" ref="J11:K11" si="1">J9-J8</f>
        <v>184810</v>
      </c>
      <c r="K11" s="124">
        <f t="shared" si="1"/>
        <v>-31054</v>
      </c>
      <c r="L11" s="196">
        <f>L9-L8</f>
        <v>270333</v>
      </c>
      <c r="M11" s="123">
        <f>M9-M8</f>
        <v>114566</v>
      </c>
      <c r="N11" s="123">
        <f>N9-N8</f>
        <v>69700</v>
      </c>
      <c r="O11" s="123">
        <f t="shared" ref="O11:P11" si="2">O9-O8</f>
        <v>92567</v>
      </c>
      <c r="P11" s="124">
        <f t="shared" si="2"/>
        <v>-6500</v>
      </c>
      <c r="Q11" s="196">
        <f>Q9-Q8</f>
        <v>672350</v>
      </c>
      <c r="R11" s="123">
        <f>R9-R8</f>
        <v>167590</v>
      </c>
      <c r="S11" s="123">
        <f>S9-S8</f>
        <v>66800</v>
      </c>
      <c r="T11" s="123">
        <f t="shared" ref="T11:U11" si="3">T9-T8</f>
        <v>363792</v>
      </c>
      <c r="U11" s="124">
        <f t="shared" si="3"/>
        <v>74168</v>
      </c>
      <c r="V11" s="196">
        <f>V9-V8</f>
        <v>-640892</v>
      </c>
      <c r="W11" s="123">
        <f>W9-W8</f>
        <v>18910</v>
      </c>
      <c r="X11" s="123">
        <f>X9-X8</f>
        <v>-91400</v>
      </c>
      <c r="Y11" s="123">
        <f t="shared" ref="Y11:Z11" si="4">Y9-Y8</f>
        <v>-409000</v>
      </c>
      <c r="Z11" s="124">
        <f t="shared" si="4"/>
        <v>-159402</v>
      </c>
      <c r="AA11" s="196">
        <f>AA9-AA8</f>
        <v>-441884</v>
      </c>
      <c r="AB11" s="123">
        <f>AB9-AB8</f>
        <v>-99763</v>
      </c>
      <c r="AC11" s="123">
        <f>AC9-AC8</f>
        <v>121050</v>
      </c>
      <c r="AD11" s="123">
        <f t="shared" ref="AD11:AE11" si="5">AD9-AD8</f>
        <v>-312070</v>
      </c>
      <c r="AE11" s="124">
        <f t="shared" si="5"/>
        <v>-151101</v>
      </c>
      <c r="AF11" s="196">
        <f>AF9-AF8</f>
        <v>-3480000</v>
      </c>
      <c r="AG11" s="123">
        <f>AG9-AG8</f>
        <v>-500000</v>
      </c>
      <c r="AH11" s="123">
        <f>AH9-AH8</f>
        <v>-180000</v>
      </c>
      <c r="AI11" s="123">
        <f t="shared" ref="AI11:AJ11" si="6">AI9-AI8</f>
        <v>-1200000</v>
      </c>
      <c r="AJ11" s="124">
        <f t="shared" si="6"/>
        <v>-1600000</v>
      </c>
      <c r="AK11" s="196">
        <f>AK9-AK8</f>
        <v>0</v>
      </c>
      <c r="AL11" s="123">
        <f>AL9-AL8</f>
        <v>0</v>
      </c>
      <c r="AM11" s="123">
        <f>AM9-AM8</f>
        <v>0</v>
      </c>
      <c r="AN11" s="123">
        <f t="shared" ref="AN11:AO11" si="7">AN9-AN8</f>
        <v>0</v>
      </c>
      <c r="AO11" s="124">
        <f t="shared" si="7"/>
        <v>0</v>
      </c>
      <c r="AP11" s="196">
        <f>AP9-AP8</f>
        <v>0</v>
      </c>
      <c r="AQ11" s="123">
        <f>AQ9-AQ8</f>
        <v>0</v>
      </c>
      <c r="AR11" s="123">
        <f>AR9-AR8</f>
        <v>0</v>
      </c>
      <c r="AS11" s="123">
        <f t="shared" ref="AS11:AT11" si="8">AS9-AS8</f>
        <v>0</v>
      </c>
      <c r="AT11" s="124">
        <f t="shared" si="8"/>
        <v>0</v>
      </c>
      <c r="AU11" s="196">
        <f>AU9-AU8</f>
        <v>0</v>
      </c>
      <c r="AV11" s="123">
        <f>AV9-AV8</f>
        <v>0</v>
      </c>
      <c r="AW11" s="123">
        <f>AW9-AW8</f>
        <v>0</v>
      </c>
      <c r="AX11" s="123">
        <f t="shared" ref="AX11:AY11" si="9">AX9-AX8</f>
        <v>0</v>
      </c>
      <c r="AY11" s="124">
        <f t="shared" si="9"/>
        <v>0</v>
      </c>
      <c r="AZ11" s="196">
        <f>AZ9-AZ8</f>
        <v>0</v>
      </c>
      <c r="BA11" s="123">
        <f>BA9-BA8</f>
        <v>0</v>
      </c>
      <c r="BB11" s="123">
        <f>BB9-BB8</f>
        <v>0</v>
      </c>
      <c r="BC11" s="123">
        <f t="shared" ref="BC11:BD11" si="10">BC9-BC8</f>
        <v>0</v>
      </c>
      <c r="BD11" s="124">
        <f t="shared" si="10"/>
        <v>0</v>
      </c>
      <c r="BE11" s="196">
        <f>BE9-BE8</f>
        <v>0</v>
      </c>
      <c r="BF11" s="123">
        <f>BF9-BF8</f>
        <v>0</v>
      </c>
      <c r="BG11" s="123">
        <f>BG9-BG8</f>
        <v>0</v>
      </c>
      <c r="BH11" s="123">
        <f t="shared" ref="BH11:BI11" si="11">BH9-BH8</f>
        <v>0</v>
      </c>
      <c r="BI11" s="124">
        <f t="shared" si="11"/>
        <v>0</v>
      </c>
      <c r="BJ11" s="196">
        <f>BJ9-BJ8</f>
        <v>0</v>
      </c>
      <c r="BK11" s="123">
        <f>BK9-BK8</f>
        <v>0</v>
      </c>
      <c r="BL11" s="123">
        <f>BL9-BL8</f>
        <v>0</v>
      </c>
      <c r="BM11" s="123">
        <f t="shared" ref="BM11:BN11" si="12">BM9-BM8</f>
        <v>0</v>
      </c>
      <c r="BN11" s="321">
        <f t="shared" si="12"/>
        <v>0</v>
      </c>
      <c r="BO11" s="331"/>
    </row>
    <row r="12" spans="1:67" s="11" customFormat="1">
      <c r="A12" s="125" t="s">
        <v>4</v>
      </c>
      <c r="B12" s="197" t="e">
        <f>B11/B8</f>
        <v>#REF!</v>
      </c>
      <c r="C12" s="187" t="e">
        <f>C11/C8</f>
        <v>#REF!</v>
      </c>
      <c r="D12" s="127" t="e">
        <f>D11/D8</f>
        <v>#REF!</v>
      </c>
      <c r="E12" s="127" t="e">
        <f t="shared" ref="E12:F12" si="13">E11/E8</f>
        <v>#REF!</v>
      </c>
      <c r="F12" s="128" t="e">
        <f t="shared" si="13"/>
        <v>#REF!</v>
      </c>
      <c r="G12" s="197">
        <f>G11/G8</f>
        <v>7.1825925925925932E-2</v>
      </c>
      <c r="H12" s="187">
        <f>H11/H8</f>
        <v>0.112548</v>
      </c>
      <c r="I12" s="127">
        <f>I11/I8</f>
        <v>-0.161</v>
      </c>
      <c r="J12" s="127">
        <f t="shared" ref="J12:K12" si="14">J11/J8</f>
        <v>0.17600952380952381</v>
      </c>
      <c r="K12" s="128">
        <f t="shared" si="14"/>
        <v>-2.9575238095238095E-2</v>
      </c>
      <c r="L12" s="197">
        <f>L11/L8</f>
        <v>8.8633770491803279E-2</v>
      </c>
      <c r="M12" s="127">
        <f>M11/M8</f>
        <v>0.229132</v>
      </c>
      <c r="N12" s="127">
        <f>N11/N8</f>
        <v>0.46466666666666667</v>
      </c>
      <c r="O12" s="127">
        <f t="shared" ref="O12:P12" si="15">O11/O8</f>
        <v>7.7139166666666661E-2</v>
      </c>
      <c r="P12" s="128">
        <f t="shared" si="15"/>
        <v>-5.4166666666666669E-3</v>
      </c>
      <c r="Q12" s="197">
        <f>Q11/Q8</f>
        <v>0.19488405797101449</v>
      </c>
      <c r="R12" s="127">
        <f>R11/R8</f>
        <v>0.33517999999999998</v>
      </c>
      <c r="S12" s="127">
        <f>S11/S8</f>
        <v>0.33400000000000002</v>
      </c>
      <c r="T12" s="127">
        <f t="shared" ref="T12:U12" si="16">T11/T8</f>
        <v>0.2910336</v>
      </c>
      <c r="U12" s="128">
        <f t="shared" si="16"/>
        <v>4.9445333333333334E-2</v>
      </c>
      <c r="V12" s="197">
        <f>V11/V8</f>
        <v>-0.160223</v>
      </c>
      <c r="W12" s="127">
        <f>W11/W8</f>
        <v>3.7819999999999999E-2</v>
      </c>
      <c r="X12" s="127">
        <f>X11/X8</f>
        <v>-0.45700000000000002</v>
      </c>
      <c r="Y12" s="127">
        <f t="shared" ref="Y12:Z12" si="17">Y11/Y8</f>
        <v>-0.31461538461538463</v>
      </c>
      <c r="Z12" s="128">
        <f t="shared" si="17"/>
        <v>-7.9700999999999994E-2</v>
      </c>
      <c r="AA12" s="197">
        <f>AA11/AA8</f>
        <v>-0.13073491124260356</v>
      </c>
      <c r="AB12" s="127">
        <f>AB11/AB8</f>
        <v>-0.19952600000000001</v>
      </c>
      <c r="AC12" s="127">
        <f>AC11/AC8</f>
        <v>0.67249999999999999</v>
      </c>
      <c r="AD12" s="127">
        <f t="shared" ref="AD12:AE12" si="18">AD11/AD8</f>
        <v>-0.28370000000000001</v>
      </c>
      <c r="AE12" s="128">
        <f t="shared" si="18"/>
        <v>-9.4438124999999998E-2</v>
      </c>
      <c r="AF12" s="197">
        <f>AF11/AF8</f>
        <v>-1</v>
      </c>
      <c r="AG12" s="127">
        <f>AG11/AG8</f>
        <v>-1</v>
      </c>
      <c r="AH12" s="127">
        <f>AH11/AH8</f>
        <v>-1</v>
      </c>
      <c r="AI12" s="127">
        <f t="shared" ref="AI12:AJ12" si="19">AI11/AI8</f>
        <v>-1</v>
      </c>
      <c r="AJ12" s="128">
        <f t="shared" si="19"/>
        <v>-1</v>
      </c>
      <c r="AK12" s="197" t="e">
        <f>AK11/AK8</f>
        <v>#DIV/0!</v>
      </c>
      <c r="AL12" s="127" t="e">
        <f>AL11/AL8</f>
        <v>#DIV/0!</v>
      </c>
      <c r="AM12" s="127" t="e">
        <f>AM11/AM8</f>
        <v>#DIV/0!</v>
      </c>
      <c r="AN12" s="127" t="e">
        <f t="shared" ref="AN12:AO12" si="20">AN11/AN8</f>
        <v>#DIV/0!</v>
      </c>
      <c r="AO12" s="128" t="e">
        <f t="shared" si="20"/>
        <v>#DIV/0!</v>
      </c>
      <c r="AP12" s="197" t="e">
        <f>AP11/AP8</f>
        <v>#DIV/0!</v>
      </c>
      <c r="AQ12" s="127" t="e">
        <f>AQ11/AQ8</f>
        <v>#DIV/0!</v>
      </c>
      <c r="AR12" s="127" t="e">
        <f>AR11/AR8</f>
        <v>#DIV/0!</v>
      </c>
      <c r="AS12" s="127" t="e">
        <f t="shared" ref="AS12:AT12" si="21">AS11/AS8</f>
        <v>#DIV/0!</v>
      </c>
      <c r="AT12" s="128" t="e">
        <f t="shared" si="21"/>
        <v>#DIV/0!</v>
      </c>
      <c r="AU12" s="197" t="e">
        <f>AU11/AU8</f>
        <v>#DIV/0!</v>
      </c>
      <c r="AV12" s="127" t="e">
        <f>AV11/AV8</f>
        <v>#DIV/0!</v>
      </c>
      <c r="AW12" s="127" t="e">
        <f>AW11/AW8</f>
        <v>#DIV/0!</v>
      </c>
      <c r="AX12" s="127" t="e">
        <f t="shared" ref="AX12:AY12" si="22">AX11/AX8</f>
        <v>#DIV/0!</v>
      </c>
      <c r="AY12" s="128" t="e">
        <f t="shared" si="22"/>
        <v>#DIV/0!</v>
      </c>
      <c r="AZ12" s="197" t="e">
        <f>AZ11/AZ8</f>
        <v>#DIV/0!</v>
      </c>
      <c r="BA12" s="127" t="e">
        <f>BA11/BA8</f>
        <v>#DIV/0!</v>
      </c>
      <c r="BB12" s="127" t="e">
        <f>BB11/BB8</f>
        <v>#DIV/0!</v>
      </c>
      <c r="BC12" s="127" t="e">
        <f t="shared" ref="BC12:BD12" si="23">BC11/BC8</f>
        <v>#DIV/0!</v>
      </c>
      <c r="BD12" s="128" t="e">
        <f t="shared" si="23"/>
        <v>#DIV/0!</v>
      </c>
      <c r="BE12" s="197" t="e">
        <f>BE11/BE8</f>
        <v>#DIV/0!</v>
      </c>
      <c r="BF12" s="127" t="e">
        <f>BF11/BF8</f>
        <v>#DIV/0!</v>
      </c>
      <c r="BG12" s="127" t="e">
        <f>BG11/BG8</f>
        <v>#DIV/0!</v>
      </c>
      <c r="BH12" s="127" t="e">
        <f t="shared" ref="BH12:BI12" si="24">BH11/BH8</f>
        <v>#DIV/0!</v>
      </c>
      <c r="BI12" s="128" t="e">
        <f t="shared" si="24"/>
        <v>#DIV/0!</v>
      </c>
      <c r="BJ12" s="197" t="e">
        <f>BJ11/BJ8</f>
        <v>#DIV/0!</v>
      </c>
      <c r="BK12" s="127" t="e">
        <f>BK11/BK8</f>
        <v>#DIV/0!</v>
      </c>
      <c r="BL12" s="127" t="e">
        <f>BL11/BL8</f>
        <v>#DIV/0!</v>
      </c>
      <c r="BM12" s="127" t="e">
        <f t="shared" ref="BM12:BN12" si="25">BM11/BM8</f>
        <v>#DIV/0!</v>
      </c>
      <c r="BN12" s="322" t="e">
        <f t="shared" si="25"/>
        <v>#DIV/0!</v>
      </c>
      <c r="BO12" s="331"/>
    </row>
    <row r="13" spans="1:67" s="9" customFormat="1" ht="15.75" thickBot="1">
      <c r="A13" s="129" t="s">
        <v>5</v>
      </c>
      <c r="B13" s="198">
        <v>945450</v>
      </c>
      <c r="C13" s="188">
        <v>881103</v>
      </c>
      <c r="D13" s="131">
        <v>881103</v>
      </c>
      <c r="E13" s="131">
        <v>962132</v>
      </c>
      <c r="F13" s="132" t="e">
        <v>#REF!</v>
      </c>
      <c r="G13" s="198">
        <v>945450</v>
      </c>
      <c r="H13" s="188">
        <v>881103</v>
      </c>
      <c r="I13" s="131">
        <v>881103</v>
      </c>
      <c r="J13" s="131">
        <v>962132</v>
      </c>
      <c r="K13" s="132" t="e">
        <v>#REF!</v>
      </c>
      <c r="L13" s="198" t="e">
        <v>#REF!</v>
      </c>
      <c r="M13" s="131" t="e">
        <v>#REF!</v>
      </c>
      <c r="N13" s="131" t="e">
        <v>#REF!</v>
      </c>
      <c r="O13" s="131" t="e">
        <v>#REF!</v>
      </c>
      <c r="P13" s="132" t="e">
        <v>#REF!</v>
      </c>
      <c r="Q13" s="198" t="e">
        <v>#REF!</v>
      </c>
      <c r="R13" s="131" t="e">
        <v>#REF!</v>
      </c>
      <c r="S13" s="131" t="e">
        <v>#REF!</v>
      </c>
      <c r="T13" s="131">
        <v>2788685</v>
      </c>
      <c r="U13" s="132" t="e">
        <v>#REF!</v>
      </c>
      <c r="V13" s="198" t="e">
        <v>#REF!</v>
      </c>
      <c r="W13" s="131" t="e">
        <v>#REF!</v>
      </c>
      <c r="X13" s="131" t="e">
        <v>#REF!</v>
      </c>
      <c r="Y13" s="131" t="e">
        <v>#REF!</v>
      </c>
      <c r="Z13" s="132" t="e">
        <v>#REF!</v>
      </c>
      <c r="AA13" s="198" t="e">
        <v>#REF!</v>
      </c>
      <c r="AB13" s="131" t="e">
        <v>#REF!</v>
      </c>
      <c r="AC13" s="131" t="e">
        <v>#REF!</v>
      </c>
      <c r="AD13" s="131" t="e">
        <v>#REF!</v>
      </c>
      <c r="AE13" s="132" t="e">
        <v>#REF!</v>
      </c>
      <c r="AF13" s="198" t="e">
        <v>#REF!</v>
      </c>
      <c r="AG13" s="131" t="e">
        <v>#REF!</v>
      </c>
      <c r="AH13" s="131" t="e">
        <v>#REF!</v>
      </c>
      <c r="AI13" s="131" t="e">
        <v>#REF!</v>
      </c>
      <c r="AJ13" s="132" t="e">
        <v>#REF!</v>
      </c>
      <c r="AK13" s="198" t="e">
        <v>#REF!</v>
      </c>
      <c r="AL13" s="131" t="e">
        <v>#REF!</v>
      </c>
      <c r="AM13" s="131" t="e">
        <v>#REF!</v>
      </c>
      <c r="AN13" s="131" t="e">
        <v>#REF!</v>
      </c>
      <c r="AO13" s="132" t="e">
        <v>#REF!</v>
      </c>
      <c r="AP13" s="198" t="e">
        <v>#REF!</v>
      </c>
      <c r="AQ13" s="131" t="e">
        <v>#REF!</v>
      </c>
      <c r="AR13" s="131" t="e">
        <v>#REF!</v>
      </c>
      <c r="AS13" s="131" t="e">
        <v>#REF!</v>
      </c>
      <c r="AT13" s="132" t="e">
        <v>#REF!</v>
      </c>
      <c r="AU13" s="198" t="e">
        <v>#REF!</v>
      </c>
      <c r="AV13" s="131" t="e">
        <v>#REF!</v>
      </c>
      <c r="AW13" s="131" t="e">
        <v>#REF!</v>
      </c>
      <c r="AX13" s="131" t="e">
        <v>#REF!</v>
      </c>
      <c r="AY13" s="132" t="e">
        <v>#REF!</v>
      </c>
      <c r="AZ13" s="198" t="e">
        <v>#REF!</v>
      </c>
      <c r="BA13" s="131" t="e">
        <v>#REF!</v>
      </c>
      <c r="BB13" s="131" t="e">
        <v>#REF!</v>
      </c>
      <c r="BC13" s="131" t="e">
        <v>#REF!</v>
      </c>
      <c r="BD13" s="132" t="e">
        <v>#REF!</v>
      </c>
      <c r="BE13" s="198" t="e">
        <v>#REF!</v>
      </c>
      <c r="BF13" s="131" t="e">
        <v>#REF!</v>
      </c>
      <c r="BG13" s="131" t="e">
        <v>#REF!</v>
      </c>
      <c r="BH13" s="131" t="e">
        <v>#REF!</v>
      </c>
      <c r="BI13" s="132" t="e">
        <v>#REF!</v>
      </c>
      <c r="BJ13" s="198" t="e">
        <v>#REF!</v>
      </c>
      <c r="BK13" s="131" t="e">
        <v>#REF!</v>
      </c>
      <c r="BL13" s="131" t="e">
        <v>#REF!</v>
      </c>
      <c r="BM13" s="131" t="e">
        <v>#REF!</v>
      </c>
      <c r="BN13" s="323" t="e">
        <v>#REF!</v>
      </c>
      <c r="BO13" s="331"/>
    </row>
    <row r="14" spans="1:67" s="9" customFormat="1" ht="15.75" thickBot="1">
      <c r="A14" s="152" t="s">
        <v>130</v>
      </c>
      <c r="B14" s="199">
        <f>SUM(C14:F14)</f>
        <v>5654459.8399999999</v>
      </c>
      <c r="C14" s="189">
        <f>SUM(C15,C19,C21,C23,C27,C25,C17)</f>
        <v>1321026.8400000001</v>
      </c>
      <c r="D14" s="189">
        <f t="shared" ref="D14" si="26">SUM(D15,D19,D21,D23,D27,D25,D17)</f>
        <v>345926</v>
      </c>
      <c r="E14" s="189">
        <f t="shared" ref="E14" si="27">SUM(E15,E19,E21,E23,E27,E25,E17)</f>
        <v>3423567</v>
      </c>
      <c r="F14" s="189">
        <f t="shared" ref="F14" si="28">SUM(F15,F19,F21,F23,F27,F25,F17)</f>
        <v>563940</v>
      </c>
      <c r="G14" s="199">
        <f>SUM(H14:K14)</f>
        <v>1100755.94</v>
      </c>
      <c r="H14" s="189">
        <f>SUM(H15,H19,H21,H23,H27,H25,H17)</f>
        <v>242690.94</v>
      </c>
      <c r="I14" s="189">
        <f t="shared" ref="I14" si="29">SUM(I15,I19,I21,I23,I27,I25,I17)</f>
        <v>21650</v>
      </c>
      <c r="J14" s="189">
        <f t="shared" ref="J14" si="30">SUM(J15,J19,J21,J23,J27,J25,J17)</f>
        <v>740549</v>
      </c>
      <c r="K14" s="189">
        <f t="shared" ref="K14" si="31">SUM(K15,K19,K21,K23,K27,K25,K17)</f>
        <v>95866</v>
      </c>
      <c r="L14" s="199">
        <f>SUM(M14:P14)</f>
        <v>1326444</v>
      </c>
      <c r="M14" s="189">
        <f>SUM(M15,M19,M21,M23,M27,M25,M17)</f>
        <v>282924</v>
      </c>
      <c r="N14" s="189">
        <f t="shared" ref="N14:P14" si="32">SUM(N15,N19,N21,N23,N27,N25,N17)</f>
        <v>70595</v>
      </c>
      <c r="O14" s="189">
        <f t="shared" si="32"/>
        <v>838063</v>
      </c>
      <c r="P14" s="189">
        <f t="shared" si="32"/>
        <v>134862</v>
      </c>
      <c r="Q14" s="199">
        <f>SUM(R14:U14)</f>
        <v>1510558.8</v>
      </c>
      <c r="R14" s="189">
        <f>SUM(R15,R19,R21,R23,R27,R25,R17)</f>
        <v>319013.8</v>
      </c>
      <c r="S14" s="189">
        <f t="shared" ref="S14:U14" si="33">SUM(S15,S19,S21,S23,S27,S25,S17)</f>
        <v>74816</v>
      </c>
      <c r="T14" s="189">
        <f t="shared" si="33"/>
        <v>972301</v>
      </c>
      <c r="U14" s="189">
        <f t="shared" si="33"/>
        <v>144428</v>
      </c>
      <c r="V14" s="199">
        <f>SUM(W14:Z14)</f>
        <v>763570.6</v>
      </c>
      <c r="W14" s="189">
        <f>SUM(W15,W19,W21,W23,W27,W25,W17)</f>
        <v>260188.6</v>
      </c>
      <c r="X14" s="189">
        <f t="shared" ref="X14:Z14" si="34">SUM(X15,X19,X21,X23,X27,X25,X17)</f>
        <v>26860</v>
      </c>
      <c r="Y14" s="189">
        <f t="shared" si="34"/>
        <v>462665</v>
      </c>
      <c r="Z14" s="189">
        <f t="shared" si="34"/>
        <v>13857</v>
      </c>
      <c r="AA14" s="199">
        <f>SUM(AB14:AE14)</f>
        <v>953130.5</v>
      </c>
      <c r="AB14" s="189">
        <f>SUM(AB15,AB19,AB21,AB23,AB27,AB25,AB17)</f>
        <v>216209.5</v>
      </c>
      <c r="AC14" s="189">
        <f t="shared" ref="AC14:AE14" si="35">SUM(AC15,AC19,AC21,AC23,AC27,AC25,AC17)</f>
        <v>152005</v>
      </c>
      <c r="AD14" s="189">
        <f t="shared" si="35"/>
        <v>409989</v>
      </c>
      <c r="AE14" s="189">
        <f t="shared" si="35"/>
        <v>174927</v>
      </c>
      <c r="AF14" s="199">
        <f>SUM(AG14:AJ14)</f>
        <v>0</v>
      </c>
      <c r="AG14" s="189">
        <f>SUM(AG15,AG19,AG21,AG23,AG27,AG25,AG17)</f>
        <v>0</v>
      </c>
      <c r="AH14" s="189">
        <f t="shared" ref="AH14:AJ14" si="36">SUM(AH15,AH19,AH21,AH23,AH27,AH25,AH17)</f>
        <v>0</v>
      </c>
      <c r="AI14" s="189">
        <f t="shared" si="36"/>
        <v>0</v>
      </c>
      <c r="AJ14" s="189">
        <f t="shared" si="36"/>
        <v>0</v>
      </c>
      <c r="AK14" s="199">
        <f>SUM(AL14:AO14)</f>
        <v>0</v>
      </c>
      <c r="AL14" s="189">
        <f>SUM(AL15,AL19,AL21,AL23,AL27,AL25,AL17)</f>
        <v>0</v>
      </c>
      <c r="AM14" s="189">
        <f t="shared" ref="AM14:AO14" si="37">SUM(AM15,AM19,AM21,AM23,AM27,AM25,AM17)</f>
        <v>0</v>
      </c>
      <c r="AN14" s="189">
        <f t="shared" si="37"/>
        <v>0</v>
      </c>
      <c r="AO14" s="189">
        <f t="shared" si="37"/>
        <v>0</v>
      </c>
      <c r="AP14" s="199">
        <f>SUM(AQ14:AT14)</f>
        <v>0</v>
      </c>
      <c r="AQ14" s="189">
        <f>SUM(AQ15,AQ19,AQ21,AQ23,AQ27,AQ25,AQ17)</f>
        <v>0</v>
      </c>
      <c r="AR14" s="189">
        <f t="shared" ref="AR14:AT14" si="38">SUM(AR15,AR19,AR21,AR23,AR27,AR25,AR17)</f>
        <v>0</v>
      </c>
      <c r="AS14" s="189">
        <f t="shared" si="38"/>
        <v>0</v>
      </c>
      <c r="AT14" s="189">
        <f t="shared" si="38"/>
        <v>0</v>
      </c>
      <c r="AU14" s="199">
        <f>SUM(AV14:AY14)</f>
        <v>0</v>
      </c>
      <c r="AV14" s="189">
        <f>SUM(AV15,AV19,AV21,AV23,AV27,AV25,AV17)</f>
        <v>0</v>
      </c>
      <c r="AW14" s="189">
        <f t="shared" ref="AW14:AY14" si="39">SUM(AW15,AW19,AW21,AW23,AW27,AW25,AW17)</f>
        <v>0</v>
      </c>
      <c r="AX14" s="189">
        <f t="shared" si="39"/>
        <v>0</v>
      </c>
      <c r="AY14" s="189">
        <f t="shared" si="39"/>
        <v>0</v>
      </c>
      <c r="AZ14" s="199">
        <f>SUM(BA14:BD14)</f>
        <v>0</v>
      </c>
      <c r="BA14" s="189">
        <f>SUM(BA15,BA19,BA21,BA23,BA27,BA25,BA17)</f>
        <v>0</v>
      </c>
      <c r="BB14" s="189">
        <f t="shared" ref="BB14:BD14" si="40">SUM(BB15,BB19,BB21,BB23,BB27,BB25,BB17)</f>
        <v>0</v>
      </c>
      <c r="BC14" s="189">
        <f t="shared" si="40"/>
        <v>0</v>
      </c>
      <c r="BD14" s="189">
        <f t="shared" si="40"/>
        <v>0</v>
      </c>
      <c r="BE14" s="199">
        <f>SUM(BF14:BI14)</f>
        <v>0</v>
      </c>
      <c r="BF14" s="189">
        <f>SUM(BF15,BF19,BF21,BF23,BF27,BF25,BF17)</f>
        <v>0</v>
      </c>
      <c r="BG14" s="189">
        <f t="shared" ref="BG14:BI14" si="41">SUM(BG15,BG19,BG21,BG23,BG27,BG25,BG17)</f>
        <v>0</v>
      </c>
      <c r="BH14" s="189">
        <f t="shared" si="41"/>
        <v>0</v>
      </c>
      <c r="BI14" s="189">
        <f t="shared" si="41"/>
        <v>0</v>
      </c>
      <c r="BJ14" s="199">
        <f>SUM(BK14:BN14)</f>
        <v>0</v>
      </c>
      <c r="BK14" s="189">
        <f>SUM(BK15,BK19,BK21,BK23,BK27,BK25,BK17)</f>
        <v>0</v>
      </c>
      <c r="BL14" s="189">
        <f t="shared" ref="BL14:BN14" si="42">SUM(BL15,BL19,BL21,BL23,BL27,BL25,BL17)</f>
        <v>0</v>
      </c>
      <c r="BM14" s="189">
        <f t="shared" si="42"/>
        <v>0</v>
      </c>
      <c r="BN14" s="324">
        <f t="shared" si="42"/>
        <v>0</v>
      </c>
      <c r="BO14" s="331" t="s">
        <v>263</v>
      </c>
    </row>
    <row r="15" spans="1:67" s="9" customFormat="1" ht="15.75" outlineLevel="1" thickBot="1">
      <c r="A15" s="163" t="s">
        <v>182</v>
      </c>
      <c r="B15" s="200">
        <f t="shared" ref="B15" si="43">SUM(C15:F15)</f>
        <v>3330016</v>
      </c>
      <c r="C15" s="246">
        <f>SUM(H15,M15,R15,W15,AB15,AG15,AL15,AQ15,AV15,BA15,BF15,BK15)</f>
        <v>907580</v>
      </c>
      <c r="D15" s="247">
        <f>SUM(I15,N15,S15,X15,AC15,AH15,AM15,AR15,AW15,BB15,BG15,BL15)</f>
        <v>93855</v>
      </c>
      <c r="E15" s="247">
        <f>SUM(J15,O15,T15,Y15,AD15,AI15,AN15,AS15,AX15,BC15,BH15,BM15)</f>
        <v>1859149</v>
      </c>
      <c r="F15" s="260">
        <f>SUM(K15,P15,U15,Z15,AE15,AJ15,AO15,AT15,AY15,BD15,BI15,BN15)</f>
        <v>469432</v>
      </c>
      <c r="G15" s="200">
        <f t="shared" ref="G15:G27" si="44">SUM(H15:K15)</f>
        <v>765175</v>
      </c>
      <c r="H15" s="190">
        <v>168190</v>
      </c>
      <c r="I15" s="157">
        <v>1400</v>
      </c>
      <c r="J15" s="157">
        <v>515585</v>
      </c>
      <c r="K15" s="158">
        <v>80000</v>
      </c>
      <c r="L15" s="200">
        <f t="shared" ref="L15:L27" si="45">SUM(M15:P15)</f>
        <v>779355</v>
      </c>
      <c r="M15" s="157">
        <v>182960</v>
      </c>
      <c r="N15" s="157">
        <v>1600</v>
      </c>
      <c r="O15" s="157">
        <v>493685</v>
      </c>
      <c r="P15" s="158">
        <v>101110</v>
      </c>
      <c r="Q15" s="200">
        <f t="shared" ref="Q15" si="46">SUM(R15:U15)</f>
        <v>784755</v>
      </c>
      <c r="R15" s="157">
        <v>198710</v>
      </c>
      <c r="S15" s="157"/>
      <c r="T15" s="157">
        <v>465045</v>
      </c>
      <c r="U15" s="158">
        <v>121000</v>
      </c>
      <c r="V15" s="200">
        <f t="shared" ref="V15:V27" si="47">SUM(W15:Z15)</f>
        <v>372527</v>
      </c>
      <c r="W15" s="157">
        <v>173177</v>
      </c>
      <c r="X15" s="157">
        <v>2000</v>
      </c>
      <c r="Y15" s="157">
        <v>197350</v>
      </c>
      <c r="Z15" s="158"/>
      <c r="AA15" s="200">
        <f t="shared" ref="AA15:AA27" si="48">SUM(AB15:AE15)</f>
        <v>628204</v>
      </c>
      <c r="AB15" s="157">
        <v>184543</v>
      </c>
      <c r="AC15" s="157">
        <v>88855</v>
      </c>
      <c r="AD15" s="157">
        <v>187484</v>
      </c>
      <c r="AE15" s="158">
        <v>167322</v>
      </c>
      <c r="AF15" s="200">
        <f t="shared" ref="AF15:AF27" si="49">SUM(AG15:AJ15)</f>
        <v>0</v>
      </c>
      <c r="AG15" s="157"/>
      <c r="AH15" s="157"/>
      <c r="AI15" s="157"/>
      <c r="AJ15" s="158"/>
      <c r="AK15" s="200">
        <f t="shared" ref="AK15:AK27" si="50">SUM(AL15:AO15)</f>
        <v>0</v>
      </c>
      <c r="AL15" s="157"/>
      <c r="AM15" s="157"/>
      <c r="AN15" s="157"/>
      <c r="AO15" s="158"/>
      <c r="AP15" s="200">
        <f t="shared" ref="AP15:AP27" si="51">SUM(AQ15:AT15)</f>
        <v>0</v>
      </c>
      <c r="AQ15" s="157"/>
      <c r="AR15" s="157"/>
      <c r="AS15" s="157"/>
      <c r="AT15" s="158"/>
      <c r="AU15" s="200">
        <f t="shared" ref="AU15:AU27" si="52">SUM(AV15:AY15)</f>
        <v>0</v>
      </c>
      <c r="AV15" s="157"/>
      <c r="AW15" s="157"/>
      <c r="AX15" s="157"/>
      <c r="AY15" s="158"/>
      <c r="AZ15" s="200">
        <f t="shared" ref="AZ15:AZ27" si="53">SUM(BA15:BD15)</f>
        <v>0</v>
      </c>
      <c r="BA15" s="157"/>
      <c r="BB15" s="157"/>
      <c r="BC15" s="157"/>
      <c r="BD15" s="158"/>
      <c r="BE15" s="200">
        <f t="shared" ref="BE15:BE27" si="54">SUM(BF15:BI15)</f>
        <v>0</v>
      </c>
      <c r="BF15" s="157"/>
      <c r="BG15" s="157"/>
      <c r="BH15" s="157"/>
      <c r="BI15" s="158"/>
      <c r="BJ15" s="200">
        <f t="shared" ref="BJ15:BJ27" si="55">SUM(BK15:BN15)</f>
        <v>0</v>
      </c>
      <c r="BK15" s="157"/>
      <c r="BL15" s="157"/>
      <c r="BM15" s="157"/>
      <c r="BN15" s="325"/>
      <c r="BO15" s="333" t="s">
        <v>269</v>
      </c>
    </row>
    <row r="16" spans="1:67" s="206" customFormat="1" ht="12" customHeight="1" outlineLevel="1" thickBot="1">
      <c r="A16" s="202" t="s">
        <v>139</v>
      </c>
      <c r="B16" s="204" t="e">
        <f>B15/B9</f>
        <v>#REF!</v>
      </c>
      <c r="C16" s="205" t="e">
        <f>C15/C9</f>
        <v>#REF!</v>
      </c>
      <c r="D16" s="205" t="e">
        <f t="shared" ref="D16:F16" si="56">D15/D9</f>
        <v>#REF!</v>
      </c>
      <c r="E16" s="205" t="e">
        <f t="shared" si="56"/>
        <v>#REF!</v>
      </c>
      <c r="F16" s="205" t="e">
        <f t="shared" si="56"/>
        <v>#REF!</v>
      </c>
      <c r="G16" s="204">
        <f>G15/G9</f>
        <v>0.26440687922651895</v>
      </c>
      <c r="H16" s="205">
        <f>H15/H9</f>
        <v>0.30235099968720452</v>
      </c>
      <c r="I16" s="205">
        <f t="shared" ref="I16:K16" si="57">I15/I9</f>
        <v>1.6686531585220502E-2</v>
      </c>
      <c r="J16" s="205">
        <f t="shared" si="57"/>
        <v>0.41754197001967913</v>
      </c>
      <c r="K16" s="205">
        <f t="shared" si="57"/>
        <v>7.8512502134558654E-2</v>
      </c>
      <c r="L16" s="204">
        <f>L15/L9</f>
        <v>0.23472193903442817</v>
      </c>
      <c r="M16" s="205">
        <f>M15/M9</f>
        <v>0.29770602343767799</v>
      </c>
      <c r="N16" s="205">
        <f t="shared" ref="N16" si="58">N15/N9</f>
        <v>7.2826581702321348E-3</v>
      </c>
      <c r="O16" s="205">
        <f t="shared" ref="O16" si="59">O15/O9</f>
        <v>0.38194151637787443</v>
      </c>
      <c r="P16" s="205">
        <f t="shared" ref="P16" si="60">P15/P9</f>
        <v>8.4717218265605368E-2</v>
      </c>
      <c r="Q16" s="204">
        <f>Q15/Q9</f>
        <v>0.19036593205331911</v>
      </c>
      <c r="R16" s="205">
        <f>R15/R9</f>
        <v>0.2976527509399482</v>
      </c>
      <c r="S16" s="205">
        <f t="shared" ref="S16" si="61">S15/S9</f>
        <v>0</v>
      </c>
      <c r="T16" s="205">
        <f t="shared" ref="T16" si="62">T15/T9</f>
        <v>0.28816910729511608</v>
      </c>
      <c r="U16" s="205">
        <f t="shared" ref="U16" si="63">U15/U9</f>
        <v>7.6866001595763608E-2</v>
      </c>
      <c r="V16" s="204">
        <f>V15/V9</f>
        <v>0.11090057241386701</v>
      </c>
      <c r="W16" s="205">
        <f>W15/W9</f>
        <v>0.33373224643965232</v>
      </c>
      <c r="X16" s="205">
        <f t="shared" ref="X16:X18" si="64">X15/X9</f>
        <v>1.841620626151013E-2</v>
      </c>
      <c r="Y16" s="205">
        <f t="shared" ref="Y16:Y18" si="65">Y15/Y9</f>
        <v>0.22149270482603817</v>
      </c>
      <c r="Z16" s="205">
        <f t="shared" ref="Z16:Z18" si="66">Z15/Z9</f>
        <v>0</v>
      </c>
      <c r="AA16" s="204">
        <f>AA15/AA9</f>
        <v>0.21381184405244721</v>
      </c>
      <c r="AB16" s="205">
        <f>AB15/AB9</f>
        <v>0.46108430754777796</v>
      </c>
      <c r="AC16" s="205">
        <f t="shared" ref="AC16:AC18" si="67">AC15/AC9</f>
        <v>0.29515030725793057</v>
      </c>
      <c r="AD16" s="205">
        <f t="shared" ref="AD16:AD18" si="68">AD15/AD9</f>
        <v>0.23794499511377915</v>
      </c>
      <c r="AE16" s="205">
        <f t="shared" ref="AE16:AE18" si="69">AE15/AE9</f>
        <v>0.11548216956461424</v>
      </c>
      <c r="AF16" s="204" t="e">
        <f>AF15/AF9</f>
        <v>#DIV/0!</v>
      </c>
      <c r="AG16" s="205" t="e">
        <f>AG15/AG9</f>
        <v>#DIV/0!</v>
      </c>
      <c r="AH16" s="205" t="e">
        <f t="shared" ref="AH16:AH18" si="70">AH15/AH9</f>
        <v>#DIV/0!</v>
      </c>
      <c r="AI16" s="205" t="e">
        <f t="shared" ref="AI16:AI18" si="71">AI15/AI9</f>
        <v>#DIV/0!</v>
      </c>
      <c r="AJ16" s="205" t="e">
        <f t="shared" ref="AJ16:AJ18" si="72">AJ15/AJ9</f>
        <v>#DIV/0!</v>
      </c>
      <c r="AK16" s="204" t="e">
        <f>AK15/AK9</f>
        <v>#DIV/0!</v>
      </c>
      <c r="AL16" s="205" t="e">
        <f>AL15/AL9</f>
        <v>#DIV/0!</v>
      </c>
      <c r="AM16" s="205" t="e">
        <f t="shared" ref="AM16:AM18" si="73">AM15/AM9</f>
        <v>#DIV/0!</v>
      </c>
      <c r="AN16" s="205" t="e">
        <f t="shared" ref="AN16:AN18" si="74">AN15/AN9</f>
        <v>#DIV/0!</v>
      </c>
      <c r="AO16" s="205" t="e">
        <f t="shared" ref="AO16:AO18" si="75">AO15/AO9</f>
        <v>#DIV/0!</v>
      </c>
      <c r="AP16" s="204" t="e">
        <f>AP15/AP9</f>
        <v>#DIV/0!</v>
      </c>
      <c r="AQ16" s="205" t="e">
        <f>AQ15/AQ9</f>
        <v>#DIV/0!</v>
      </c>
      <c r="AR16" s="205" t="e">
        <f t="shared" ref="AR16:AR18" si="76">AR15/AR9</f>
        <v>#DIV/0!</v>
      </c>
      <c r="AS16" s="205" t="e">
        <f t="shared" ref="AS16:AS18" si="77">AS15/AS9</f>
        <v>#DIV/0!</v>
      </c>
      <c r="AT16" s="205" t="e">
        <f t="shared" ref="AT16:AT18" si="78">AT15/AT9</f>
        <v>#DIV/0!</v>
      </c>
      <c r="AU16" s="204" t="e">
        <f>AU15/AU9</f>
        <v>#DIV/0!</v>
      </c>
      <c r="AV16" s="205" t="e">
        <f>AV15/AV9</f>
        <v>#DIV/0!</v>
      </c>
      <c r="AW16" s="205" t="e">
        <f t="shared" ref="AW16:AW18" si="79">AW15/AW9</f>
        <v>#DIV/0!</v>
      </c>
      <c r="AX16" s="205" t="e">
        <f t="shared" ref="AX16:AX18" si="80">AX15/AX9</f>
        <v>#DIV/0!</v>
      </c>
      <c r="AY16" s="205" t="e">
        <f t="shared" ref="AY16:AY18" si="81">AY15/AY9</f>
        <v>#DIV/0!</v>
      </c>
      <c r="AZ16" s="204" t="e">
        <f>AZ15/AZ9</f>
        <v>#DIV/0!</v>
      </c>
      <c r="BA16" s="205" t="e">
        <f>BA15/BA9</f>
        <v>#DIV/0!</v>
      </c>
      <c r="BB16" s="205" t="e">
        <f t="shared" ref="BB16:BB18" si="82">BB15/BB9</f>
        <v>#DIV/0!</v>
      </c>
      <c r="BC16" s="205" t="e">
        <f t="shared" ref="BC16:BC18" si="83">BC15/BC9</f>
        <v>#DIV/0!</v>
      </c>
      <c r="BD16" s="205" t="e">
        <f t="shared" ref="BD16:BD18" si="84">BD15/BD9</f>
        <v>#DIV/0!</v>
      </c>
      <c r="BE16" s="204" t="e">
        <f>BE15/BE9</f>
        <v>#DIV/0!</v>
      </c>
      <c r="BF16" s="205" t="e">
        <f>BF15/BF9</f>
        <v>#DIV/0!</v>
      </c>
      <c r="BG16" s="205" t="e">
        <f t="shared" ref="BG16:BG18" si="85">BG15/BG9</f>
        <v>#DIV/0!</v>
      </c>
      <c r="BH16" s="205" t="e">
        <f t="shared" ref="BH16:BH18" si="86">BH15/BH9</f>
        <v>#DIV/0!</v>
      </c>
      <c r="BI16" s="205" t="e">
        <f t="shared" ref="BI16:BI18" si="87">BI15/BI9</f>
        <v>#DIV/0!</v>
      </c>
      <c r="BJ16" s="204" t="e">
        <f>BJ15/BJ9</f>
        <v>#DIV/0!</v>
      </c>
      <c r="BK16" s="205" t="e">
        <f>BK15/BK9</f>
        <v>#DIV/0!</v>
      </c>
      <c r="BL16" s="205" t="e">
        <f t="shared" ref="BL16:BL18" si="88">BL15/BL9</f>
        <v>#DIV/0!</v>
      </c>
      <c r="BM16" s="205" t="e">
        <f t="shared" ref="BM16:BM18" si="89">BM15/BM9</f>
        <v>#DIV/0!</v>
      </c>
      <c r="BN16" s="326" t="e">
        <f t="shared" ref="BN16:BN18" si="90">BN15/BN9</f>
        <v>#DIV/0!</v>
      </c>
      <c r="BO16" s="334"/>
    </row>
    <row r="17" spans="1:67" s="9" customFormat="1" ht="15.75" outlineLevel="1" thickBot="1">
      <c r="A17" s="163" t="s">
        <v>180</v>
      </c>
      <c r="B17" s="200">
        <f t="shared" ref="B17" si="91">SUM(C17:F17)</f>
        <v>370445</v>
      </c>
      <c r="C17" s="246">
        <f>SUM(H17,M17,R17,W17,AB17,AG17,AL17,AQ17,AV17,BA17,BF17,BK17)</f>
        <v>160295</v>
      </c>
      <c r="D17" s="247">
        <f>SUM(I17,N17,S17,X17,AC17,AH17,AM17,AR17,AW17,BB17,BG17,BL17)</f>
        <v>210150</v>
      </c>
      <c r="E17" s="247">
        <f>SUM(J17,O17,T17,Y17,AD17,AI17,AN17,AS17,AX17,BC17,BH17,BM17)</f>
        <v>0</v>
      </c>
      <c r="F17" s="260">
        <f>SUM(K17,P17,U17,Z17,AE17,AJ17,AO17,AT17,AY17,BD17,BI17,BN17)</f>
        <v>0</v>
      </c>
      <c r="G17" s="200">
        <f t="shared" si="44"/>
        <v>53350</v>
      </c>
      <c r="H17" s="190">
        <v>37600</v>
      </c>
      <c r="I17" s="157">
        <v>15750</v>
      </c>
      <c r="J17" s="157"/>
      <c r="K17" s="158"/>
      <c r="L17" s="200">
        <f t="shared" si="45"/>
        <v>82800</v>
      </c>
      <c r="M17" s="157">
        <v>35650</v>
      </c>
      <c r="N17" s="157">
        <v>47150</v>
      </c>
      <c r="O17" s="157"/>
      <c r="P17" s="158"/>
      <c r="Q17" s="200">
        <f t="shared" ref="Q17:Q27" si="92">SUM(R17:U17)</f>
        <v>107615</v>
      </c>
      <c r="R17" s="157">
        <v>43515</v>
      </c>
      <c r="S17" s="157">
        <v>64100</v>
      </c>
      <c r="T17" s="157"/>
      <c r="U17" s="158"/>
      <c r="V17" s="200">
        <f t="shared" ref="V17" si="93">SUM(W17:Z17)</f>
        <v>65480</v>
      </c>
      <c r="W17" s="157">
        <v>43530</v>
      </c>
      <c r="X17" s="157">
        <v>21950</v>
      </c>
      <c r="Y17" s="157"/>
      <c r="Z17" s="158"/>
      <c r="AA17" s="200">
        <f t="shared" ref="AA17" si="94">SUM(AB17:AE17)</f>
        <v>61200</v>
      </c>
      <c r="AB17" s="157"/>
      <c r="AC17" s="157">
        <v>61200</v>
      </c>
      <c r="AD17" s="157"/>
      <c r="AE17" s="158"/>
      <c r="AF17" s="200">
        <f t="shared" ref="AF17" si="95">SUM(AG17:AJ17)</f>
        <v>0</v>
      </c>
      <c r="AG17" s="157"/>
      <c r="AH17" s="157"/>
      <c r="AI17" s="157"/>
      <c r="AJ17" s="158"/>
      <c r="AK17" s="200">
        <f t="shared" ref="AK17" si="96">SUM(AL17:AO17)</f>
        <v>0</v>
      </c>
      <c r="AL17" s="157"/>
      <c r="AM17" s="157"/>
      <c r="AN17" s="157"/>
      <c r="AO17" s="158"/>
      <c r="AP17" s="200">
        <f t="shared" ref="AP17" si="97">SUM(AQ17:AT17)</f>
        <v>0</v>
      </c>
      <c r="AQ17" s="157"/>
      <c r="AR17" s="157"/>
      <c r="AS17" s="157"/>
      <c r="AT17" s="158"/>
      <c r="AU17" s="200">
        <f t="shared" ref="AU17" si="98">SUM(AV17:AY17)</f>
        <v>0</v>
      </c>
      <c r="AV17" s="157"/>
      <c r="AW17" s="157"/>
      <c r="AX17" s="157"/>
      <c r="AY17" s="158"/>
      <c r="AZ17" s="200">
        <f t="shared" ref="AZ17" si="99">SUM(BA17:BD17)</f>
        <v>0</v>
      </c>
      <c r="BA17" s="157"/>
      <c r="BB17" s="157"/>
      <c r="BC17" s="157"/>
      <c r="BD17" s="158"/>
      <c r="BE17" s="200">
        <f t="shared" ref="BE17" si="100">SUM(BF17:BI17)</f>
        <v>0</v>
      </c>
      <c r="BF17" s="157"/>
      <c r="BG17" s="157"/>
      <c r="BH17" s="157"/>
      <c r="BI17" s="158"/>
      <c r="BJ17" s="200">
        <f t="shared" ref="BJ17" si="101">SUM(BK17:BN17)</f>
        <v>0</v>
      </c>
      <c r="BK17" s="157"/>
      <c r="BL17" s="157"/>
      <c r="BM17" s="157"/>
      <c r="BN17" s="325"/>
      <c r="BO17" s="334"/>
    </row>
    <row r="18" spans="1:67" s="206" customFormat="1" ht="12" customHeight="1" outlineLevel="1" thickBot="1">
      <c r="A18" s="202" t="s">
        <v>139</v>
      </c>
      <c r="B18" s="204" t="e">
        <f>B17/B11</f>
        <v>#REF!</v>
      </c>
      <c r="C18" s="205" t="e">
        <f>C17/C9</f>
        <v>#REF!</v>
      </c>
      <c r="D18" s="205" t="e">
        <f t="shared" ref="D18" si="102">D17/D9</f>
        <v>#REF!</v>
      </c>
      <c r="E18" s="205" t="e">
        <f t="shared" ref="E18" si="103">E17/E9</f>
        <v>#REF!</v>
      </c>
      <c r="F18" s="205" t="e">
        <f t="shared" ref="F18" si="104">F17/F9</f>
        <v>#REF!</v>
      </c>
      <c r="G18" s="204">
        <f>G17/G9</f>
        <v>1.8435138375841847E-2</v>
      </c>
      <c r="H18" s="205">
        <f>H17/H9</f>
        <v>6.7592589263564359E-2</v>
      </c>
      <c r="I18" s="205">
        <f t="shared" ref="I18:K18" si="105">I17/I9</f>
        <v>0.18772348033373062</v>
      </c>
      <c r="J18" s="205">
        <f t="shared" si="105"/>
        <v>0</v>
      </c>
      <c r="K18" s="205">
        <f t="shared" si="105"/>
        <v>0</v>
      </c>
      <c r="L18" s="204">
        <f>L17/L9</f>
        <v>2.4937257799142437E-2</v>
      </c>
      <c r="M18" s="205">
        <f t="shared" ref="M18:P18" si="106">M17/M9</f>
        <v>5.8008415694978242E-2</v>
      </c>
      <c r="N18" s="205">
        <f t="shared" si="106"/>
        <v>0.21461083295402822</v>
      </c>
      <c r="O18" s="205">
        <f t="shared" si="106"/>
        <v>0</v>
      </c>
      <c r="P18" s="205">
        <f t="shared" si="106"/>
        <v>0</v>
      </c>
      <c r="Q18" s="204">
        <f>Q17/Q9</f>
        <v>2.6105255497471103E-2</v>
      </c>
      <c r="R18" s="205">
        <f t="shared" ref="R18:U18" si="107">R17/R9</f>
        <v>6.5182222621668992E-2</v>
      </c>
      <c r="S18" s="205">
        <f t="shared" si="107"/>
        <v>0.24025487256371814</v>
      </c>
      <c r="T18" s="205">
        <f t="shared" si="107"/>
        <v>0</v>
      </c>
      <c r="U18" s="205">
        <f t="shared" si="107"/>
        <v>0</v>
      </c>
      <c r="V18" s="204">
        <f>V17/V11</f>
        <v>-0.10217010042253609</v>
      </c>
      <c r="W18" s="205">
        <f>W17/W11</f>
        <v>2.3019566367001585</v>
      </c>
      <c r="X18" s="205">
        <f t="shared" si="64"/>
        <v>-0.2401531728665208</v>
      </c>
      <c r="Y18" s="205">
        <f t="shared" si="65"/>
        <v>0</v>
      </c>
      <c r="Z18" s="205">
        <f t="shared" si="66"/>
        <v>0</v>
      </c>
      <c r="AA18" s="204">
        <f>AA17/AA11</f>
        <v>-0.13849788632310742</v>
      </c>
      <c r="AB18" s="205">
        <f>AB17/AB11</f>
        <v>0</v>
      </c>
      <c r="AC18" s="205">
        <f t="shared" si="67"/>
        <v>0.50557620817843862</v>
      </c>
      <c r="AD18" s="205">
        <f t="shared" si="68"/>
        <v>0</v>
      </c>
      <c r="AE18" s="205">
        <f t="shared" si="69"/>
        <v>0</v>
      </c>
      <c r="AF18" s="204">
        <f>AF17/AF11</f>
        <v>0</v>
      </c>
      <c r="AG18" s="205">
        <f>AG17/AG11</f>
        <v>0</v>
      </c>
      <c r="AH18" s="205">
        <f t="shared" si="70"/>
        <v>0</v>
      </c>
      <c r="AI18" s="205">
        <f t="shared" si="71"/>
        <v>0</v>
      </c>
      <c r="AJ18" s="205">
        <f t="shared" si="72"/>
        <v>0</v>
      </c>
      <c r="AK18" s="204" t="e">
        <f>AK17/AK11</f>
        <v>#DIV/0!</v>
      </c>
      <c r="AL18" s="205" t="e">
        <f>AL17/AL11</f>
        <v>#DIV/0!</v>
      </c>
      <c r="AM18" s="205" t="e">
        <f t="shared" si="73"/>
        <v>#DIV/0!</v>
      </c>
      <c r="AN18" s="205" t="e">
        <f t="shared" si="74"/>
        <v>#DIV/0!</v>
      </c>
      <c r="AO18" s="205" t="e">
        <f t="shared" si="75"/>
        <v>#DIV/0!</v>
      </c>
      <c r="AP18" s="204" t="e">
        <f>AP17/AP11</f>
        <v>#DIV/0!</v>
      </c>
      <c r="AQ18" s="205" t="e">
        <f>AQ17/AQ11</f>
        <v>#DIV/0!</v>
      </c>
      <c r="AR18" s="205" t="e">
        <f t="shared" si="76"/>
        <v>#DIV/0!</v>
      </c>
      <c r="AS18" s="205" t="e">
        <f t="shared" si="77"/>
        <v>#DIV/0!</v>
      </c>
      <c r="AT18" s="205" t="e">
        <f t="shared" si="78"/>
        <v>#DIV/0!</v>
      </c>
      <c r="AU18" s="204" t="e">
        <f>AU17/AU11</f>
        <v>#DIV/0!</v>
      </c>
      <c r="AV18" s="205" t="e">
        <f>AV17/AV11</f>
        <v>#DIV/0!</v>
      </c>
      <c r="AW18" s="205" t="e">
        <f t="shared" si="79"/>
        <v>#DIV/0!</v>
      </c>
      <c r="AX18" s="205" t="e">
        <f t="shared" si="80"/>
        <v>#DIV/0!</v>
      </c>
      <c r="AY18" s="205" t="e">
        <f t="shared" si="81"/>
        <v>#DIV/0!</v>
      </c>
      <c r="AZ18" s="204" t="e">
        <f>AZ17/AZ11</f>
        <v>#DIV/0!</v>
      </c>
      <c r="BA18" s="205" t="e">
        <f>BA17/BA11</f>
        <v>#DIV/0!</v>
      </c>
      <c r="BB18" s="205" t="e">
        <f t="shared" si="82"/>
        <v>#DIV/0!</v>
      </c>
      <c r="BC18" s="205" t="e">
        <f t="shared" si="83"/>
        <v>#DIV/0!</v>
      </c>
      <c r="BD18" s="205" t="e">
        <f t="shared" si="84"/>
        <v>#DIV/0!</v>
      </c>
      <c r="BE18" s="204" t="e">
        <f>BE17/BE11</f>
        <v>#DIV/0!</v>
      </c>
      <c r="BF18" s="205" t="e">
        <f>BF17/BF11</f>
        <v>#DIV/0!</v>
      </c>
      <c r="BG18" s="205" t="e">
        <f t="shared" si="85"/>
        <v>#DIV/0!</v>
      </c>
      <c r="BH18" s="205" t="e">
        <f t="shared" si="86"/>
        <v>#DIV/0!</v>
      </c>
      <c r="BI18" s="205" t="e">
        <f t="shared" si="87"/>
        <v>#DIV/0!</v>
      </c>
      <c r="BJ18" s="204" t="e">
        <f>BJ17/BJ11</f>
        <v>#DIV/0!</v>
      </c>
      <c r="BK18" s="205" t="e">
        <f>BK17/BK11</f>
        <v>#DIV/0!</v>
      </c>
      <c r="BL18" s="205" t="e">
        <f t="shared" si="88"/>
        <v>#DIV/0!</v>
      </c>
      <c r="BM18" s="205" t="e">
        <f t="shared" si="89"/>
        <v>#DIV/0!</v>
      </c>
      <c r="BN18" s="326" t="e">
        <f t="shared" si="90"/>
        <v>#DIV/0!</v>
      </c>
      <c r="BO18" s="334"/>
    </row>
    <row r="19" spans="1:67" s="9" customFormat="1" ht="15.75" outlineLevel="1" thickBot="1">
      <c r="A19" s="163" t="s">
        <v>118</v>
      </c>
      <c r="B19" s="200">
        <f t="shared" ref="B19" si="108">SUM(C19:F19)</f>
        <v>485205</v>
      </c>
      <c r="C19" s="246">
        <f>SUM(H19,M19,R19,W19,AB19,AG19,AL19,AQ19,AV19,BA19,BF19,BK19)</f>
        <v>0</v>
      </c>
      <c r="D19" s="247">
        <f>SUM(I19,N19,S19,X19,AC19,AH19,AM19,AR19,AW19,BB19,BG19,BL19)</f>
        <v>30300</v>
      </c>
      <c r="E19" s="247">
        <f>SUM(J19,O19,T19,Y19,AD19,AI19,AN19,AS19,AX19,BC19,BH19,BM19)</f>
        <v>454905</v>
      </c>
      <c r="F19" s="260">
        <f>SUM(K19,P19,U19,Z19,AE19,AJ19,AO19,AT19,AY19,BD19,BI19,BN19)</f>
        <v>0</v>
      </c>
      <c r="G19" s="200">
        <f t="shared" si="44"/>
        <v>82650</v>
      </c>
      <c r="H19" s="190"/>
      <c r="I19" s="157">
        <v>4500</v>
      </c>
      <c r="J19" s="157">
        <f>87110-8960</f>
        <v>78150</v>
      </c>
      <c r="K19" s="158"/>
      <c r="L19" s="200">
        <f t="shared" si="45"/>
        <v>97040</v>
      </c>
      <c r="M19" s="157"/>
      <c r="N19" s="157">
        <v>12600</v>
      </c>
      <c r="O19" s="157">
        <v>84440</v>
      </c>
      <c r="P19" s="158"/>
      <c r="Q19" s="200">
        <f t="shared" si="92"/>
        <v>114295</v>
      </c>
      <c r="R19" s="157"/>
      <c r="S19" s="157">
        <v>8700</v>
      </c>
      <c r="T19" s="157">
        <v>105595</v>
      </c>
      <c r="U19" s="158"/>
      <c r="V19" s="200">
        <f t="shared" si="47"/>
        <v>105935</v>
      </c>
      <c r="W19" s="157"/>
      <c r="X19" s="157">
        <v>2700</v>
      </c>
      <c r="Y19" s="157">
        <v>103235</v>
      </c>
      <c r="Z19" s="158"/>
      <c r="AA19" s="200">
        <f t="shared" si="48"/>
        <v>85285</v>
      </c>
      <c r="AB19" s="157"/>
      <c r="AC19" s="157">
        <v>1800</v>
      </c>
      <c r="AD19" s="157">
        <v>83485</v>
      </c>
      <c r="AE19" s="158"/>
      <c r="AF19" s="200">
        <f t="shared" si="49"/>
        <v>0</v>
      </c>
      <c r="AG19" s="157"/>
      <c r="AH19" s="157"/>
      <c r="AI19" s="157"/>
      <c r="AJ19" s="158"/>
      <c r="AK19" s="200">
        <f t="shared" si="50"/>
        <v>0</v>
      </c>
      <c r="AL19" s="157"/>
      <c r="AM19" s="157"/>
      <c r="AN19" s="157"/>
      <c r="AO19" s="158"/>
      <c r="AP19" s="200">
        <f t="shared" si="51"/>
        <v>0</v>
      </c>
      <c r="AQ19" s="157"/>
      <c r="AR19" s="157"/>
      <c r="AS19" s="157"/>
      <c r="AT19" s="158"/>
      <c r="AU19" s="200">
        <f t="shared" si="52"/>
        <v>0</v>
      </c>
      <c r="AV19" s="157"/>
      <c r="AW19" s="157"/>
      <c r="AX19" s="157"/>
      <c r="AY19" s="158"/>
      <c r="AZ19" s="200">
        <f t="shared" si="53"/>
        <v>0</v>
      </c>
      <c r="BA19" s="157"/>
      <c r="BB19" s="157"/>
      <c r="BC19" s="157"/>
      <c r="BD19" s="158"/>
      <c r="BE19" s="200">
        <f t="shared" si="54"/>
        <v>0</v>
      </c>
      <c r="BF19" s="157"/>
      <c r="BG19" s="157"/>
      <c r="BH19" s="157"/>
      <c r="BI19" s="158"/>
      <c r="BJ19" s="200">
        <f t="shared" si="55"/>
        <v>0</v>
      </c>
      <c r="BK19" s="157"/>
      <c r="BL19" s="157"/>
      <c r="BM19" s="157"/>
      <c r="BN19" s="325"/>
      <c r="BO19" s="334"/>
    </row>
    <row r="20" spans="1:67" s="206" customFormat="1" ht="12" customHeight="1" outlineLevel="1" thickBot="1">
      <c r="A20" s="202" t="s">
        <v>142</v>
      </c>
      <c r="B20" s="204" t="e">
        <f>B19/B9</f>
        <v>#REF!</v>
      </c>
      <c r="C20" s="205" t="e">
        <f>C19/C9</f>
        <v>#REF!</v>
      </c>
      <c r="D20" s="205" t="e">
        <f t="shared" ref="D20:F20" si="109">D19/D9</f>
        <v>#REF!</v>
      </c>
      <c r="E20" s="205" t="e">
        <f t="shared" si="109"/>
        <v>#REF!</v>
      </c>
      <c r="F20" s="205" t="e">
        <f t="shared" si="109"/>
        <v>#REF!</v>
      </c>
      <c r="G20" s="204">
        <f>G19/G9</f>
        <v>2.8559778571008974E-2</v>
      </c>
      <c r="H20" s="205">
        <f>H19/H9</f>
        <v>0</v>
      </c>
      <c r="I20" s="205">
        <f t="shared" ref="I20:K20" si="110">I19/I9</f>
        <v>5.3635280095351609E-2</v>
      </c>
      <c r="J20" s="205">
        <f t="shared" si="110"/>
        <v>6.3289089009645208E-2</v>
      </c>
      <c r="K20" s="205">
        <f t="shared" si="110"/>
        <v>0</v>
      </c>
      <c r="L20" s="204">
        <f>L19/L9</f>
        <v>2.9225984261217173E-2</v>
      </c>
      <c r="M20" s="205">
        <f t="shared" ref="M20:AQ20" si="111">M19/M9</f>
        <v>0</v>
      </c>
      <c r="N20" s="205">
        <f t="shared" si="111"/>
        <v>5.7350933090578059E-2</v>
      </c>
      <c r="O20" s="205">
        <f t="shared" si="111"/>
        <v>6.5327367943015718E-2</v>
      </c>
      <c r="P20" s="205">
        <f t="shared" si="111"/>
        <v>0</v>
      </c>
      <c r="Q20" s="204">
        <f>Q19/Q9</f>
        <v>2.7725690443557681E-2</v>
      </c>
      <c r="R20" s="205">
        <f t="shared" si="111"/>
        <v>0</v>
      </c>
      <c r="S20" s="205">
        <f t="shared" si="111"/>
        <v>3.2608695652173912E-2</v>
      </c>
      <c r="T20" s="205">
        <f t="shared" si="111"/>
        <v>6.5432843885705222E-2</v>
      </c>
      <c r="U20" s="205">
        <f t="shared" si="111"/>
        <v>0</v>
      </c>
      <c r="V20" s="204">
        <f t="shared" si="111"/>
        <v>3.1536646038174423E-2</v>
      </c>
      <c r="W20" s="205">
        <f t="shared" si="111"/>
        <v>0</v>
      </c>
      <c r="X20" s="205">
        <f t="shared" si="111"/>
        <v>2.4861878453038673E-2</v>
      </c>
      <c r="Y20" s="205">
        <f t="shared" si="111"/>
        <v>0.1158641975308642</v>
      </c>
      <c r="Z20" s="205">
        <f t="shared" si="111"/>
        <v>0</v>
      </c>
      <c r="AA20" s="204">
        <f t="shared" si="111"/>
        <v>2.902710444380004E-2</v>
      </c>
      <c r="AB20" s="205">
        <f t="shared" si="111"/>
        <v>0</v>
      </c>
      <c r="AC20" s="205">
        <f t="shared" si="111"/>
        <v>5.9790732436472349E-3</v>
      </c>
      <c r="AD20" s="205">
        <f t="shared" si="111"/>
        <v>0.10595484370438998</v>
      </c>
      <c r="AE20" s="205">
        <f t="shared" si="111"/>
        <v>0</v>
      </c>
      <c r="AF20" s="204" t="e">
        <f t="shared" si="111"/>
        <v>#DIV/0!</v>
      </c>
      <c r="AG20" s="205" t="e">
        <f t="shared" si="111"/>
        <v>#DIV/0!</v>
      </c>
      <c r="AH20" s="205" t="e">
        <f t="shared" si="111"/>
        <v>#DIV/0!</v>
      </c>
      <c r="AI20" s="205" t="e">
        <f t="shared" si="111"/>
        <v>#DIV/0!</v>
      </c>
      <c r="AJ20" s="205" t="e">
        <f t="shared" si="111"/>
        <v>#DIV/0!</v>
      </c>
      <c r="AK20" s="204" t="e">
        <f t="shared" si="111"/>
        <v>#DIV/0!</v>
      </c>
      <c r="AL20" s="205" t="e">
        <f t="shared" si="111"/>
        <v>#DIV/0!</v>
      </c>
      <c r="AM20" s="205" t="e">
        <f t="shared" si="111"/>
        <v>#DIV/0!</v>
      </c>
      <c r="AN20" s="205" t="e">
        <f t="shared" si="111"/>
        <v>#DIV/0!</v>
      </c>
      <c r="AO20" s="205" t="e">
        <f t="shared" si="111"/>
        <v>#DIV/0!</v>
      </c>
      <c r="AP20" s="204" t="e">
        <f t="shared" si="111"/>
        <v>#DIV/0!</v>
      </c>
      <c r="AQ20" s="205" t="e">
        <f t="shared" si="111"/>
        <v>#DIV/0!</v>
      </c>
      <c r="AR20" s="205" t="e">
        <f t="shared" ref="AR20:BN20" si="112">AR19/AR9</f>
        <v>#DIV/0!</v>
      </c>
      <c r="AS20" s="205" t="e">
        <f t="shared" si="112"/>
        <v>#DIV/0!</v>
      </c>
      <c r="AT20" s="205" t="e">
        <f t="shared" si="112"/>
        <v>#DIV/0!</v>
      </c>
      <c r="AU20" s="204" t="e">
        <f t="shared" si="112"/>
        <v>#DIV/0!</v>
      </c>
      <c r="AV20" s="205" t="e">
        <f t="shared" si="112"/>
        <v>#DIV/0!</v>
      </c>
      <c r="AW20" s="205" t="e">
        <f t="shared" si="112"/>
        <v>#DIV/0!</v>
      </c>
      <c r="AX20" s="205" t="e">
        <f t="shared" si="112"/>
        <v>#DIV/0!</v>
      </c>
      <c r="AY20" s="205" t="e">
        <f t="shared" si="112"/>
        <v>#DIV/0!</v>
      </c>
      <c r="AZ20" s="204" t="e">
        <f t="shared" si="112"/>
        <v>#DIV/0!</v>
      </c>
      <c r="BA20" s="205" t="e">
        <f t="shared" si="112"/>
        <v>#DIV/0!</v>
      </c>
      <c r="BB20" s="205" t="e">
        <f t="shared" si="112"/>
        <v>#DIV/0!</v>
      </c>
      <c r="BC20" s="205" t="e">
        <f t="shared" si="112"/>
        <v>#DIV/0!</v>
      </c>
      <c r="BD20" s="205" t="e">
        <f t="shared" si="112"/>
        <v>#DIV/0!</v>
      </c>
      <c r="BE20" s="204" t="e">
        <f t="shared" si="112"/>
        <v>#DIV/0!</v>
      </c>
      <c r="BF20" s="205" t="e">
        <f t="shared" si="112"/>
        <v>#DIV/0!</v>
      </c>
      <c r="BG20" s="205" t="e">
        <f t="shared" si="112"/>
        <v>#DIV/0!</v>
      </c>
      <c r="BH20" s="205" t="e">
        <f t="shared" si="112"/>
        <v>#DIV/0!</v>
      </c>
      <c r="BI20" s="205" t="e">
        <f t="shared" si="112"/>
        <v>#DIV/0!</v>
      </c>
      <c r="BJ20" s="204" t="e">
        <f t="shared" si="112"/>
        <v>#DIV/0!</v>
      </c>
      <c r="BK20" s="205" t="e">
        <f t="shared" si="112"/>
        <v>#DIV/0!</v>
      </c>
      <c r="BL20" s="205" t="e">
        <f t="shared" si="112"/>
        <v>#DIV/0!</v>
      </c>
      <c r="BM20" s="205" t="e">
        <f t="shared" si="112"/>
        <v>#DIV/0!</v>
      </c>
      <c r="BN20" s="326" t="e">
        <f t="shared" si="112"/>
        <v>#DIV/0!</v>
      </c>
      <c r="BO20" s="334"/>
    </row>
    <row r="21" spans="1:67" s="9" customFormat="1" ht="15.75" outlineLevel="1" thickBot="1">
      <c r="A21" s="163" t="s">
        <v>178</v>
      </c>
      <c r="B21" s="200">
        <f t="shared" ref="B21" si="113">SUM(C21:F21)</f>
        <v>0</v>
      </c>
      <c r="C21" s="246">
        <f>SUM(H21,M21,R21,W21,AB21,AG21,AL21,AQ21,AV21,BA21,BF21,BK21)</f>
        <v>0</v>
      </c>
      <c r="D21" s="247">
        <f>SUM(I21,N21,S21,X21,AC21,AH21,AM21,AR21,AW21,BB21,BG21,BL21)</f>
        <v>0</v>
      </c>
      <c r="E21" s="247">
        <f>SUM(J21,O21,T21,Y21,AD21,AI21,AN21,AS21,AX21,BC21,BH21,BM21)</f>
        <v>0</v>
      </c>
      <c r="F21" s="260">
        <f>SUM(K21,P21,U21,Z21,AE21,AJ21,AO21,AT21,AY21,BD21,BI21,BN21)</f>
        <v>0</v>
      </c>
      <c r="G21" s="200">
        <f t="shared" si="44"/>
        <v>0</v>
      </c>
      <c r="H21" s="190"/>
      <c r="I21" s="157"/>
      <c r="J21" s="157"/>
      <c r="K21" s="158"/>
      <c r="L21" s="200">
        <f t="shared" si="45"/>
        <v>0</v>
      </c>
      <c r="M21" s="157"/>
      <c r="N21" s="157"/>
      <c r="O21" s="157"/>
      <c r="P21" s="158"/>
      <c r="Q21" s="200">
        <f t="shared" si="92"/>
        <v>0</v>
      </c>
      <c r="R21" s="157"/>
      <c r="S21" s="157"/>
      <c r="T21" s="157"/>
      <c r="U21" s="158"/>
      <c r="V21" s="200">
        <f t="shared" ref="V21" si="114">SUM(W21:Z21)</f>
        <v>0</v>
      </c>
      <c r="W21" s="157"/>
      <c r="X21" s="157"/>
      <c r="Y21" s="157"/>
      <c r="Z21" s="158"/>
      <c r="AA21" s="200">
        <f t="shared" ref="AA21" si="115">SUM(AB21:AE21)</f>
        <v>0</v>
      </c>
      <c r="AB21" s="157"/>
      <c r="AC21" s="157"/>
      <c r="AD21" s="157"/>
      <c r="AE21" s="158"/>
      <c r="AF21" s="200">
        <f t="shared" ref="AF21" si="116">SUM(AG21:AJ21)</f>
        <v>0</v>
      </c>
      <c r="AG21" s="157"/>
      <c r="AH21" s="157"/>
      <c r="AI21" s="157"/>
      <c r="AJ21" s="158"/>
      <c r="AK21" s="200">
        <f t="shared" ref="AK21" si="117">SUM(AL21:AO21)</f>
        <v>0</v>
      </c>
      <c r="AL21" s="157"/>
      <c r="AM21" s="157"/>
      <c r="AN21" s="157"/>
      <c r="AO21" s="158"/>
      <c r="AP21" s="200">
        <f t="shared" ref="AP21" si="118">SUM(AQ21:AT21)</f>
        <v>0</v>
      </c>
      <c r="AQ21" s="157"/>
      <c r="AR21" s="157"/>
      <c r="AS21" s="157"/>
      <c r="AT21" s="158"/>
      <c r="AU21" s="200">
        <f t="shared" ref="AU21" si="119">SUM(AV21:AY21)</f>
        <v>0</v>
      </c>
      <c r="AV21" s="157"/>
      <c r="AW21" s="157"/>
      <c r="AX21" s="157"/>
      <c r="AY21" s="158"/>
      <c r="AZ21" s="200">
        <f t="shared" ref="AZ21" si="120">SUM(BA21:BD21)</f>
        <v>0</v>
      </c>
      <c r="BA21" s="157"/>
      <c r="BB21" s="157"/>
      <c r="BC21" s="157"/>
      <c r="BD21" s="158"/>
      <c r="BE21" s="200">
        <f t="shared" ref="BE21" si="121">SUM(BF21:BI21)</f>
        <v>0</v>
      </c>
      <c r="BF21" s="157"/>
      <c r="BG21" s="157"/>
      <c r="BH21" s="157"/>
      <c r="BI21" s="158"/>
      <c r="BJ21" s="200">
        <f t="shared" ref="BJ21" si="122">SUM(BK21:BN21)</f>
        <v>0</v>
      </c>
      <c r="BK21" s="157"/>
      <c r="BL21" s="157"/>
      <c r="BM21" s="157"/>
      <c r="BN21" s="325"/>
      <c r="BO21" s="334"/>
    </row>
    <row r="22" spans="1:67" s="206" customFormat="1" ht="12" customHeight="1" outlineLevel="1" thickBot="1">
      <c r="A22" s="202" t="s">
        <v>142</v>
      </c>
      <c r="B22" s="204" t="e">
        <f>B21/B11</f>
        <v>#REF!</v>
      </c>
      <c r="C22" s="205" t="e">
        <f>C21/C11</f>
        <v>#REF!</v>
      </c>
      <c r="D22" s="205" t="e">
        <f t="shared" ref="D22:F22" si="123">D21/D11</f>
        <v>#REF!</v>
      </c>
      <c r="E22" s="205" t="e">
        <f t="shared" si="123"/>
        <v>#REF!</v>
      </c>
      <c r="F22" s="205" t="e">
        <f t="shared" si="123"/>
        <v>#REF!</v>
      </c>
      <c r="G22" s="204">
        <f>G21/G9</f>
        <v>0</v>
      </c>
      <c r="H22" s="205">
        <f>H21/H9</f>
        <v>0</v>
      </c>
      <c r="I22" s="205">
        <f t="shared" ref="I22:K22" si="124">I21/I9</f>
        <v>0</v>
      </c>
      <c r="J22" s="205">
        <f t="shared" si="124"/>
        <v>0</v>
      </c>
      <c r="K22" s="205">
        <f t="shared" si="124"/>
        <v>0</v>
      </c>
      <c r="L22" s="204">
        <f>L21/L9</f>
        <v>0</v>
      </c>
      <c r="M22" s="205">
        <f>M21/M9</f>
        <v>0</v>
      </c>
      <c r="N22" s="205">
        <f t="shared" ref="N22" si="125">N21/N9</f>
        <v>0</v>
      </c>
      <c r="O22" s="205">
        <f t="shared" ref="O22" si="126">O21/O9</f>
        <v>0</v>
      </c>
      <c r="P22" s="205">
        <f t="shared" ref="P22" si="127">P21/P9</f>
        <v>0</v>
      </c>
      <c r="Q22" s="204">
        <f>Q21/Q9</f>
        <v>0</v>
      </c>
      <c r="R22" s="205">
        <f>R21/R9</f>
        <v>0</v>
      </c>
      <c r="S22" s="205">
        <f t="shared" ref="S22" si="128">S21/S9</f>
        <v>0</v>
      </c>
      <c r="T22" s="205">
        <f t="shared" ref="T22" si="129">T21/T9</f>
        <v>0</v>
      </c>
      <c r="U22" s="205">
        <f t="shared" ref="U22" si="130">U21/U9</f>
        <v>0</v>
      </c>
      <c r="V22" s="204">
        <f t="shared" ref="V22:AQ22" si="131">V21/V11</f>
        <v>0</v>
      </c>
      <c r="W22" s="205">
        <f t="shared" si="131"/>
        <v>0</v>
      </c>
      <c r="X22" s="205">
        <f t="shared" si="131"/>
        <v>0</v>
      </c>
      <c r="Y22" s="205">
        <f t="shared" si="131"/>
        <v>0</v>
      </c>
      <c r="Z22" s="205">
        <f t="shared" si="131"/>
        <v>0</v>
      </c>
      <c r="AA22" s="204">
        <f t="shared" si="131"/>
        <v>0</v>
      </c>
      <c r="AB22" s="205">
        <f t="shared" si="131"/>
        <v>0</v>
      </c>
      <c r="AC22" s="205">
        <f t="shared" si="131"/>
        <v>0</v>
      </c>
      <c r="AD22" s="205">
        <f t="shared" si="131"/>
        <v>0</v>
      </c>
      <c r="AE22" s="205">
        <f t="shared" si="131"/>
        <v>0</v>
      </c>
      <c r="AF22" s="204">
        <f t="shared" si="131"/>
        <v>0</v>
      </c>
      <c r="AG22" s="205">
        <f t="shared" si="131"/>
        <v>0</v>
      </c>
      <c r="AH22" s="205">
        <f t="shared" si="131"/>
        <v>0</v>
      </c>
      <c r="AI22" s="205">
        <f t="shared" si="131"/>
        <v>0</v>
      </c>
      <c r="AJ22" s="205">
        <f t="shared" si="131"/>
        <v>0</v>
      </c>
      <c r="AK22" s="204" t="e">
        <f t="shared" si="131"/>
        <v>#DIV/0!</v>
      </c>
      <c r="AL22" s="205" t="e">
        <f t="shared" si="131"/>
        <v>#DIV/0!</v>
      </c>
      <c r="AM22" s="205" t="e">
        <f t="shared" si="131"/>
        <v>#DIV/0!</v>
      </c>
      <c r="AN22" s="205" t="e">
        <f t="shared" si="131"/>
        <v>#DIV/0!</v>
      </c>
      <c r="AO22" s="205" t="e">
        <f t="shared" si="131"/>
        <v>#DIV/0!</v>
      </c>
      <c r="AP22" s="204" t="e">
        <f t="shared" si="131"/>
        <v>#DIV/0!</v>
      </c>
      <c r="AQ22" s="205" t="e">
        <f t="shared" si="131"/>
        <v>#DIV/0!</v>
      </c>
      <c r="AR22" s="205" t="e">
        <f t="shared" ref="AR22:BN22" si="132">AR21/AR11</f>
        <v>#DIV/0!</v>
      </c>
      <c r="AS22" s="205" t="e">
        <f t="shared" si="132"/>
        <v>#DIV/0!</v>
      </c>
      <c r="AT22" s="205" t="e">
        <f t="shared" si="132"/>
        <v>#DIV/0!</v>
      </c>
      <c r="AU22" s="204" t="e">
        <f t="shared" si="132"/>
        <v>#DIV/0!</v>
      </c>
      <c r="AV22" s="205" t="e">
        <f t="shared" si="132"/>
        <v>#DIV/0!</v>
      </c>
      <c r="AW22" s="205" t="e">
        <f t="shared" si="132"/>
        <v>#DIV/0!</v>
      </c>
      <c r="AX22" s="205" t="e">
        <f t="shared" si="132"/>
        <v>#DIV/0!</v>
      </c>
      <c r="AY22" s="205" t="e">
        <f t="shared" si="132"/>
        <v>#DIV/0!</v>
      </c>
      <c r="AZ22" s="204" t="e">
        <f t="shared" si="132"/>
        <v>#DIV/0!</v>
      </c>
      <c r="BA22" s="205" t="e">
        <f t="shared" si="132"/>
        <v>#DIV/0!</v>
      </c>
      <c r="BB22" s="205" t="e">
        <f t="shared" si="132"/>
        <v>#DIV/0!</v>
      </c>
      <c r="BC22" s="205" t="e">
        <f t="shared" si="132"/>
        <v>#DIV/0!</v>
      </c>
      <c r="BD22" s="205" t="e">
        <f t="shared" si="132"/>
        <v>#DIV/0!</v>
      </c>
      <c r="BE22" s="204" t="e">
        <f t="shared" si="132"/>
        <v>#DIV/0!</v>
      </c>
      <c r="BF22" s="205" t="e">
        <f t="shared" si="132"/>
        <v>#DIV/0!</v>
      </c>
      <c r="BG22" s="205" t="e">
        <f t="shared" si="132"/>
        <v>#DIV/0!</v>
      </c>
      <c r="BH22" s="205" t="e">
        <f t="shared" si="132"/>
        <v>#DIV/0!</v>
      </c>
      <c r="BI22" s="205" t="e">
        <f t="shared" si="132"/>
        <v>#DIV/0!</v>
      </c>
      <c r="BJ22" s="204" t="e">
        <f t="shared" si="132"/>
        <v>#DIV/0!</v>
      </c>
      <c r="BK22" s="205" t="e">
        <f t="shared" si="132"/>
        <v>#DIV/0!</v>
      </c>
      <c r="BL22" s="205" t="e">
        <f t="shared" si="132"/>
        <v>#DIV/0!</v>
      </c>
      <c r="BM22" s="205" t="e">
        <f t="shared" si="132"/>
        <v>#DIV/0!</v>
      </c>
      <c r="BN22" s="326" t="e">
        <f t="shared" si="132"/>
        <v>#DIV/0!</v>
      </c>
      <c r="BO22" s="334"/>
    </row>
    <row r="23" spans="1:67" s="9" customFormat="1" ht="15.75" outlineLevel="1" thickBot="1">
      <c r="A23" s="163" t="s">
        <v>15</v>
      </c>
      <c r="B23" s="200">
        <f t="shared" ref="B23" si="133">SUM(C23:F23)</f>
        <v>103354</v>
      </c>
      <c r="C23" s="246">
        <f>SUM(H23,M23,R23,W23,AB23,AG23,AL23,AQ23,AV23,BA23,BF23,BK23)</f>
        <v>86954</v>
      </c>
      <c r="D23" s="247">
        <f>SUM(I23,N23,S23,X23,AC23,AH23,AM23,AR23,AW23,BB23,BG23,BL23)</f>
        <v>0</v>
      </c>
      <c r="E23" s="247">
        <f>SUM(J23,O23,T23,Y23,AD23,AI23,AN23,AS23,AX23,BC23,BH23,BM23)</f>
        <v>0</v>
      </c>
      <c r="F23" s="260">
        <f>SUM(K23,P23,U23,Z23,AE23,AJ23,AO23,AT23,AY23,BD23,BI23,BN23)</f>
        <v>16400</v>
      </c>
      <c r="G23" s="200">
        <f t="shared" si="44"/>
        <v>8461</v>
      </c>
      <c r="H23" s="190">
        <v>8461</v>
      </c>
      <c r="I23" s="157"/>
      <c r="J23" s="157"/>
      <c r="K23" s="158"/>
      <c r="L23" s="200">
        <f t="shared" si="45"/>
        <v>43794</v>
      </c>
      <c r="M23" s="157">
        <v>28094</v>
      </c>
      <c r="N23" s="157"/>
      <c r="O23" s="157"/>
      <c r="P23" s="158">
        <v>15700</v>
      </c>
      <c r="Q23" s="200">
        <f t="shared" si="92"/>
        <v>33197</v>
      </c>
      <c r="R23" s="157">
        <v>32497</v>
      </c>
      <c r="S23" s="157"/>
      <c r="T23" s="157"/>
      <c r="U23" s="158">
        <v>700</v>
      </c>
      <c r="V23" s="200">
        <f t="shared" si="47"/>
        <v>17902</v>
      </c>
      <c r="W23" s="157">
        <v>17902</v>
      </c>
      <c r="X23" s="157"/>
      <c r="Y23" s="157"/>
      <c r="Z23" s="158"/>
      <c r="AA23" s="200">
        <f t="shared" si="48"/>
        <v>0</v>
      </c>
      <c r="AB23" s="157"/>
      <c r="AC23" s="157"/>
      <c r="AD23" s="157"/>
      <c r="AE23" s="158"/>
      <c r="AF23" s="200">
        <f t="shared" si="49"/>
        <v>0</v>
      </c>
      <c r="AG23" s="157"/>
      <c r="AH23" s="157"/>
      <c r="AI23" s="157"/>
      <c r="AJ23" s="158"/>
      <c r="AK23" s="200">
        <f t="shared" si="50"/>
        <v>0</v>
      </c>
      <c r="AL23" s="157"/>
      <c r="AM23" s="157"/>
      <c r="AN23" s="157"/>
      <c r="AO23" s="158"/>
      <c r="AP23" s="200">
        <f t="shared" si="51"/>
        <v>0</v>
      </c>
      <c r="AQ23" s="157"/>
      <c r="AR23" s="157"/>
      <c r="AS23" s="157"/>
      <c r="AT23" s="158"/>
      <c r="AU23" s="200">
        <f t="shared" si="52"/>
        <v>0</v>
      </c>
      <c r="AV23" s="157"/>
      <c r="AW23" s="157"/>
      <c r="AX23" s="157"/>
      <c r="AY23" s="158"/>
      <c r="AZ23" s="200">
        <f t="shared" si="53"/>
        <v>0</v>
      </c>
      <c r="BA23" s="157"/>
      <c r="BB23" s="157"/>
      <c r="BC23" s="157"/>
      <c r="BD23" s="158"/>
      <c r="BE23" s="200">
        <f t="shared" si="54"/>
        <v>0</v>
      </c>
      <c r="BF23" s="157"/>
      <c r="BG23" s="157"/>
      <c r="BH23" s="157"/>
      <c r="BI23" s="158"/>
      <c r="BJ23" s="200">
        <f t="shared" si="55"/>
        <v>0</v>
      </c>
      <c r="BK23" s="157"/>
      <c r="BL23" s="157"/>
      <c r="BM23" s="157"/>
      <c r="BN23" s="325"/>
      <c r="BO23" s="334"/>
    </row>
    <row r="24" spans="1:67" s="206" customFormat="1" ht="12" customHeight="1" outlineLevel="1" thickBot="1">
      <c r="A24" s="202" t="s">
        <v>140</v>
      </c>
      <c r="B24" s="204" t="e">
        <f t="shared" ref="B24:F24" si="134">B23/B9</f>
        <v>#REF!</v>
      </c>
      <c r="C24" s="205" t="e">
        <f t="shared" si="134"/>
        <v>#REF!</v>
      </c>
      <c r="D24" s="205" t="e">
        <f t="shared" si="134"/>
        <v>#REF!</v>
      </c>
      <c r="E24" s="205" t="e">
        <f t="shared" si="134"/>
        <v>#REF!</v>
      </c>
      <c r="F24" s="205" t="e">
        <f t="shared" si="134"/>
        <v>#REF!</v>
      </c>
      <c r="G24" s="204">
        <f t="shared" ref="G24:AL24" si="135">G23/G9</f>
        <v>2.9237058256419471E-3</v>
      </c>
      <c r="H24" s="205">
        <f t="shared" si="135"/>
        <v>1.5210130259548352E-2</v>
      </c>
      <c r="I24" s="205">
        <f t="shared" si="135"/>
        <v>0</v>
      </c>
      <c r="J24" s="205">
        <f t="shared" si="135"/>
        <v>0</v>
      </c>
      <c r="K24" s="205">
        <f t="shared" si="135"/>
        <v>0</v>
      </c>
      <c r="L24" s="204">
        <f t="shared" ref="L24" si="136">L23/L9</f>
        <v>1.3189640918546424E-2</v>
      </c>
      <c r="M24" s="205">
        <f t="shared" si="135"/>
        <v>4.5713560463806979E-2</v>
      </c>
      <c r="N24" s="205">
        <f t="shared" si="135"/>
        <v>0</v>
      </c>
      <c r="O24" s="205">
        <f t="shared" si="135"/>
        <v>0</v>
      </c>
      <c r="P24" s="205">
        <f t="shared" si="135"/>
        <v>1.3154587348135736E-2</v>
      </c>
      <c r="Q24" s="204">
        <f t="shared" si="135"/>
        <v>8.0529309738377377E-3</v>
      </c>
      <c r="R24" s="205">
        <f t="shared" si="135"/>
        <v>4.8678080858011653E-2</v>
      </c>
      <c r="S24" s="205">
        <f t="shared" si="135"/>
        <v>0</v>
      </c>
      <c r="T24" s="205">
        <f t="shared" si="135"/>
        <v>0</v>
      </c>
      <c r="U24" s="205">
        <f t="shared" si="135"/>
        <v>4.4467934807466546E-4</v>
      </c>
      <c r="V24" s="204">
        <f t="shared" si="135"/>
        <v>5.3293910169009157E-3</v>
      </c>
      <c r="W24" s="205">
        <f t="shared" si="135"/>
        <v>3.449923878900002E-2</v>
      </c>
      <c r="X24" s="205">
        <f t="shared" si="135"/>
        <v>0</v>
      </c>
      <c r="Y24" s="205">
        <f t="shared" si="135"/>
        <v>0</v>
      </c>
      <c r="Z24" s="205">
        <f t="shared" si="135"/>
        <v>0</v>
      </c>
      <c r="AA24" s="204">
        <f t="shared" si="135"/>
        <v>0</v>
      </c>
      <c r="AB24" s="205">
        <f t="shared" si="135"/>
        <v>0</v>
      </c>
      <c r="AC24" s="205">
        <f t="shared" si="135"/>
        <v>0</v>
      </c>
      <c r="AD24" s="205">
        <f t="shared" si="135"/>
        <v>0</v>
      </c>
      <c r="AE24" s="205">
        <f t="shared" si="135"/>
        <v>0</v>
      </c>
      <c r="AF24" s="204" t="e">
        <f t="shared" si="135"/>
        <v>#DIV/0!</v>
      </c>
      <c r="AG24" s="205" t="e">
        <f t="shared" si="135"/>
        <v>#DIV/0!</v>
      </c>
      <c r="AH24" s="205" t="e">
        <f t="shared" si="135"/>
        <v>#DIV/0!</v>
      </c>
      <c r="AI24" s="205" t="e">
        <f t="shared" si="135"/>
        <v>#DIV/0!</v>
      </c>
      <c r="AJ24" s="205" t="e">
        <f t="shared" si="135"/>
        <v>#DIV/0!</v>
      </c>
      <c r="AK24" s="204" t="e">
        <f t="shared" si="135"/>
        <v>#DIV/0!</v>
      </c>
      <c r="AL24" s="205" t="e">
        <f t="shared" si="135"/>
        <v>#DIV/0!</v>
      </c>
      <c r="AM24" s="205" t="e">
        <f t="shared" ref="AM24:BN24" si="137">AM23/AM9</f>
        <v>#DIV/0!</v>
      </c>
      <c r="AN24" s="205" t="e">
        <f t="shared" si="137"/>
        <v>#DIV/0!</v>
      </c>
      <c r="AO24" s="205" t="e">
        <f t="shared" si="137"/>
        <v>#DIV/0!</v>
      </c>
      <c r="AP24" s="204" t="e">
        <f t="shared" si="137"/>
        <v>#DIV/0!</v>
      </c>
      <c r="AQ24" s="205" t="e">
        <f t="shared" si="137"/>
        <v>#DIV/0!</v>
      </c>
      <c r="AR24" s="205" t="e">
        <f t="shared" si="137"/>
        <v>#DIV/0!</v>
      </c>
      <c r="AS24" s="205" t="e">
        <f t="shared" si="137"/>
        <v>#DIV/0!</v>
      </c>
      <c r="AT24" s="205" t="e">
        <f t="shared" si="137"/>
        <v>#DIV/0!</v>
      </c>
      <c r="AU24" s="204" t="e">
        <f t="shared" si="137"/>
        <v>#DIV/0!</v>
      </c>
      <c r="AV24" s="205" t="e">
        <f t="shared" si="137"/>
        <v>#DIV/0!</v>
      </c>
      <c r="AW24" s="205" t="e">
        <f t="shared" si="137"/>
        <v>#DIV/0!</v>
      </c>
      <c r="AX24" s="205" t="e">
        <f t="shared" si="137"/>
        <v>#DIV/0!</v>
      </c>
      <c r="AY24" s="205" t="e">
        <f t="shared" si="137"/>
        <v>#DIV/0!</v>
      </c>
      <c r="AZ24" s="204" t="e">
        <f t="shared" si="137"/>
        <v>#DIV/0!</v>
      </c>
      <c r="BA24" s="205" t="e">
        <f t="shared" si="137"/>
        <v>#DIV/0!</v>
      </c>
      <c r="BB24" s="205" t="e">
        <f t="shared" si="137"/>
        <v>#DIV/0!</v>
      </c>
      <c r="BC24" s="205" t="e">
        <f t="shared" si="137"/>
        <v>#DIV/0!</v>
      </c>
      <c r="BD24" s="205" t="e">
        <f t="shared" si="137"/>
        <v>#DIV/0!</v>
      </c>
      <c r="BE24" s="204" t="e">
        <f t="shared" si="137"/>
        <v>#DIV/0!</v>
      </c>
      <c r="BF24" s="205" t="e">
        <f t="shared" si="137"/>
        <v>#DIV/0!</v>
      </c>
      <c r="BG24" s="205" t="e">
        <f t="shared" si="137"/>
        <v>#DIV/0!</v>
      </c>
      <c r="BH24" s="205" t="e">
        <f t="shared" si="137"/>
        <v>#DIV/0!</v>
      </c>
      <c r="BI24" s="205" t="e">
        <f t="shared" si="137"/>
        <v>#DIV/0!</v>
      </c>
      <c r="BJ24" s="204" t="e">
        <f t="shared" si="137"/>
        <v>#DIV/0!</v>
      </c>
      <c r="BK24" s="205" t="e">
        <f t="shared" si="137"/>
        <v>#DIV/0!</v>
      </c>
      <c r="BL24" s="205" t="e">
        <f t="shared" si="137"/>
        <v>#DIV/0!</v>
      </c>
      <c r="BM24" s="205" t="e">
        <f t="shared" si="137"/>
        <v>#DIV/0!</v>
      </c>
      <c r="BN24" s="326" t="e">
        <f t="shared" si="137"/>
        <v>#DIV/0!</v>
      </c>
      <c r="BO24" s="334"/>
    </row>
    <row r="25" spans="1:67" s="9" customFormat="1" ht="15.75" outlineLevel="1" thickBot="1">
      <c r="A25" s="163" t="s">
        <v>181</v>
      </c>
      <c r="B25" s="200">
        <f t="shared" ref="B25" si="138">SUM(C25:F25)</f>
        <v>1218989</v>
      </c>
      <c r="C25" s="246">
        <f>SUM(H25,M25,R25,W25,AB25,AG25,AL25,AQ25,AV25,BA25,BF25,BK25)</f>
        <v>19747</v>
      </c>
      <c r="D25" s="247">
        <f>SUM(I25,N25,S25,X25,AC25,AH25,AM25,AR25,AW25,BB25,BG25,BL25)</f>
        <v>11621</v>
      </c>
      <c r="E25" s="247">
        <f>SUM(J25,O25,T25,Y25,AD25,AI25,AN25,AS25,AX25,BC25,BH25,BM25)</f>
        <v>1109513</v>
      </c>
      <c r="F25" s="260">
        <f>SUM(K25,P25,U25,Z25,AE25,AJ25,AO25,AT25,AY25,BD25,BI25,BN25)</f>
        <v>78108</v>
      </c>
      <c r="G25" s="200">
        <f t="shared" si="44"/>
        <v>162680</v>
      </c>
      <c r="H25" s="191"/>
      <c r="I25" s="159"/>
      <c r="J25" s="191">
        <f>146814</f>
        <v>146814</v>
      </c>
      <c r="K25" s="160">
        <v>15866</v>
      </c>
      <c r="L25" s="200">
        <f t="shared" si="45"/>
        <v>296844</v>
      </c>
      <c r="M25" s="159">
        <v>9609</v>
      </c>
      <c r="N25" s="159">
        <v>9245</v>
      </c>
      <c r="O25" s="159">
        <v>259938</v>
      </c>
      <c r="P25" s="160">
        <v>18052</v>
      </c>
      <c r="Q25" s="200">
        <f t="shared" si="92"/>
        <v>432088</v>
      </c>
      <c r="R25" s="159">
        <v>5683</v>
      </c>
      <c r="S25" s="159">
        <v>2016</v>
      </c>
      <c r="T25" s="159">
        <v>401661</v>
      </c>
      <c r="U25" s="160">
        <v>22728</v>
      </c>
      <c r="V25" s="200">
        <f t="shared" ref="V25" si="139">SUM(W25:Z25)</f>
        <v>180302</v>
      </c>
      <c r="W25" s="159">
        <v>4155</v>
      </c>
      <c r="X25" s="159">
        <v>210</v>
      </c>
      <c r="Y25" s="159">
        <v>162080</v>
      </c>
      <c r="Z25" s="160">
        <v>13857</v>
      </c>
      <c r="AA25" s="200">
        <f t="shared" ref="AA25" si="140">SUM(AB25:AE25)</f>
        <v>147075</v>
      </c>
      <c r="AB25" s="159">
        <v>300</v>
      </c>
      <c r="AC25" s="157">
        <v>150</v>
      </c>
      <c r="AD25" s="157">
        <v>139020</v>
      </c>
      <c r="AE25" s="160">
        <v>7605</v>
      </c>
      <c r="AF25" s="200">
        <f t="shared" ref="AF25" si="141">SUM(AG25:AJ25)</f>
        <v>0</v>
      </c>
      <c r="AG25" s="159"/>
      <c r="AH25" s="159"/>
      <c r="AI25" s="159"/>
      <c r="AJ25" s="160"/>
      <c r="AK25" s="200">
        <f t="shared" ref="AK25" si="142">SUM(AL25:AO25)</f>
        <v>0</v>
      </c>
      <c r="AL25" s="159"/>
      <c r="AM25" s="159"/>
      <c r="AN25" s="159"/>
      <c r="AO25" s="160"/>
      <c r="AP25" s="200">
        <f t="shared" ref="AP25" si="143">SUM(AQ25:AT25)</f>
        <v>0</v>
      </c>
      <c r="AQ25" s="159"/>
      <c r="AR25" s="159"/>
      <c r="AS25" s="159"/>
      <c r="AT25" s="160"/>
      <c r="AU25" s="200">
        <f t="shared" ref="AU25" si="144">SUM(AV25:AY25)</f>
        <v>0</v>
      </c>
      <c r="AV25" s="159"/>
      <c r="AW25" s="159"/>
      <c r="AX25" s="159"/>
      <c r="AY25" s="160"/>
      <c r="AZ25" s="200">
        <f t="shared" ref="AZ25" si="145">SUM(BA25:BD25)</f>
        <v>0</v>
      </c>
      <c r="BA25" s="159"/>
      <c r="BB25" s="159"/>
      <c r="BC25" s="159"/>
      <c r="BD25" s="160"/>
      <c r="BE25" s="200">
        <f t="shared" ref="BE25" si="146">SUM(BF25:BI25)</f>
        <v>0</v>
      </c>
      <c r="BF25" s="159"/>
      <c r="BG25" s="159"/>
      <c r="BH25" s="159"/>
      <c r="BI25" s="160"/>
      <c r="BJ25" s="200">
        <f t="shared" ref="BJ25" si="147">SUM(BK25:BN25)</f>
        <v>0</v>
      </c>
      <c r="BK25" s="159"/>
      <c r="BL25" s="159"/>
      <c r="BM25" s="159"/>
      <c r="BN25" s="327"/>
      <c r="BO25" s="334"/>
    </row>
    <row r="26" spans="1:67" s="206" customFormat="1" ht="12" customHeight="1" outlineLevel="1" thickBot="1">
      <c r="A26" s="202" t="s">
        <v>141</v>
      </c>
      <c r="B26" s="204" t="e">
        <f>B25/B9</f>
        <v>#REF!</v>
      </c>
      <c r="C26" s="205" t="e">
        <f>C25/C9</f>
        <v>#REF!</v>
      </c>
      <c r="D26" s="205" t="e">
        <f t="shared" ref="D26" si="148">D25/D9</f>
        <v>#REF!</v>
      </c>
      <c r="E26" s="205" t="e">
        <f t="shared" ref="E26" si="149">E25/E9</f>
        <v>#REF!</v>
      </c>
      <c r="F26" s="205" t="e">
        <f t="shared" ref="F26" si="150">F25/F9</f>
        <v>#REF!</v>
      </c>
      <c r="G26" s="204">
        <f>G25/G9</f>
        <v>5.621421388907126E-2</v>
      </c>
      <c r="H26" s="205">
        <f>H25/H9</f>
        <v>0</v>
      </c>
      <c r="I26" s="205">
        <f t="shared" ref="I26:K26" si="151">I25/I9</f>
        <v>0</v>
      </c>
      <c r="J26" s="205">
        <f t="shared" si="151"/>
        <v>0.11889602448959759</v>
      </c>
      <c r="K26" s="205">
        <f t="shared" si="151"/>
        <v>1.5570991985836344E-2</v>
      </c>
      <c r="L26" s="204">
        <f>L25/L9</f>
        <v>8.940187625759223E-2</v>
      </c>
      <c r="M26" s="205">
        <f>M25/M9</f>
        <v>1.5635424022806339E-2</v>
      </c>
      <c r="N26" s="205">
        <f t="shared" ref="N26:P26" si="152">N25/N9</f>
        <v>4.2080109239872557E-2</v>
      </c>
      <c r="O26" s="205">
        <f t="shared" si="152"/>
        <v>0.2011021478963953</v>
      </c>
      <c r="P26" s="205">
        <f t="shared" si="152"/>
        <v>1.5125261834939254E-2</v>
      </c>
      <c r="Q26" s="204">
        <f>Q25/Q9</f>
        <v>0.10481594236297258</v>
      </c>
      <c r="R26" s="205">
        <f>R25/R9</f>
        <v>8.5127098967929422E-3</v>
      </c>
      <c r="S26" s="205">
        <f t="shared" ref="S26:U26" si="153">S25/S9</f>
        <v>7.5562218890554726E-3</v>
      </c>
      <c r="T26" s="205">
        <f t="shared" si="153"/>
        <v>0.24889267018302236</v>
      </c>
      <c r="U26" s="205">
        <f t="shared" si="153"/>
        <v>1.4438103175772852E-2</v>
      </c>
      <c r="V26" s="204">
        <f>V25/V9</f>
        <v>5.3675559106762867E-2</v>
      </c>
      <c r="W26" s="205">
        <f>W25/W9</f>
        <v>8.0071688732150075E-3</v>
      </c>
      <c r="X26" s="205">
        <f t="shared" ref="X26:Z26" si="154">X25/X9</f>
        <v>1.9337016574585636E-3</v>
      </c>
      <c r="Y26" s="205">
        <f t="shared" si="154"/>
        <v>0.18190796857463523</v>
      </c>
      <c r="Z26" s="205">
        <f t="shared" si="154"/>
        <v>7.5285314881359212E-3</v>
      </c>
      <c r="AA26" s="204">
        <f>AA25/AA9</f>
        <v>5.0057587923689875E-2</v>
      </c>
      <c r="AB26" s="205">
        <f>AB25/AB9</f>
        <v>7.495558881362792E-4</v>
      </c>
      <c r="AC26" s="205">
        <f t="shared" ref="AC26:AE26" si="155">AC25/AC9</f>
        <v>4.9825610363726954E-4</v>
      </c>
      <c r="AD26" s="205">
        <f t="shared" si="155"/>
        <v>0.17643699313390784</v>
      </c>
      <c r="AE26" s="205">
        <f t="shared" si="155"/>
        <v>5.2488130642646593E-3</v>
      </c>
      <c r="AF26" s="204" t="e">
        <f t="shared" ref="AF26:BM26" si="156">AF25/AF7</f>
        <v>#VALUE!</v>
      </c>
      <c r="AG26" s="205" t="e">
        <f t="shared" si="156"/>
        <v>#VALUE!</v>
      </c>
      <c r="AH26" s="205" t="e">
        <f t="shared" si="156"/>
        <v>#VALUE!</v>
      </c>
      <c r="AI26" s="205" t="e">
        <f t="shared" si="156"/>
        <v>#VALUE!</v>
      </c>
      <c r="AJ26" s="205" t="e">
        <f t="shared" si="156"/>
        <v>#VALUE!</v>
      </c>
      <c r="AK26" s="204" t="e">
        <f t="shared" si="156"/>
        <v>#VALUE!</v>
      </c>
      <c r="AL26" s="205" t="e">
        <f t="shared" si="156"/>
        <v>#VALUE!</v>
      </c>
      <c r="AM26" s="205" t="e">
        <f t="shared" si="156"/>
        <v>#VALUE!</v>
      </c>
      <c r="AN26" s="205" t="e">
        <f t="shared" si="156"/>
        <v>#VALUE!</v>
      </c>
      <c r="AO26" s="205" t="e">
        <f t="shared" si="156"/>
        <v>#VALUE!</v>
      </c>
      <c r="AP26" s="204" t="e">
        <f t="shared" si="156"/>
        <v>#VALUE!</v>
      </c>
      <c r="AQ26" s="205" t="e">
        <f t="shared" si="156"/>
        <v>#VALUE!</v>
      </c>
      <c r="AR26" s="205" t="e">
        <f t="shared" si="156"/>
        <v>#VALUE!</v>
      </c>
      <c r="AS26" s="205" t="e">
        <f t="shared" si="156"/>
        <v>#VALUE!</v>
      </c>
      <c r="AT26" s="205" t="e">
        <f t="shared" si="156"/>
        <v>#VALUE!</v>
      </c>
      <c r="AU26" s="204" t="e">
        <f t="shared" si="156"/>
        <v>#VALUE!</v>
      </c>
      <c r="AV26" s="205" t="e">
        <f t="shared" si="156"/>
        <v>#VALUE!</v>
      </c>
      <c r="AW26" s="205" t="e">
        <f t="shared" si="156"/>
        <v>#VALUE!</v>
      </c>
      <c r="AX26" s="205" t="e">
        <f t="shared" si="156"/>
        <v>#VALUE!</v>
      </c>
      <c r="AY26" s="205" t="e">
        <f t="shared" si="156"/>
        <v>#VALUE!</v>
      </c>
      <c r="AZ26" s="204" t="e">
        <f t="shared" si="156"/>
        <v>#VALUE!</v>
      </c>
      <c r="BA26" s="205" t="e">
        <f t="shared" si="156"/>
        <v>#VALUE!</v>
      </c>
      <c r="BB26" s="205" t="e">
        <f t="shared" si="156"/>
        <v>#VALUE!</v>
      </c>
      <c r="BC26" s="205" t="e">
        <f t="shared" si="156"/>
        <v>#VALUE!</v>
      </c>
      <c r="BD26" s="205" t="e">
        <f t="shared" si="156"/>
        <v>#VALUE!</v>
      </c>
      <c r="BE26" s="204" t="e">
        <f t="shared" si="156"/>
        <v>#VALUE!</v>
      </c>
      <c r="BF26" s="205" t="e">
        <f t="shared" si="156"/>
        <v>#VALUE!</v>
      </c>
      <c r="BG26" s="205" t="e">
        <f t="shared" si="156"/>
        <v>#VALUE!</v>
      </c>
      <c r="BH26" s="205" t="e">
        <f t="shared" si="156"/>
        <v>#VALUE!</v>
      </c>
      <c r="BI26" s="205" t="e">
        <f t="shared" si="156"/>
        <v>#VALUE!</v>
      </c>
      <c r="BJ26" s="204" t="e">
        <f t="shared" si="156"/>
        <v>#VALUE!</v>
      </c>
      <c r="BK26" s="205" t="e">
        <f t="shared" si="156"/>
        <v>#VALUE!</v>
      </c>
      <c r="BL26" s="205" t="e">
        <f t="shared" si="156"/>
        <v>#VALUE!</v>
      </c>
      <c r="BM26" s="205" t="e">
        <f t="shared" si="156"/>
        <v>#VALUE!</v>
      </c>
      <c r="BN26" s="326" t="e">
        <f t="shared" ref="BN26" si="157">BN25/BN7</f>
        <v>#VALUE!</v>
      </c>
      <c r="BO26" s="334"/>
    </row>
    <row r="27" spans="1:67" s="9" customFormat="1" ht="15.75" outlineLevel="1" thickBot="1">
      <c r="A27" s="163" t="s">
        <v>179</v>
      </c>
      <c r="B27" s="200">
        <f t="shared" ref="B27" si="158">SUM(C27:F27)</f>
        <v>146450.84</v>
      </c>
      <c r="C27" s="246">
        <f>SUM(H27,M27,R27,W27,AB27,AG27,AL27,AQ27,AV27,BA27,BF27,BK27)</f>
        <v>146450.84</v>
      </c>
      <c r="D27" s="247">
        <f>SUM(I27,N27,S27,X27,AC27,AH27,AM27,AR27,AW27,BB27,BG27,BL27)</f>
        <v>0</v>
      </c>
      <c r="E27" s="247">
        <f>SUM(J27,O27,T27,Y27,AD27,AI27,AN27,AS27,AX27,BC27,BH27,BM27)</f>
        <v>0</v>
      </c>
      <c r="F27" s="260">
        <f>SUM(K27,P27,U27,Z27,AE27,AJ27,AO27,AT27,AY27,BD27,BI27,BN27)</f>
        <v>0</v>
      </c>
      <c r="G27" s="200">
        <f t="shared" si="44"/>
        <v>28439.94</v>
      </c>
      <c r="H27" s="191">
        <v>28439.94</v>
      </c>
      <c r="I27" s="159"/>
      <c r="J27" s="159"/>
      <c r="K27" s="160"/>
      <c r="L27" s="200">
        <f t="shared" si="45"/>
        <v>26611</v>
      </c>
      <c r="M27" s="159">
        <v>26611</v>
      </c>
      <c r="N27" s="159"/>
      <c r="O27" s="159"/>
      <c r="P27" s="160"/>
      <c r="Q27" s="200">
        <f t="shared" si="92"/>
        <v>38608.800000000003</v>
      </c>
      <c r="R27" s="159">
        <v>38608.800000000003</v>
      </c>
      <c r="S27" s="159"/>
      <c r="T27" s="159"/>
      <c r="U27" s="160"/>
      <c r="V27" s="200">
        <f t="shared" si="47"/>
        <v>21424.6</v>
      </c>
      <c r="W27" s="159">
        <f>27774.6-6350</f>
        <v>21424.6</v>
      </c>
      <c r="X27" s="159"/>
      <c r="Y27" s="159"/>
      <c r="Z27" s="160"/>
      <c r="AA27" s="200">
        <f t="shared" si="48"/>
        <v>31366.5</v>
      </c>
      <c r="AB27" s="159">
        <v>31366.5</v>
      </c>
      <c r="AC27" s="159"/>
      <c r="AD27" s="159"/>
      <c r="AE27" s="160"/>
      <c r="AF27" s="200">
        <f t="shared" si="49"/>
        <v>0</v>
      </c>
      <c r="AG27" s="159"/>
      <c r="AH27" s="159"/>
      <c r="AI27" s="159"/>
      <c r="AJ27" s="160"/>
      <c r="AK27" s="200">
        <f t="shared" si="50"/>
        <v>0</v>
      </c>
      <c r="AL27" s="159"/>
      <c r="AM27" s="159"/>
      <c r="AN27" s="159"/>
      <c r="AO27" s="160"/>
      <c r="AP27" s="200">
        <f t="shared" si="51"/>
        <v>0</v>
      </c>
      <c r="AQ27" s="159"/>
      <c r="AR27" s="159"/>
      <c r="AS27" s="159"/>
      <c r="AT27" s="160"/>
      <c r="AU27" s="200">
        <f t="shared" si="52"/>
        <v>0</v>
      </c>
      <c r="AV27" s="159"/>
      <c r="AW27" s="159"/>
      <c r="AX27" s="159"/>
      <c r="AY27" s="160"/>
      <c r="AZ27" s="200">
        <f t="shared" si="53"/>
        <v>0</v>
      </c>
      <c r="BA27" s="159"/>
      <c r="BB27" s="159"/>
      <c r="BC27" s="159"/>
      <c r="BD27" s="160"/>
      <c r="BE27" s="200">
        <f t="shared" si="54"/>
        <v>0</v>
      </c>
      <c r="BF27" s="159"/>
      <c r="BG27" s="159"/>
      <c r="BH27" s="159"/>
      <c r="BI27" s="160"/>
      <c r="BJ27" s="200">
        <f t="shared" si="55"/>
        <v>0</v>
      </c>
      <c r="BK27" s="159"/>
      <c r="BL27" s="159"/>
      <c r="BM27" s="159"/>
      <c r="BN27" s="327"/>
      <c r="BO27" s="334"/>
    </row>
    <row r="28" spans="1:67" s="206" customFormat="1" ht="12" customHeight="1" outlineLevel="1" thickBot="1">
      <c r="A28" s="202" t="s">
        <v>141</v>
      </c>
      <c r="B28" s="204" t="e">
        <f t="shared" ref="B28:F28" si="159">B27/B9</f>
        <v>#REF!</v>
      </c>
      <c r="C28" s="249" t="e">
        <f t="shared" si="159"/>
        <v>#REF!</v>
      </c>
      <c r="D28" s="249" t="e">
        <f t="shared" si="159"/>
        <v>#REF!</v>
      </c>
      <c r="E28" s="249" t="e">
        <f t="shared" si="159"/>
        <v>#REF!</v>
      </c>
      <c r="F28" s="249" t="e">
        <f t="shared" si="159"/>
        <v>#REF!</v>
      </c>
      <c r="G28" s="204">
        <f t="shared" ref="G28:AL28" si="160">G27/G9</f>
        <v>9.8274457225986794E-3</v>
      </c>
      <c r="H28" s="205">
        <f t="shared" si="160"/>
        <v>5.1125776146287619E-2</v>
      </c>
      <c r="I28" s="205">
        <f t="shared" si="160"/>
        <v>0</v>
      </c>
      <c r="J28" s="205">
        <f t="shared" si="160"/>
        <v>0</v>
      </c>
      <c r="K28" s="205">
        <f t="shared" si="160"/>
        <v>0</v>
      </c>
      <c r="L28" s="204">
        <f t="shared" ref="L28" si="161">L27/L9</f>
        <v>8.0145575760021664E-3</v>
      </c>
      <c r="M28" s="205">
        <f t="shared" si="160"/>
        <v>4.3300475457477311E-2</v>
      </c>
      <c r="N28" s="205">
        <f t="shared" si="160"/>
        <v>0</v>
      </c>
      <c r="O28" s="205">
        <f t="shared" si="160"/>
        <v>0</v>
      </c>
      <c r="P28" s="205">
        <f t="shared" si="160"/>
        <v>0</v>
      </c>
      <c r="Q28" s="204">
        <f t="shared" si="160"/>
        <v>9.3657258602496164E-3</v>
      </c>
      <c r="R28" s="205">
        <f t="shared" si="160"/>
        <v>5.7833101154900465E-2</v>
      </c>
      <c r="S28" s="205">
        <f t="shared" si="160"/>
        <v>0</v>
      </c>
      <c r="T28" s="205">
        <f t="shared" si="160"/>
        <v>0</v>
      </c>
      <c r="U28" s="205">
        <f t="shared" si="160"/>
        <v>0</v>
      </c>
      <c r="V28" s="204">
        <f t="shared" si="160"/>
        <v>6.3780622712934498E-3</v>
      </c>
      <c r="W28" s="205">
        <f t="shared" si="160"/>
        <v>4.1287699215663602E-2</v>
      </c>
      <c r="X28" s="205">
        <f t="shared" si="160"/>
        <v>0</v>
      </c>
      <c r="Y28" s="205">
        <f t="shared" si="160"/>
        <v>0</v>
      </c>
      <c r="Z28" s="205">
        <f t="shared" si="160"/>
        <v>0</v>
      </c>
      <c r="AA28" s="204">
        <f t="shared" si="160"/>
        <v>1.0675718725877399E-2</v>
      </c>
      <c r="AB28" s="205">
        <f t="shared" si="160"/>
        <v>7.8369815884088673E-2</v>
      </c>
      <c r="AC28" s="205">
        <f t="shared" si="160"/>
        <v>0</v>
      </c>
      <c r="AD28" s="205">
        <f t="shared" si="160"/>
        <v>0</v>
      </c>
      <c r="AE28" s="205">
        <f t="shared" si="160"/>
        <v>0</v>
      </c>
      <c r="AF28" s="204" t="e">
        <f t="shared" si="160"/>
        <v>#DIV/0!</v>
      </c>
      <c r="AG28" s="205" t="e">
        <f t="shared" si="160"/>
        <v>#DIV/0!</v>
      </c>
      <c r="AH28" s="205" t="e">
        <f t="shared" si="160"/>
        <v>#DIV/0!</v>
      </c>
      <c r="AI28" s="205" t="e">
        <f t="shared" si="160"/>
        <v>#DIV/0!</v>
      </c>
      <c r="AJ28" s="205" t="e">
        <f t="shared" si="160"/>
        <v>#DIV/0!</v>
      </c>
      <c r="AK28" s="204" t="e">
        <f t="shared" si="160"/>
        <v>#DIV/0!</v>
      </c>
      <c r="AL28" s="205" t="e">
        <f t="shared" si="160"/>
        <v>#DIV/0!</v>
      </c>
      <c r="AM28" s="205" t="e">
        <f t="shared" ref="AM28:BN28" si="162">AM27/AM9</f>
        <v>#DIV/0!</v>
      </c>
      <c r="AN28" s="205" t="e">
        <f t="shared" si="162"/>
        <v>#DIV/0!</v>
      </c>
      <c r="AO28" s="205" t="e">
        <f t="shared" si="162"/>
        <v>#DIV/0!</v>
      </c>
      <c r="AP28" s="204" t="e">
        <f t="shared" si="162"/>
        <v>#DIV/0!</v>
      </c>
      <c r="AQ28" s="205" t="e">
        <f t="shared" si="162"/>
        <v>#DIV/0!</v>
      </c>
      <c r="AR28" s="205" t="e">
        <f t="shared" si="162"/>
        <v>#DIV/0!</v>
      </c>
      <c r="AS28" s="205" t="e">
        <f t="shared" si="162"/>
        <v>#DIV/0!</v>
      </c>
      <c r="AT28" s="205" t="e">
        <f t="shared" si="162"/>
        <v>#DIV/0!</v>
      </c>
      <c r="AU28" s="204" t="e">
        <f t="shared" si="162"/>
        <v>#DIV/0!</v>
      </c>
      <c r="AV28" s="205" t="e">
        <f t="shared" si="162"/>
        <v>#DIV/0!</v>
      </c>
      <c r="AW28" s="205" t="e">
        <f t="shared" si="162"/>
        <v>#DIV/0!</v>
      </c>
      <c r="AX28" s="205" t="e">
        <f t="shared" si="162"/>
        <v>#DIV/0!</v>
      </c>
      <c r="AY28" s="205" t="e">
        <f t="shared" si="162"/>
        <v>#DIV/0!</v>
      </c>
      <c r="AZ28" s="204" t="e">
        <f t="shared" si="162"/>
        <v>#DIV/0!</v>
      </c>
      <c r="BA28" s="205" t="e">
        <f t="shared" si="162"/>
        <v>#DIV/0!</v>
      </c>
      <c r="BB28" s="205" t="e">
        <f t="shared" si="162"/>
        <v>#DIV/0!</v>
      </c>
      <c r="BC28" s="205" t="e">
        <f t="shared" si="162"/>
        <v>#DIV/0!</v>
      </c>
      <c r="BD28" s="205" t="e">
        <f t="shared" si="162"/>
        <v>#DIV/0!</v>
      </c>
      <c r="BE28" s="204" t="e">
        <f t="shared" si="162"/>
        <v>#DIV/0!</v>
      </c>
      <c r="BF28" s="205" t="e">
        <f t="shared" si="162"/>
        <v>#DIV/0!</v>
      </c>
      <c r="BG28" s="205" t="e">
        <f t="shared" si="162"/>
        <v>#DIV/0!</v>
      </c>
      <c r="BH28" s="205" t="e">
        <f t="shared" si="162"/>
        <v>#DIV/0!</v>
      </c>
      <c r="BI28" s="205" t="e">
        <f t="shared" si="162"/>
        <v>#DIV/0!</v>
      </c>
      <c r="BJ28" s="204" t="e">
        <f t="shared" si="162"/>
        <v>#DIV/0!</v>
      </c>
      <c r="BK28" s="205" t="e">
        <f t="shared" si="162"/>
        <v>#DIV/0!</v>
      </c>
      <c r="BL28" s="205" t="e">
        <f t="shared" si="162"/>
        <v>#DIV/0!</v>
      </c>
      <c r="BM28" s="205" t="e">
        <f t="shared" si="162"/>
        <v>#DIV/0!</v>
      </c>
      <c r="BN28" s="326" t="e">
        <f t="shared" si="162"/>
        <v>#DIV/0!</v>
      </c>
      <c r="BO28" s="335"/>
    </row>
    <row r="29" spans="1:67" s="9" customFormat="1" ht="15.75" thickBot="1">
      <c r="A29" s="152" t="s">
        <v>131</v>
      </c>
      <c r="B29" s="199" t="e">
        <f t="shared" ref="B29:F29" si="163">B9-B14</f>
        <v>#REF!</v>
      </c>
      <c r="C29" s="189" t="e">
        <f t="shared" si="163"/>
        <v>#REF!</v>
      </c>
      <c r="D29" s="154" t="e">
        <f t="shared" si="163"/>
        <v>#REF!</v>
      </c>
      <c r="E29" s="154" t="e">
        <f t="shared" si="163"/>
        <v>#REF!</v>
      </c>
      <c r="F29" s="155" t="e">
        <f t="shared" si="163"/>
        <v>#REF!</v>
      </c>
      <c r="G29" s="199">
        <f t="shared" ref="G29:AL29" si="164">G9-G14</f>
        <v>1793174.06</v>
      </c>
      <c r="H29" s="189">
        <f t="shared" si="164"/>
        <v>313583.06</v>
      </c>
      <c r="I29" s="189">
        <f t="shared" si="164"/>
        <v>62250</v>
      </c>
      <c r="J29" s="189">
        <f t="shared" si="164"/>
        <v>494261</v>
      </c>
      <c r="K29" s="189">
        <f t="shared" si="164"/>
        <v>923080</v>
      </c>
      <c r="L29" s="199">
        <f t="shared" si="164"/>
        <v>1993889</v>
      </c>
      <c r="M29" s="154">
        <f t="shared" si="164"/>
        <v>331642</v>
      </c>
      <c r="N29" s="154">
        <f t="shared" si="164"/>
        <v>149105</v>
      </c>
      <c r="O29" s="154">
        <f t="shared" si="164"/>
        <v>454504</v>
      </c>
      <c r="P29" s="155">
        <f t="shared" si="164"/>
        <v>1058638</v>
      </c>
      <c r="Q29" s="199">
        <f t="shared" si="164"/>
        <v>2611791.2000000002</v>
      </c>
      <c r="R29" s="154">
        <f t="shared" si="164"/>
        <v>348576.2</v>
      </c>
      <c r="S29" s="154">
        <f t="shared" si="164"/>
        <v>191984</v>
      </c>
      <c r="T29" s="154">
        <f t="shared" si="164"/>
        <v>641491</v>
      </c>
      <c r="U29" s="155">
        <f t="shared" si="164"/>
        <v>1429740</v>
      </c>
      <c r="V29" s="199">
        <f t="shared" si="164"/>
        <v>2595537.4</v>
      </c>
      <c r="W29" s="154">
        <f t="shared" si="164"/>
        <v>258721.4</v>
      </c>
      <c r="X29" s="154">
        <f t="shared" si="164"/>
        <v>81740</v>
      </c>
      <c r="Y29" s="154">
        <f t="shared" si="164"/>
        <v>428335</v>
      </c>
      <c r="Z29" s="155">
        <f t="shared" si="164"/>
        <v>1826741</v>
      </c>
      <c r="AA29" s="199">
        <f t="shared" si="164"/>
        <v>1984985.5</v>
      </c>
      <c r="AB29" s="154">
        <f t="shared" si="164"/>
        <v>184027.5</v>
      </c>
      <c r="AC29" s="154">
        <f t="shared" si="164"/>
        <v>149045</v>
      </c>
      <c r="AD29" s="154">
        <f t="shared" si="164"/>
        <v>377941</v>
      </c>
      <c r="AE29" s="155">
        <f t="shared" si="164"/>
        <v>1273972</v>
      </c>
      <c r="AF29" s="199">
        <f t="shared" si="164"/>
        <v>0</v>
      </c>
      <c r="AG29" s="154">
        <f t="shared" si="164"/>
        <v>0</v>
      </c>
      <c r="AH29" s="154">
        <f t="shared" si="164"/>
        <v>0</v>
      </c>
      <c r="AI29" s="154">
        <f t="shared" si="164"/>
        <v>0</v>
      </c>
      <c r="AJ29" s="155">
        <f t="shared" si="164"/>
        <v>0</v>
      </c>
      <c r="AK29" s="199">
        <f t="shared" si="164"/>
        <v>0</v>
      </c>
      <c r="AL29" s="154">
        <f t="shared" si="164"/>
        <v>0</v>
      </c>
      <c r="AM29" s="154">
        <f t="shared" ref="AM29:BN29" si="165">AM9-AM14</f>
        <v>0</v>
      </c>
      <c r="AN29" s="154">
        <f t="shared" si="165"/>
        <v>0</v>
      </c>
      <c r="AO29" s="155">
        <f t="shared" si="165"/>
        <v>0</v>
      </c>
      <c r="AP29" s="199">
        <f t="shared" si="165"/>
        <v>0</v>
      </c>
      <c r="AQ29" s="154">
        <f t="shared" si="165"/>
        <v>0</v>
      </c>
      <c r="AR29" s="154">
        <f t="shared" si="165"/>
        <v>0</v>
      </c>
      <c r="AS29" s="154">
        <f t="shared" si="165"/>
        <v>0</v>
      </c>
      <c r="AT29" s="155">
        <f t="shared" si="165"/>
        <v>0</v>
      </c>
      <c r="AU29" s="199">
        <f t="shared" si="165"/>
        <v>0</v>
      </c>
      <c r="AV29" s="154">
        <f t="shared" si="165"/>
        <v>0</v>
      </c>
      <c r="AW29" s="154">
        <f t="shared" si="165"/>
        <v>0</v>
      </c>
      <c r="AX29" s="154">
        <f t="shared" si="165"/>
        <v>0</v>
      </c>
      <c r="AY29" s="155">
        <f t="shared" si="165"/>
        <v>0</v>
      </c>
      <c r="AZ29" s="199">
        <f t="shared" si="165"/>
        <v>0</v>
      </c>
      <c r="BA29" s="154">
        <f t="shared" si="165"/>
        <v>0</v>
      </c>
      <c r="BB29" s="154">
        <f t="shared" si="165"/>
        <v>0</v>
      </c>
      <c r="BC29" s="154">
        <f t="shared" si="165"/>
        <v>0</v>
      </c>
      <c r="BD29" s="155">
        <f t="shared" si="165"/>
        <v>0</v>
      </c>
      <c r="BE29" s="199">
        <f t="shared" si="165"/>
        <v>0</v>
      </c>
      <c r="BF29" s="154">
        <f t="shared" si="165"/>
        <v>0</v>
      </c>
      <c r="BG29" s="154">
        <f t="shared" si="165"/>
        <v>0</v>
      </c>
      <c r="BH29" s="154">
        <f t="shared" si="165"/>
        <v>0</v>
      </c>
      <c r="BI29" s="155">
        <f t="shared" si="165"/>
        <v>0</v>
      </c>
      <c r="BJ29" s="199">
        <f t="shared" si="165"/>
        <v>0</v>
      </c>
      <c r="BK29" s="154">
        <f t="shared" si="165"/>
        <v>0</v>
      </c>
      <c r="BL29" s="154">
        <f t="shared" si="165"/>
        <v>0</v>
      </c>
      <c r="BM29" s="154">
        <f t="shared" si="165"/>
        <v>0</v>
      </c>
      <c r="BN29" s="328">
        <f t="shared" si="165"/>
        <v>0</v>
      </c>
      <c r="BO29" s="331" t="s">
        <v>260</v>
      </c>
    </row>
    <row r="30" spans="1:67" s="9" customFormat="1" ht="15.75" thickBot="1">
      <c r="A30" s="156" t="s">
        <v>132</v>
      </c>
      <c r="B30" s="201" t="e">
        <f t="shared" ref="B30:F30" si="166">B29/B9</f>
        <v>#REF!</v>
      </c>
      <c r="C30" s="192" t="e">
        <f t="shared" si="166"/>
        <v>#REF!</v>
      </c>
      <c r="D30" s="170" t="e">
        <f t="shared" si="166"/>
        <v>#REF!</v>
      </c>
      <c r="E30" s="170" t="e">
        <f t="shared" si="166"/>
        <v>#REF!</v>
      </c>
      <c r="F30" s="171" t="e">
        <f t="shared" si="166"/>
        <v>#REF!</v>
      </c>
      <c r="G30" s="201">
        <f t="shared" ref="G30:AL30" si="167">G29/G9</f>
        <v>0.61963283838931837</v>
      </c>
      <c r="H30" s="192">
        <f t="shared" si="167"/>
        <v>0.56372050464339518</v>
      </c>
      <c r="I30" s="170">
        <f t="shared" si="167"/>
        <v>0.74195470798569729</v>
      </c>
      <c r="J30" s="170">
        <f t="shared" si="167"/>
        <v>0.40027291648107804</v>
      </c>
      <c r="K30" s="171">
        <f t="shared" si="167"/>
        <v>0.90591650587960504</v>
      </c>
      <c r="L30" s="201">
        <f t="shared" si="167"/>
        <v>0.60050874415307143</v>
      </c>
      <c r="M30" s="170">
        <f t="shared" si="167"/>
        <v>0.5396361009232532</v>
      </c>
      <c r="N30" s="170">
        <f t="shared" si="167"/>
        <v>0.67867546654528899</v>
      </c>
      <c r="O30" s="170">
        <f t="shared" si="167"/>
        <v>0.35162896778271457</v>
      </c>
      <c r="P30" s="171">
        <f t="shared" si="167"/>
        <v>0.88700293255131968</v>
      </c>
      <c r="Q30" s="201">
        <f t="shared" si="167"/>
        <v>0.63356852280859222</v>
      </c>
      <c r="R30" s="170">
        <f t="shared" si="167"/>
        <v>0.52214113452867783</v>
      </c>
      <c r="S30" s="170">
        <f t="shared" si="167"/>
        <v>0.71958020989505245</v>
      </c>
      <c r="T30" s="170">
        <f t="shared" si="167"/>
        <v>0.39750537863615631</v>
      </c>
      <c r="U30" s="171">
        <f t="shared" si="167"/>
        <v>0.90825121588038893</v>
      </c>
      <c r="V30" s="201">
        <f t="shared" si="167"/>
        <v>0.77268649891578356</v>
      </c>
      <c r="W30" s="170">
        <f t="shared" si="167"/>
        <v>0.49858626736813705</v>
      </c>
      <c r="X30" s="170">
        <f t="shared" si="167"/>
        <v>0.75267034990791892</v>
      </c>
      <c r="Y30" s="170">
        <f t="shared" si="167"/>
        <v>0.48073512906846239</v>
      </c>
      <c r="Z30" s="171">
        <f t="shared" si="167"/>
        <v>0.99247146851186407</v>
      </c>
      <c r="AA30" s="201">
        <f t="shared" si="167"/>
        <v>0.67559807032806052</v>
      </c>
      <c r="AB30" s="170">
        <f t="shared" si="167"/>
        <v>0.45979632067999709</v>
      </c>
      <c r="AC30" s="170">
        <f t="shared" si="167"/>
        <v>0.49508387311077895</v>
      </c>
      <c r="AD30" s="170">
        <f t="shared" si="167"/>
        <v>0.47966316804792303</v>
      </c>
      <c r="AE30" s="171">
        <f t="shared" si="167"/>
        <v>0.87926901737112106</v>
      </c>
      <c r="AF30" s="201" t="e">
        <f t="shared" si="167"/>
        <v>#DIV/0!</v>
      </c>
      <c r="AG30" s="170" t="e">
        <f t="shared" si="167"/>
        <v>#DIV/0!</v>
      </c>
      <c r="AH30" s="170" t="e">
        <f t="shared" si="167"/>
        <v>#DIV/0!</v>
      </c>
      <c r="AI30" s="170" t="e">
        <f t="shared" si="167"/>
        <v>#DIV/0!</v>
      </c>
      <c r="AJ30" s="171" t="e">
        <f t="shared" si="167"/>
        <v>#DIV/0!</v>
      </c>
      <c r="AK30" s="201" t="e">
        <f t="shared" si="167"/>
        <v>#DIV/0!</v>
      </c>
      <c r="AL30" s="170" t="e">
        <f t="shared" si="167"/>
        <v>#DIV/0!</v>
      </c>
      <c r="AM30" s="170" t="e">
        <f t="shared" ref="AM30:BN30" si="168">AM29/AM9</f>
        <v>#DIV/0!</v>
      </c>
      <c r="AN30" s="170" t="e">
        <f t="shared" si="168"/>
        <v>#DIV/0!</v>
      </c>
      <c r="AO30" s="171" t="e">
        <f t="shared" si="168"/>
        <v>#DIV/0!</v>
      </c>
      <c r="AP30" s="201" t="e">
        <f t="shared" si="168"/>
        <v>#DIV/0!</v>
      </c>
      <c r="AQ30" s="170" t="e">
        <f t="shared" si="168"/>
        <v>#DIV/0!</v>
      </c>
      <c r="AR30" s="170" t="e">
        <f t="shared" si="168"/>
        <v>#DIV/0!</v>
      </c>
      <c r="AS30" s="170" t="e">
        <f t="shared" si="168"/>
        <v>#DIV/0!</v>
      </c>
      <c r="AT30" s="171" t="e">
        <f t="shared" si="168"/>
        <v>#DIV/0!</v>
      </c>
      <c r="AU30" s="201" t="e">
        <f t="shared" si="168"/>
        <v>#DIV/0!</v>
      </c>
      <c r="AV30" s="170" t="e">
        <f t="shared" si="168"/>
        <v>#DIV/0!</v>
      </c>
      <c r="AW30" s="170" t="e">
        <f t="shared" si="168"/>
        <v>#DIV/0!</v>
      </c>
      <c r="AX30" s="170" t="e">
        <f t="shared" si="168"/>
        <v>#DIV/0!</v>
      </c>
      <c r="AY30" s="171" t="e">
        <f t="shared" si="168"/>
        <v>#DIV/0!</v>
      </c>
      <c r="AZ30" s="201" t="e">
        <f t="shared" si="168"/>
        <v>#DIV/0!</v>
      </c>
      <c r="BA30" s="170" t="e">
        <f t="shared" si="168"/>
        <v>#DIV/0!</v>
      </c>
      <c r="BB30" s="170" t="e">
        <f t="shared" si="168"/>
        <v>#DIV/0!</v>
      </c>
      <c r="BC30" s="170" t="e">
        <f t="shared" si="168"/>
        <v>#DIV/0!</v>
      </c>
      <c r="BD30" s="171" t="e">
        <f t="shared" si="168"/>
        <v>#DIV/0!</v>
      </c>
      <c r="BE30" s="201" t="e">
        <f t="shared" si="168"/>
        <v>#DIV/0!</v>
      </c>
      <c r="BF30" s="170" t="e">
        <f t="shared" si="168"/>
        <v>#DIV/0!</v>
      </c>
      <c r="BG30" s="170" t="e">
        <f t="shared" si="168"/>
        <v>#DIV/0!</v>
      </c>
      <c r="BH30" s="170" t="e">
        <f t="shared" si="168"/>
        <v>#DIV/0!</v>
      </c>
      <c r="BI30" s="171" t="e">
        <f t="shared" si="168"/>
        <v>#DIV/0!</v>
      </c>
      <c r="BJ30" s="201" t="e">
        <f t="shared" si="168"/>
        <v>#DIV/0!</v>
      </c>
      <c r="BK30" s="170" t="e">
        <f t="shared" si="168"/>
        <v>#DIV/0!</v>
      </c>
      <c r="BL30" s="170" t="e">
        <f t="shared" si="168"/>
        <v>#DIV/0!</v>
      </c>
      <c r="BM30" s="170" t="e">
        <f t="shared" si="168"/>
        <v>#DIV/0!</v>
      </c>
      <c r="BN30" s="329" t="e">
        <f t="shared" si="168"/>
        <v>#DIV/0!</v>
      </c>
      <c r="BO30" s="331" t="s">
        <v>260</v>
      </c>
    </row>
    <row r="31" spans="1:67" s="9" customFormat="1" ht="30.75" thickBot="1">
      <c r="A31" s="152" t="s">
        <v>133</v>
      </c>
      <c r="B31" s="199">
        <f t="shared" ref="B31:F31" si="169">SUM(B32:B45)</f>
        <v>8970096.3599999994</v>
      </c>
      <c r="C31" s="189">
        <f t="shared" si="169"/>
        <v>2109675.9408948049</v>
      </c>
      <c r="D31" s="154">
        <f t="shared" si="169"/>
        <v>309606.98360233696</v>
      </c>
      <c r="E31" s="154">
        <f t="shared" si="169"/>
        <v>1193026.3744385163</v>
      </c>
      <c r="F31" s="155">
        <f t="shared" si="169"/>
        <v>5357787.0610643411</v>
      </c>
      <c r="G31" s="199">
        <f t="shared" ref="G31:AL31" si="170">SUM(G32:G45)</f>
        <v>1755450.14</v>
      </c>
      <c r="H31" s="189">
        <f t="shared" si="170"/>
        <v>551644.10499999998</v>
      </c>
      <c r="I31" s="189">
        <f t="shared" si="170"/>
        <v>27140</v>
      </c>
      <c r="J31" s="189">
        <f t="shared" si="170"/>
        <v>111951</v>
      </c>
      <c r="K31" s="189">
        <f t="shared" si="170"/>
        <v>1064715.0350000001</v>
      </c>
      <c r="L31" s="199">
        <f t="shared" si="170"/>
        <v>1853311.2300000002</v>
      </c>
      <c r="M31" s="154">
        <f t="shared" si="170"/>
        <v>542092.31499999994</v>
      </c>
      <c r="N31" s="154">
        <f t="shared" si="170"/>
        <v>56290</v>
      </c>
      <c r="O31" s="154">
        <f t="shared" si="170"/>
        <v>159831</v>
      </c>
      <c r="P31" s="155">
        <f t="shared" si="170"/>
        <v>1095097.915</v>
      </c>
      <c r="Q31" s="199">
        <f t="shared" si="170"/>
        <v>1812118.38</v>
      </c>
      <c r="R31" s="154">
        <f t="shared" si="170"/>
        <v>399658.92351910926</v>
      </c>
      <c r="S31" s="154">
        <f t="shared" si="170"/>
        <v>84441.9943721421</v>
      </c>
      <c r="T31" s="154">
        <f t="shared" si="170"/>
        <v>350352.24161097431</v>
      </c>
      <c r="U31" s="155">
        <f t="shared" si="170"/>
        <v>977665.22049777419</v>
      </c>
      <c r="V31" s="199">
        <f t="shared" si="170"/>
        <v>1925817.35</v>
      </c>
      <c r="W31" s="154">
        <f t="shared" si="170"/>
        <v>399512.68137463875</v>
      </c>
      <c r="X31" s="154">
        <f t="shared" si="170"/>
        <v>45184.264819112694</v>
      </c>
      <c r="Y31" s="154">
        <f t="shared" si="170"/>
        <v>338286.07323968149</v>
      </c>
      <c r="Z31" s="155">
        <f t="shared" si="170"/>
        <v>1142834.3305665671</v>
      </c>
      <c r="AA31" s="199">
        <f t="shared" si="170"/>
        <v>1623399.26</v>
      </c>
      <c r="AB31" s="154">
        <f t="shared" si="170"/>
        <v>216767.91600105719</v>
      </c>
      <c r="AC31" s="154">
        <f t="shared" si="170"/>
        <v>96550.724411082119</v>
      </c>
      <c r="AD31" s="154">
        <f t="shared" si="170"/>
        <v>232606.05958786063</v>
      </c>
      <c r="AE31" s="155">
        <f t="shared" si="170"/>
        <v>1077474.56</v>
      </c>
      <c r="AF31" s="199">
        <f t="shared" si="170"/>
        <v>0</v>
      </c>
      <c r="AG31" s="154">
        <f t="shared" si="170"/>
        <v>0</v>
      </c>
      <c r="AH31" s="154">
        <f t="shared" si="170"/>
        <v>0</v>
      </c>
      <c r="AI31" s="154">
        <f t="shared" si="170"/>
        <v>0</v>
      </c>
      <c r="AJ31" s="155">
        <f t="shared" si="170"/>
        <v>0</v>
      </c>
      <c r="AK31" s="199">
        <f t="shared" si="170"/>
        <v>0</v>
      </c>
      <c r="AL31" s="154">
        <f t="shared" si="170"/>
        <v>0</v>
      </c>
      <c r="AM31" s="154">
        <f t="shared" ref="AM31:BN31" si="171">SUM(AM32:AM45)</f>
        <v>0</v>
      </c>
      <c r="AN31" s="154">
        <f t="shared" si="171"/>
        <v>0</v>
      </c>
      <c r="AO31" s="155">
        <f t="shared" si="171"/>
        <v>0</v>
      </c>
      <c r="AP31" s="199">
        <f t="shared" si="171"/>
        <v>0</v>
      </c>
      <c r="AQ31" s="154">
        <f t="shared" si="171"/>
        <v>0</v>
      </c>
      <c r="AR31" s="154">
        <f t="shared" si="171"/>
        <v>0</v>
      </c>
      <c r="AS31" s="154">
        <f t="shared" si="171"/>
        <v>0</v>
      </c>
      <c r="AT31" s="155">
        <f t="shared" si="171"/>
        <v>0</v>
      </c>
      <c r="AU31" s="199">
        <f t="shared" si="171"/>
        <v>0</v>
      </c>
      <c r="AV31" s="154">
        <f t="shared" si="171"/>
        <v>0</v>
      </c>
      <c r="AW31" s="154">
        <f t="shared" si="171"/>
        <v>0</v>
      </c>
      <c r="AX31" s="154">
        <f t="shared" si="171"/>
        <v>0</v>
      </c>
      <c r="AY31" s="155">
        <f t="shared" si="171"/>
        <v>0</v>
      </c>
      <c r="AZ31" s="199">
        <f t="shared" si="171"/>
        <v>0</v>
      </c>
      <c r="BA31" s="154">
        <f t="shared" si="171"/>
        <v>0</v>
      </c>
      <c r="BB31" s="154">
        <f t="shared" si="171"/>
        <v>0</v>
      </c>
      <c r="BC31" s="154">
        <f t="shared" si="171"/>
        <v>0</v>
      </c>
      <c r="BD31" s="155">
        <f t="shared" si="171"/>
        <v>0</v>
      </c>
      <c r="BE31" s="199">
        <f t="shared" si="171"/>
        <v>0</v>
      </c>
      <c r="BF31" s="154">
        <f t="shared" si="171"/>
        <v>0</v>
      </c>
      <c r="BG31" s="154">
        <f t="shared" si="171"/>
        <v>0</v>
      </c>
      <c r="BH31" s="154">
        <f t="shared" si="171"/>
        <v>0</v>
      </c>
      <c r="BI31" s="155">
        <f t="shared" si="171"/>
        <v>0</v>
      </c>
      <c r="BJ31" s="199">
        <f t="shared" si="171"/>
        <v>0</v>
      </c>
      <c r="BK31" s="154">
        <f t="shared" si="171"/>
        <v>0</v>
      </c>
      <c r="BL31" s="154">
        <f t="shared" si="171"/>
        <v>0</v>
      </c>
      <c r="BM31" s="154">
        <f t="shared" si="171"/>
        <v>0</v>
      </c>
      <c r="BN31" s="328">
        <f t="shared" si="171"/>
        <v>0</v>
      </c>
      <c r="BO31" s="331" t="s">
        <v>264</v>
      </c>
    </row>
    <row r="32" spans="1:67" s="9" customFormat="1" ht="15.75" outlineLevel="1" thickBot="1">
      <c r="A32" s="163" t="s">
        <v>24</v>
      </c>
      <c r="B32" s="200">
        <f t="shared" ref="B32:B45" si="172">SUM(C32:F32)</f>
        <v>2963740</v>
      </c>
      <c r="C32" s="246">
        <f t="shared" ref="C32:C45" si="173">SUM(H32,M32,R32,W32,AB32,AG32,AL32,AQ32,AV32,BA32,BF32,BK32)</f>
        <v>696309</v>
      </c>
      <c r="D32" s="247">
        <f t="shared" ref="D32:D45" si="174">SUM(I32,N32,S32,X32,AC32,AH32,AM32,AR32,AW32,BB32,BG32,BL32)</f>
        <v>170840</v>
      </c>
      <c r="E32" s="247">
        <f t="shared" ref="E32:E45" si="175">SUM(J32,O32,T32,Y32,AD32,AI32,AN32,AS32,AX32,BC32,BH32,BM32)</f>
        <v>535364</v>
      </c>
      <c r="F32" s="260">
        <f t="shared" ref="F32:F45" si="176">SUM(K32,P32,U32,Z32,AE32,AJ32,AO32,AT32,AY32,BD32,BI32,BN32)</f>
        <v>1561227</v>
      </c>
      <c r="G32" s="200">
        <f t="shared" ref="G32:G45" si="177">SUM(H32:K32)</f>
        <v>562341</v>
      </c>
      <c r="H32" s="190">
        <v>150000</v>
      </c>
      <c r="I32" s="157">
        <v>27140</v>
      </c>
      <c r="J32" s="157">
        <v>102201</v>
      </c>
      <c r="K32" s="158">
        <v>283000</v>
      </c>
      <c r="L32" s="200">
        <f t="shared" ref="L32:L43" si="178">SUM(M32:P32)</f>
        <v>602225</v>
      </c>
      <c r="M32" s="157">
        <v>150000</v>
      </c>
      <c r="N32" s="157">
        <v>56200</v>
      </c>
      <c r="O32" s="157">
        <v>100125</v>
      </c>
      <c r="P32" s="158">
        <v>295900</v>
      </c>
      <c r="Q32" s="200">
        <f t="shared" ref="Q32:Q43" si="179">SUM(R32:U32)</f>
        <v>619665</v>
      </c>
      <c r="R32" s="157">
        <v>150000</v>
      </c>
      <c r="S32" s="157">
        <v>56540</v>
      </c>
      <c r="T32" s="157">
        <v>100125</v>
      </c>
      <c r="U32" s="158">
        <v>313000</v>
      </c>
      <c r="V32" s="200">
        <f t="shared" ref="V32:V43" si="180">SUM(W32:Z32)</f>
        <v>806429</v>
      </c>
      <c r="W32" s="157">
        <v>181309</v>
      </c>
      <c r="X32" s="157">
        <v>30960</v>
      </c>
      <c r="Y32" s="157">
        <v>173288</v>
      </c>
      <c r="Z32" s="158">
        <v>420872</v>
      </c>
      <c r="AA32" s="200">
        <f t="shared" ref="AA32:AA43" si="181">SUM(AB32:AE32)</f>
        <v>373080</v>
      </c>
      <c r="AB32" s="157">
        <v>65000</v>
      </c>
      <c r="AC32" s="157"/>
      <c r="AD32" s="157">
        <v>59625</v>
      </c>
      <c r="AE32" s="158">
        <v>248455</v>
      </c>
      <c r="AF32" s="200">
        <f t="shared" ref="AF32:AF35" si="182">SUM(AG32:AJ32)</f>
        <v>0</v>
      </c>
      <c r="AG32" s="157"/>
      <c r="AH32" s="157"/>
      <c r="AI32" s="157"/>
      <c r="AJ32" s="158"/>
      <c r="AK32" s="200">
        <f t="shared" ref="AK32:AK35" si="183">SUM(AL32:AO32)</f>
        <v>0</v>
      </c>
      <c r="AL32" s="157"/>
      <c r="AM32" s="157"/>
      <c r="AN32" s="157"/>
      <c r="AO32" s="158"/>
      <c r="AP32" s="200">
        <f t="shared" ref="AP32:AP35" si="184">SUM(AQ32:AT32)</f>
        <v>0</v>
      </c>
      <c r="AQ32" s="157"/>
      <c r="AR32" s="157"/>
      <c r="AS32" s="157"/>
      <c r="AT32" s="158"/>
      <c r="AU32" s="200">
        <f t="shared" ref="AU32:AU45" si="185">SUM(AV32:AY32)</f>
        <v>0</v>
      </c>
      <c r="AV32" s="157"/>
      <c r="AW32" s="157"/>
      <c r="AX32" s="157"/>
      <c r="AY32" s="158"/>
      <c r="AZ32" s="200">
        <f t="shared" ref="AZ32:AZ45" si="186">SUM(BA32:BD32)</f>
        <v>0</v>
      </c>
      <c r="BA32" s="157"/>
      <c r="BB32" s="157"/>
      <c r="BC32" s="157"/>
      <c r="BD32" s="158"/>
      <c r="BE32" s="200">
        <f t="shared" ref="BE32:BE45" si="187">SUM(BF32:BI32)</f>
        <v>0</v>
      </c>
      <c r="BF32" s="157"/>
      <c r="BG32" s="157"/>
      <c r="BH32" s="157"/>
      <c r="BI32" s="158"/>
      <c r="BJ32" s="200">
        <f t="shared" ref="BJ32:BJ45" si="188">SUM(BK32:BN32)</f>
        <v>0</v>
      </c>
      <c r="BK32" s="157"/>
      <c r="BL32" s="157"/>
      <c r="BM32" s="157"/>
      <c r="BN32" s="325"/>
      <c r="BO32" s="333" t="s">
        <v>261</v>
      </c>
    </row>
    <row r="33" spans="1:67" s="9" customFormat="1" ht="15.75" outlineLevel="1" thickBot="1">
      <c r="A33" s="163" t="s">
        <v>35</v>
      </c>
      <c r="B33" s="200">
        <f t="shared" si="172"/>
        <v>729837.78</v>
      </c>
      <c r="C33" s="246">
        <f t="shared" si="173"/>
        <v>248244.11999999997</v>
      </c>
      <c r="D33" s="247">
        <f t="shared" si="174"/>
        <v>6298.45</v>
      </c>
      <c r="E33" s="247">
        <f t="shared" si="175"/>
        <v>185750.7</v>
      </c>
      <c r="F33" s="260">
        <f t="shared" si="176"/>
        <v>289544.51</v>
      </c>
      <c r="G33" s="200">
        <f t="shared" si="177"/>
        <v>128098.53</v>
      </c>
      <c r="H33" s="190">
        <v>64049.264999999999</v>
      </c>
      <c r="I33" s="157"/>
      <c r="J33" s="157"/>
      <c r="K33" s="158">
        <v>64049.264999999999</v>
      </c>
      <c r="L33" s="200">
        <f t="shared" si="178"/>
        <v>156764.57</v>
      </c>
      <c r="M33" s="157">
        <v>54730.285000000003</v>
      </c>
      <c r="N33" s="157"/>
      <c r="O33" s="157">
        <v>47304</v>
      </c>
      <c r="P33" s="158">
        <v>54730.285000000003</v>
      </c>
      <c r="Q33" s="200">
        <f t="shared" si="179"/>
        <v>153076</v>
      </c>
      <c r="R33" s="157">
        <v>53505</v>
      </c>
      <c r="S33" s="157"/>
      <c r="T33" s="157">
        <v>46066</v>
      </c>
      <c r="U33" s="158">
        <v>53505</v>
      </c>
      <c r="V33" s="200">
        <f t="shared" si="180"/>
        <v>160141.85999999999</v>
      </c>
      <c r="W33" s="157">
        <v>53327.86</v>
      </c>
      <c r="X33" s="157"/>
      <c r="Y33" s="157">
        <v>50000</v>
      </c>
      <c r="Z33" s="158">
        <v>56814</v>
      </c>
      <c r="AA33" s="200">
        <f t="shared" si="181"/>
        <v>131756.82</v>
      </c>
      <c r="AB33" s="157">
        <f>22631.71</f>
        <v>22631.71</v>
      </c>
      <c r="AC33" s="157">
        <v>6298.45</v>
      </c>
      <c r="AD33" s="157">
        <f>-45.08+49187.49-6761.71</f>
        <v>42380.7</v>
      </c>
      <c r="AE33" s="158">
        <v>60445.96</v>
      </c>
      <c r="AF33" s="200">
        <f t="shared" si="182"/>
        <v>0</v>
      </c>
      <c r="AG33" s="157"/>
      <c r="AH33" s="157"/>
      <c r="AI33" s="157"/>
      <c r="AJ33" s="158"/>
      <c r="AK33" s="200">
        <f t="shared" si="183"/>
        <v>0</v>
      </c>
      <c r="AL33" s="157"/>
      <c r="AM33" s="157"/>
      <c r="AN33" s="157"/>
      <c r="AO33" s="158"/>
      <c r="AP33" s="200">
        <f t="shared" si="184"/>
        <v>0</v>
      </c>
      <c r="AQ33" s="157"/>
      <c r="AR33" s="157"/>
      <c r="AS33" s="157"/>
      <c r="AT33" s="158"/>
      <c r="AU33" s="200">
        <f t="shared" si="185"/>
        <v>0</v>
      </c>
      <c r="AV33" s="157"/>
      <c r="AW33" s="157"/>
      <c r="AX33" s="157"/>
      <c r="AY33" s="158"/>
      <c r="AZ33" s="200">
        <f t="shared" si="186"/>
        <v>0</v>
      </c>
      <c r="BA33" s="157"/>
      <c r="BB33" s="157"/>
      <c r="BC33" s="157"/>
      <c r="BD33" s="158"/>
      <c r="BE33" s="200">
        <f t="shared" si="187"/>
        <v>0</v>
      </c>
      <c r="BF33" s="157"/>
      <c r="BG33" s="157"/>
      <c r="BH33" s="157"/>
      <c r="BI33" s="158"/>
      <c r="BJ33" s="200">
        <f t="shared" si="188"/>
        <v>0</v>
      </c>
      <c r="BK33" s="157"/>
      <c r="BL33" s="157"/>
      <c r="BM33" s="157"/>
      <c r="BN33" s="325"/>
      <c r="BO33" s="334"/>
    </row>
    <row r="34" spans="1:67" s="9" customFormat="1" ht="15.75" outlineLevel="1" thickBot="1">
      <c r="A34" s="163" t="s">
        <v>171</v>
      </c>
      <c r="B34" s="200">
        <f t="shared" si="172"/>
        <v>2527844.9500000002</v>
      </c>
      <c r="C34" s="246">
        <f t="shared" si="173"/>
        <v>303345.75</v>
      </c>
      <c r="D34" s="247">
        <f t="shared" si="174"/>
        <v>9778.9500000000007</v>
      </c>
      <c r="E34" s="247">
        <f t="shared" si="175"/>
        <v>25581.08</v>
      </c>
      <c r="F34" s="260">
        <f t="shared" si="176"/>
        <v>2189139.17</v>
      </c>
      <c r="G34" s="200">
        <f t="shared" si="177"/>
        <v>514042.12</v>
      </c>
      <c r="H34" s="190">
        <v>74555.350000000006</v>
      </c>
      <c r="I34" s="157"/>
      <c r="J34" s="157"/>
      <c r="K34" s="158">
        <v>439486.77</v>
      </c>
      <c r="L34" s="200">
        <f t="shared" si="178"/>
        <v>515666.16</v>
      </c>
      <c r="M34" s="157">
        <v>80770.559999999998</v>
      </c>
      <c r="N34" s="157"/>
      <c r="O34" s="157"/>
      <c r="P34" s="158">
        <v>434895.6</v>
      </c>
      <c r="Q34" s="200">
        <f t="shared" si="179"/>
        <v>515047.38999999996</v>
      </c>
      <c r="R34" s="157">
        <v>81443.789999999994</v>
      </c>
      <c r="S34" s="157"/>
      <c r="T34" s="157"/>
      <c r="U34" s="158">
        <v>433603.6</v>
      </c>
      <c r="V34" s="200">
        <f t="shared" si="180"/>
        <v>463553.68</v>
      </c>
      <c r="W34" s="157">
        <v>51477.08</v>
      </c>
      <c r="X34" s="157"/>
      <c r="Y34" s="157"/>
      <c r="Z34" s="158">
        <v>412076.6</v>
      </c>
      <c r="AA34" s="200">
        <f t="shared" si="181"/>
        <v>519535.6</v>
      </c>
      <c r="AB34" s="157">
        <v>15098.97</v>
      </c>
      <c r="AC34" s="157">
        <v>9778.9500000000007</v>
      </c>
      <c r="AD34" s="157">
        <v>25581.08</v>
      </c>
      <c r="AE34" s="158">
        <v>469076.6</v>
      </c>
      <c r="AF34" s="200">
        <f t="shared" si="182"/>
        <v>0</v>
      </c>
      <c r="AG34" s="157"/>
      <c r="AH34" s="157"/>
      <c r="AI34" s="157"/>
      <c r="AJ34" s="158"/>
      <c r="AK34" s="200">
        <f t="shared" si="183"/>
        <v>0</v>
      </c>
      <c r="AL34" s="157"/>
      <c r="AM34" s="157"/>
      <c r="AN34" s="157"/>
      <c r="AO34" s="158"/>
      <c r="AP34" s="200">
        <f t="shared" si="184"/>
        <v>0</v>
      </c>
      <c r="AQ34" s="157"/>
      <c r="AR34" s="157"/>
      <c r="AS34" s="157"/>
      <c r="AT34" s="158"/>
      <c r="AU34" s="200">
        <f t="shared" si="185"/>
        <v>0</v>
      </c>
      <c r="AV34" s="157"/>
      <c r="AW34" s="157"/>
      <c r="AX34" s="157"/>
      <c r="AY34" s="158"/>
      <c r="AZ34" s="200">
        <f t="shared" si="186"/>
        <v>0</v>
      </c>
      <c r="BA34" s="157"/>
      <c r="BB34" s="157"/>
      <c r="BC34" s="157"/>
      <c r="BD34" s="158"/>
      <c r="BE34" s="200">
        <f t="shared" si="187"/>
        <v>0</v>
      </c>
      <c r="BF34" s="157"/>
      <c r="BG34" s="157"/>
      <c r="BH34" s="157"/>
      <c r="BI34" s="158"/>
      <c r="BJ34" s="200">
        <f t="shared" si="188"/>
        <v>0</v>
      </c>
      <c r="BK34" s="157"/>
      <c r="BL34" s="157"/>
      <c r="BM34" s="157"/>
      <c r="BN34" s="325"/>
      <c r="BO34" s="334"/>
    </row>
    <row r="35" spans="1:67" s="9" customFormat="1" ht="15.75" outlineLevel="1" thickBot="1">
      <c r="A35" s="163" t="s">
        <v>7</v>
      </c>
      <c r="B35" s="200">
        <f t="shared" si="172"/>
        <v>35643</v>
      </c>
      <c r="C35" s="246">
        <f t="shared" si="173"/>
        <v>16514</v>
      </c>
      <c r="D35" s="247">
        <f t="shared" si="174"/>
        <v>0</v>
      </c>
      <c r="E35" s="247">
        <f t="shared" si="175"/>
        <v>2955</v>
      </c>
      <c r="F35" s="260">
        <f t="shared" si="176"/>
        <v>16174</v>
      </c>
      <c r="G35" s="200">
        <f t="shared" si="177"/>
        <v>6805</v>
      </c>
      <c r="H35" s="190">
        <v>3160</v>
      </c>
      <c r="I35" s="157"/>
      <c r="J35" s="157"/>
      <c r="K35" s="158">
        <v>3645</v>
      </c>
      <c r="L35" s="200">
        <f t="shared" si="178"/>
        <v>6140</v>
      </c>
      <c r="M35" s="157">
        <v>4951</v>
      </c>
      <c r="N35" s="157"/>
      <c r="O35" s="157"/>
      <c r="P35" s="158">
        <v>1189</v>
      </c>
      <c r="Q35" s="200">
        <f t="shared" si="179"/>
        <v>8141</v>
      </c>
      <c r="R35" s="157">
        <v>6135</v>
      </c>
      <c r="S35" s="157"/>
      <c r="T35" s="157"/>
      <c r="U35" s="158">
        <v>2006</v>
      </c>
      <c r="V35" s="200">
        <f t="shared" si="180"/>
        <v>2605</v>
      </c>
      <c r="W35" s="157">
        <v>1530</v>
      </c>
      <c r="X35" s="157"/>
      <c r="Y35" s="157">
        <v>363</v>
      </c>
      <c r="Z35" s="158">
        <v>712</v>
      </c>
      <c r="AA35" s="200">
        <f t="shared" si="181"/>
        <v>11952</v>
      </c>
      <c r="AB35" s="157">
        <v>738</v>
      </c>
      <c r="AC35" s="157"/>
      <c r="AD35" s="157">
        <v>2592</v>
      </c>
      <c r="AE35" s="158">
        <v>8622</v>
      </c>
      <c r="AF35" s="200">
        <f t="shared" si="182"/>
        <v>0</v>
      </c>
      <c r="AG35" s="157"/>
      <c r="AH35" s="157"/>
      <c r="AI35" s="157"/>
      <c r="AJ35" s="158"/>
      <c r="AK35" s="200">
        <f t="shared" si="183"/>
        <v>0</v>
      </c>
      <c r="AL35" s="157"/>
      <c r="AM35" s="157"/>
      <c r="AN35" s="157"/>
      <c r="AO35" s="158"/>
      <c r="AP35" s="200">
        <f t="shared" si="184"/>
        <v>0</v>
      </c>
      <c r="AQ35" s="157"/>
      <c r="AR35" s="157"/>
      <c r="AS35" s="157"/>
      <c r="AT35" s="158"/>
      <c r="AU35" s="200">
        <f t="shared" si="185"/>
        <v>0</v>
      </c>
      <c r="AV35" s="157"/>
      <c r="AW35" s="157"/>
      <c r="AX35" s="157"/>
      <c r="AY35" s="158"/>
      <c r="AZ35" s="200">
        <f t="shared" si="186"/>
        <v>0</v>
      </c>
      <c r="BA35" s="157"/>
      <c r="BB35" s="157"/>
      <c r="BC35" s="157"/>
      <c r="BD35" s="158"/>
      <c r="BE35" s="200">
        <f t="shared" si="187"/>
        <v>0</v>
      </c>
      <c r="BF35" s="157"/>
      <c r="BG35" s="157"/>
      <c r="BH35" s="157"/>
      <c r="BI35" s="158"/>
      <c r="BJ35" s="200">
        <f t="shared" si="188"/>
        <v>0</v>
      </c>
      <c r="BK35" s="157"/>
      <c r="BL35" s="157"/>
      <c r="BM35" s="157"/>
      <c r="BN35" s="325"/>
      <c r="BO35" s="334"/>
    </row>
    <row r="36" spans="1:67" s="9" customFormat="1" ht="15.75" outlineLevel="1" thickBot="1">
      <c r="A36" s="163" t="s">
        <v>58</v>
      </c>
      <c r="B36" s="200">
        <f t="shared" si="172"/>
        <v>95293.75</v>
      </c>
      <c r="C36" s="246">
        <f t="shared" ref="C36" si="189">SUM(H36,M36,R36,W36,AB36,AG36,AL36,AQ36,AV36,BA36,BF36,BK36)</f>
        <v>47164</v>
      </c>
      <c r="D36" s="247">
        <f t="shared" ref="D36" si="190">SUM(I36,N36,S36,X36,AC36,AH36,AM36,AR36,AW36,BB36,BG36,BL36)</f>
        <v>0</v>
      </c>
      <c r="E36" s="247">
        <f t="shared" ref="E36" si="191">SUM(J36,O36,T36,Y36,AD36,AI36,AN36,AS36,AX36,BC36,BH36,BM36)</f>
        <v>9479.75</v>
      </c>
      <c r="F36" s="260">
        <f t="shared" ref="F36" si="192">SUM(K36,P36,U36,Z36,AE36,AJ36,AO36,AT36,AY36,BD36,BI36,BN36)</f>
        <v>38650</v>
      </c>
      <c r="G36" s="200">
        <f t="shared" si="177"/>
        <v>18094</v>
      </c>
      <c r="H36" s="190">
        <f>2500+11844</f>
        <v>14344</v>
      </c>
      <c r="I36" s="157"/>
      <c r="J36" s="157">
        <v>750</v>
      </c>
      <c r="K36" s="158">
        <v>3000</v>
      </c>
      <c r="L36" s="200">
        <f t="shared" si="178"/>
        <v>12700</v>
      </c>
      <c r="M36" s="157">
        <v>8500</v>
      </c>
      <c r="N36" s="157"/>
      <c r="O36" s="157">
        <v>700</v>
      </c>
      <c r="P36" s="158">
        <v>3500</v>
      </c>
      <c r="Q36" s="200">
        <f t="shared" si="179"/>
        <v>13260</v>
      </c>
      <c r="R36" s="157">
        <v>9010</v>
      </c>
      <c r="S36" s="157"/>
      <c r="T36" s="157">
        <v>1000</v>
      </c>
      <c r="U36" s="158">
        <v>3250</v>
      </c>
      <c r="V36" s="200">
        <f t="shared" si="180"/>
        <v>15510</v>
      </c>
      <c r="W36" s="157">
        <v>8810</v>
      </c>
      <c r="X36" s="157"/>
      <c r="Y36" s="157">
        <v>1200</v>
      </c>
      <c r="Z36" s="158">
        <v>5500</v>
      </c>
      <c r="AA36" s="200">
        <f t="shared" si="181"/>
        <v>35729.75</v>
      </c>
      <c r="AB36" s="157">
        <v>6500</v>
      </c>
      <c r="AC36" s="157"/>
      <c r="AD36" s="157">
        <v>5829.75</v>
      </c>
      <c r="AE36" s="158">
        <v>23400</v>
      </c>
      <c r="AF36" s="200"/>
      <c r="AG36" s="157"/>
      <c r="AH36" s="157"/>
      <c r="AI36" s="157"/>
      <c r="AJ36" s="158"/>
      <c r="AK36" s="200"/>
      <c r="AL36" s="157"/>
      <c r="AM36" s="157"/>
      <c r="AN36" s="157"/>
      <c r="AO36" s="158"/>
      <c r="AP36" s="200"/>
      <c r="AQ36" s="157"/>
      <c r="AR36" s="157"/>
      <c r="AS36" s="157"/>
      <c r="AT36" s="158"/>
      <c r="AU36" s="200"/>
      <c r="AV36" s="157"/>
      <c r="AW36" s="157"/>
      <c r="AX36" s="157"/>
      <c r="AY36" s="158"/>
      <c r="AZ36" s="200"/>
      <c r="BA36" s="157"/>
      <c r="BB36" s="157"/>
      <c r="BC36" s="157"/>
      <c r="BD36" s="158"/>
      <c r="BE36" s="200"/>
      <c r="BF36" s="157"/>
      <c r="BG36" s="157"/>
      <c r="BH36" s="157"/>
      <c r="BI36" s="158"/>
      <c r="BJ36" s="200"/>
      <c r="BK36" s="157"/>
      <c r="BL36" s="157"/>
      <c r="BM36" s="157"/>
      <c r="BN36" s="325"/>
      <c r="BO36" s="334"/>
    </row>
    <row r="37" spans="1:67" s="9" customFormat="1" ht="15.75" outlineLevel="1" thickBot="1">
      <c r="A37" s="163" t="s">
        <v>6</v>
      </c>
      <c r="B37" s="200">
        <f t="shared" si="172"/>
        <v>83992.93</v>
      </c>
      <c r="C37" s="246">
        <f t="shared" ref="C37:C39" si="193">SUM(H37,M37,R37,W37,AB37,AG37,AL37,AQ37,AV37,BA37,BF37,BK37)</f>
        <v>54539.93</v>
      </c>
      <c r="D37" s="247">
        <f t="shared" ref="D37:D39" si="194">SUM(I37,N37,S37,X37,AC37,AH37,AM37,AR37,AW37,BB37,BG37,BL37)</f>
        <v>572</v>
      </c>
      <c r="E37" s="247">
        <f t="shared" ref="E37:E39" si="195">SUM(J37,O37,T37,Y37,AD37,AI37,AN37,AS37,AX37,BC37,BH37,BM37)</f>
        <v>1468</v>
      </c>
      <c r="F37" s="260">
        <f t="shared" ref="F37:F39" si="196">SUM(K37,P37,U37,Z37,AE37,AJ37,AO37,AT37,AY37,BD37,BI37,BN37)</f>
        <v>27413</v>
      </c>
      <c r="G37" s="200">
        <f t="shared" si="177"/>
        <v>12552.91</v>
      </c>
      <c r="H37" s="190">
        <v>12552.91</v>
      </c>
      <c r="I37" s="157"/>
      <c r="J37" s="157"/>
      <c r="K37" s="158"/>
      <c r="L37" s="200">
        <f t="shared" si="178"/>
        <v>14671.37</v>
      </c>
      <c r="M37" s="157">
        <v>14671.37</v>
      </c>
      <c r="N37" s="157"/>
      <c r="O37" s="157"/>
      <c r="P37" s="158"/>
      <c r="Q37" s="200">
        <f t="shared" si="179"/>
        <v>12600.19</v>
      </c>
      <c r="R37" s="157">
        <v>12600.19</v>
      </c>
      <c r="S37" s="157"/>
      <c r="T37" s="157"/>
      <c r="U37" s="158"/>
      <c r="V37" s="200">
        <f t="shared" si="180"/>
        <v>14143.46</v>
      </c>
      <c r="W37" s="157">
        <v>14143.46</v>
      </c>
      <c r="X37" s="157"/>
      <c r="Y37" s="157"/>
      <c r="Z37" s="158"/>
      <c r="AA37" s="200">
        <f t="shared" si="181"/>
        <v>30025</v>
      </c>
      <c r="AB37" s="157">
        <v>572</v>
      </c>
      <c r="AC37" s="157">
        <v>572</v>
      </c>
      <c r="AD37" s="157">
        <v>1468</v>
      </c>
      <c r="AE37" s="158">
        <v>27413</v>
      </c>
      <c r="AF37" s="200"/>
      <c r="AG37" s="157"/>
      <c r="AH37" s="157"/>
      <c r="AI37" s="157"/>
      <c r="AJ37" s="158"/>
      <c r="AK37" s="200"/>
      <c r="AL37" s="157"/>
      <c r="AM37" s="157"/>
      <c r="AN37" s="157"/>
      <c r="AO37" s="158"/>
      <c r="AP37" s="200"/>
      <c r="AQ37" s="157"/>
      <c r="AR37" s="157"/>
      <c r="AS37" s="157"/>
      <c r="AT37" s="158"/>
      <c r="AU37" s="200"/>
      <c r="AV37" s="157"/>
      <c r="AW37" s="157"/>
      <c r="AX37" s="157"/>
      <c r="AY37" s="158"/>
      <c r="AZ37" s="200"/>
      <c r="BA37" s="157"/>
      <c r="BB37" s="157"/>
      <c r="BC37" s="157"/>
      <c r="BD37" s="158"/>
      <c r="BE37" s="200"/>
      <c r="BF37" s="157"/>
      <c r="BG37" s="157"/>
      <c r="BH37" s="157"/>
      <c r="BI37" s="158"/>
      <c r="BJ37" s="200"/>
      <c r="BK37" s="157"/>
      <c r="BL37" s="157"/>
      <c r="BM37" s="157"/>
      <c r="BN37" s="325"/>
      <c r="BO37" s="334"/>
    </row>
    <row r="38" spans="1:67" s="9" customFormat="1" ht="15.75" outlineLevel="1" thickBot="1">
      <c r="A38" s="163" t="s">
        <v>8</v>
      </c>
      <c r="B38" s="200">
        <f t="shared" si="172"/>
        <v>49000</v>
      </c>
      <c r="C38" s="246">
        <f t="shared" si="193"/>
        <v>0</v>
      </c>
      <c r="D38" s="247">
        <f t="shared" si="194"/>
        <v>0</v>
      </c>
      <c r="E38" s="247">
        <f t="shared" si="195"/>
        <v>0</v>
      </c>
      <c r="F38" s="260">
        <f t="shared" si="196"/>
        <v>49000</v>
      </c>
      <c r="G38" s="200">
        <f t="shared" si="177"/>
        <v>49000</v>
      </c>
      <c r="H38" s="190"/>
      <c r="I38" s="157"/>
      <c r="J38" s="157"/>
      <c r="K38" s="158">
        <v>49000</v>
      </c>
      <c r="L38" s="200">
        <f t="shared" si="178"/>
        <v>0</v>
      </c>
      <c r="M38" s="157"/>
      <c r="N38" s="157"/>
      <c r="O38" s="157"/>
      <c r="P38" s="158"/>
      <c r="Q38" s="200">
        <f t="shared" si="179"/>
        <v>0</v>
      </c>
      <c r="R38" s="157"/>
      <c r="S38" s="157"/>
      <c r="T38" s="157"/>
      <c r="U38" s="158"/>
      <c r="V38" s="200">
        <f t="shared" si="180"/>
        <v>0</v>
      </c>
      <c r="W38" s="157"/>
      <c r="X38" s="157"/>
      <c r="Y38" s="157"/>
      <c r="Z38" s="158"/>
      <c r="AA38" s="200">
        <f t="shared" si="181"/>
        <v>0</v>
      </c>
      <c r="AB38" s="157"/>
      <c r="AC38" s="157"/>
      <c r="AD38" s="157"/>
      <c r="AE38" s="158"/>
      <c r="AF38" s="200"/>
      <c r="AG38" s="157"/>
      <c r="AH38" s="157"/>
      <c r="AI38" s="157"/>
      <c r="AJ38" s="158"/>
      <c r="AK38" s="200"/>
      <c r="AL38" s="157"/>
      <c r="AM38" s="157"/>
      <c r="AN38" s="157"/>
      <c r="AO38" s="158"/>
      <c r="AP38" s="200"/>
      <c r="AQ38" s="157"/>
      <c r="AR38" s="157"/>
      <c r="AS38" s="157"/>
      <c r="AT38" s="158"/>
      <c r="AU38" s="200"/>
      <c r="AV38" s="157"/>
      <c r="AW38" s="157"/>
      <c r="AX38" s="157"/>
      <c r="AY38" s="158"/>
      <c r="AZ38" s="200"/>
      <c r="BA38" s="157"/>
      <c r="BB38" s="157"/>
      <c r="BC38" s="157"/>
      <c r="BD38" s="158"/>
      <c r="BE38" s="200"/>
      <c r="BF38" s="157"/>
      <c r="BG38" s="157"/>
      <c r="BH38" s="157"/>
      <c r="BI38" s="158"/>
      <c r="BJ38" s="200"/>
      <c r="BK38" s="157"/>
      <c r="BL38" s="157"/>
      <c r="BM38" s="157"/>
      <c r="BN38" s="325"/>
      <c r="BO38" s="334"/>
    </row>
    <row r="39" spans="1:67" s="9" customFormat="1" ht="15.75" outlineLevel="1" thickBot="1">
      <c r="A39" s="163" t="s">
        <v>200</v>
      </c>
      <c r="B39" s="200">
        <f t="shared" si="172"/>
        <v>9340</v>
      </c>
      <c r="C39" s="246">
        <f t="shared" si="193"/>
        <v>8340</v>
      </c>
      <c r="D39" s="247">
        <f t="shared" si="194"/>
        <v>0</v>
      </c>
      <c r="E39" s="247">
        <f t="shared" si="195"/>
        <v>0</v>
      </c>
      <c r="F39" s="260">
        <f t="shared" si="196"/>
        <v>1000</v>
      </c>
      <c r="G39" s="200">
        <f t="shared" si="177"/>
        <v>7340</v>
      </c>
      <c r="H39" s="190">
        <v>6340</v>
      </c>
      <c r="I39" s="157"/>
      <c r="J39" s="157"/>
      <c r="K39" s="158">
        <v>1000</v>
      </c>
      <c r="L39" s="200">
        <f t="shared" si="178"/>
        <v>1000</v>
      </c>
      <c r="M39" s="157">
        <v>1000</v>
      </c>
      <c r="N39" s="157"/>
      <c r="O39" s="157"/>
      <c r="P39" s="158"/>
      <c r="Q39" s="200">
        <f t="shared" si="179"/>
        <v>1000</v>
      </c>
      <c r="R39" s="157">
        <v>1000</v>
      </c>
      <c r="S39" s="157"/>
      <c r="T39" s="157"/>
      <c r="U39" s="158"/>
      <c r="V39" s="200">
        <f t="shared" si="180"/>
        <v>0</v>
      </c>
      <c r="W39" s="157"/>
      <c r="X39" s="157"/>
      <c r="Y39" s="157"/>
      <c r="Z39" s="158"/>
      <c r="AA39" s="200">
        <f t="shared" si="181"/>
        <v>0</v>
      </c>
      <c r="AB39" s="157"/>
      <c r="AC39" s="157"/>
      <c r="AD39" s="157"/>
      <c r="AE39" s="158"/>
      <c r="AF39" s="200"/>
      <c r="AG39" s="157"/>
      <c r="AH39" s="157"/>
      <c r="AI39" s="157"/>
      <c r="AJ39" s="158"/>
      <c r="AK39" s="200"/>
      <c r="AL39" s="157"/>
      <c r="AM39" s="157"/>
      <c r="AN39" s="157"/>
      <c r="AO39" s="158"/>
      <c r="AP39" s="200"/>
      <c r="AQ39" s="157"/>
      <c r="AR39" s="157"/>
      <c r="AS39" s="157"/>
      <c r="AT39" s="158"/>
      <c r="AU39" s="200"/>
      <c r="AV39" s="157"/>
      <c r="AW39" s="157"/>
      <c r="AX39" s="157"/>
      <c r="AY39" s="158"/>
      <c r="AZ39" s="200"/>
      <c r="BA39" s="157"/>
      <c r="BB39" s="157"/>
      <c r="BC39" s="157"/>
      <c r="BD39" s="158"/>
      <c r="BE39" s="200"/>
      <c r="BF39" s="157"/>
      <c r="BG39" s="157"/>
      <c r="BH39" s="157"/>
      <c r="BI39" s="158"/>
      <c r="BJ39" s="200"/>
      <c r="BK39" s="157"/>
      <c r="BL39" s="157"/>
      <c r="BM39" s="157"/>
      <c r="BN39" s="325"/>
      <c r="BO39" s="334"/>
    </row>
    <row r="40" spans="1:67" s="9" customFormat="1" ht="15.75" outlineLevel="1" thickBot="1">
      <c r="A40" s="163" t="s">
        <v>201</v>
      </c>
      <c r="B40" s="200">
        <f t="shared" si="172"/>
        <v>9117</v>
      </c>
      <c r="C40" s="246">
        <f t="shared" ref="C40:C43" si="197">SUM(H40,M40,R40,W40,AB40,AG40,AL40,AQ40,AV40,BA40,BF40,BK40)</f>
        <v>3008</v>
      </c>
      <c r="D40" s="247">
        <f t="shared" ref="D40:D43" si="198">SUM(I40,N40,S40,X40,AC40,AH40,AM40,AR40,AW40,BB40,BG40,BL40)</f>
        <v>2076</v>
      </c>
      <c r="E40" s="247">
        <f t="shared" ref="E40:E43" si="199">SUM(J40,O40,T40,Y40,AD40,AI40,AN40,AS40,AX40,BC40,BH40,BM40)</f>
        <v>500</v>
      </c>
      <c r="F40" s="260">
        <f t="shared" ref="F40:F43" si="200">SUM(K40,P40,U40,Z40,AE40,AJ40,AO40,AT40,AY40,BD40,BI40,BN40)</f>
        <v>3533</v>
      </c>
      <c r="G40" s="200">
        <f t="shared" si="177"/>
        <v>1733</v>
      </c>
      <c r="H40" s="190">
        <v>1733</v>
      </c>
      <c r="I40" s="157"/>
      <c r="J40" s="157"/>
      <c r="K40" s="158"/>
      <c r="L40" s="200">
        <f t="shared" si="178"/>
        <v>2495</v>
      </c>
      <c r="M40" s="157">
        <v>393</v>
      </c>
      <c r="N40" s="157">
        <v>90</v>
      </c>
      <c r="O40" s="157">
        <v>500</v>
      </c>
      <c r="P40" s="158">
        <v>1512</v>
      </c>
      <c r="Q40" s="200">
        <f t="shared" si="179"/>
        <v>1980</v>
      </c>
      <c r="R40" s="157">
        <v>390</v>
      </c>
      <c r="S40" s="157">
        <v>590</v>
      </c>
      <c r="T40" s="157"/>
      <c r="U40" s="158">
        <v>1000</v>
      </c>
      <c r="V40" s="200">
        <f t="shared" si="180"/>
        <v>1701</v>
      </c>
      <c r="W40" s="157">
        <v>492</v>
      </c>
      <c r="X40" s="157">
        <v>581</v>
      </c>
      <c r="Y40" s="157"/>
      <c r="Z40" s="158">
        <v>628</v>
      </c>
      <c r="AA40" s="200">
        <f t="shared" si="181"/>
        <v>1208</v>
      </c>
      <c r="AB40" s="157"/>
      <c r="AC40" s="157">
        <v>815</v>
      </c>
      <c r="AD40" s="157"/>
      <c r="AE40" s="158">
        <v>393</v>
      </c>
      <c r="AF40" s="200"/>
      <c r="AG40" s="157"/>
      <c r="AH40" s="157"/>
      <c r="AI40" s="157"/>
      <c r="AJ40" s="158"/>
      <c r="AK40" s="200"/>
      <c r="AL40" s="157"/>
      <c r="AM40" s="157"/>
      <c r="AN40" s="157"/>
      <c r="AO40" s="158"/>
      <c r="AP40" s="200"/>
      <c r="AQ40" s="157"/>
      <c r="AR40" s="157"/>
      <c r="AS40" s="157"/>
      <c r="AT40" s="158"/>
      <c r="AU40" s="200"/>
      <c r="AV40" s="157"/>
      <c r="AW40" s="157"/>
      <c r="AX40" s="157"/>
      <c r="AY40" s="158"/>
      <c r="AZ40" s="200"/>
      <c r="BA40" s="157"/>
      <c r="BB40" s="157"/>
      <c r="BC40" s="157"/>
      <c r="BD40" s="158"/>
      <c r="BE40" s="200"/>
      <c r="BF40" s="157"/>
      <c r="BG40" s="157"/>
      <c r="BH40" s="157"/>
      <c r="BI40" s="158"/>
      <c r="BJ40" s="200"/>
      <c r="BK40" s="157"/>
      <c r="BL40" s="157"/>
      <c r="BM40" s="157"/>
      <c r="BN40" s="325"/>
      <c r="BO40" s="334"/>
    </row>
    <row r="41" spans="1:67" s="9" customFormat="1" ht="15.75" outlineLevel="1" thickBot="1">
      <c r="A41" s="163" t="s">
        <v>258</v>
      </c>
      <c r="B41" s="200">
        <f t="shared" si="172"/>
        <v>6000</v>
      </c>
      <c r="C41" s="246">
        <f t="shared" si="197"/>
        <v>1000</v>
      </c>
      <c r="D41" s="247">
        <f t="shared" si="198"/>
        <v>0</v>
      </c>
      <c r="E41" s="247">
        <f t="shared" si="199"/>
        <v>1000</v>
      </c>
      <c r="F41" s="260">
        <f t="shared" si="200"/>
        <v>4000</v>
      </c>
      <c r="G41" s="200">
        <f t="shared" si="177"/>
        <v>0</v>
      </c>
      <c r="H41" s="190"/>
      <c r="I41" s="157"/>
      <c r="J41" s="157"/>
      <c r="K41" s="158"/>
      <c r="L41" s="200">
        <f t="shared" si="178"/>
        <v>0</v>
      </c>
      <c r="M41" s="157"/>
      <c r="N41" s="157"/>
      <c r="O41" s="157"/>
      <c r="P41" s="158"/>
      <c r="Q41" s="200">
        <f t="shared" si="179"/>
        <v>1000</v>
      </c>
      <c r="R41" s="157"/>
      <c r="S41" s="157"/>
      <c r="T41" s="157">
        <v>1000</v>
      </c>
      <c r="U41" s="158"/>
      <c r="V41" s="200">
        <f t="shared" si="180"/>
        <v>1000</v>
      </c>
      <c r="W41" s="157"/>
      <c r="X41" s="157"/>
      <c r="Y41" s="157"/>
      <c r="Z41" s="158">
        <v>1000</v>
      </c>
      <c r="AA41" s="200">
        <f t="shared" si="181"/>
        <v>4000</v>
      </c>
      <c r="AB41" s="157">
        <v>1000</v>
      </c>
      <c r="AC41" s="157"/>
      <c r="AD41" s="157"/>
      <c r="AE41" s="158">
        <v>3000</v>
      </c>
      <c r="AF41" s="200"/>
      <c r="AG41" s="157"/>
      <c r="AH41" s="157"/>
      <c r="AI41" s="157"/>
      <c r="AJ41" s="158"/>
      <c r="AK41" s="200"/>
      <c r="AL41" s="157"/>
      <c r="AM41" s="157"/>
      <c r="AN41" s="157"/>
      <c r="AO41" s="158"/>
      <c r="AP41" s="200"/>
      <c r="AQ41" s="157"/>
      <c r="AR41" s="157"/>
      <c r="AS41" s="157"/>
      <c r="AT41" s="158"/>
      <c r="AU41" s="200"/>
      <c r="AV41" s="157"/>
      <c r="AW41" s="157"/>
      <c r="AX41" s="157"/>
      <c r="AY41" s="158"/>
      <c r="AZ41" s="200"/>
      <c r="BA41" s="157"/>
      <c r="BB41" s="157"/>
      <c r="BC41" s="157"/>
      <c r="BD41" s="158"/>
      <c r="BE41" s="200"/>
      <c r="BF41" s="157"/>
      <c r="BG41" s="157"/>
      <c r="BH41" s="157"/>
      <c r="BI41" s="158"/>
      <c r="BJ41" s="200"/>
      <c r="BK41" s="157"/>
      <c r="BL41" s="157"/>
      <c r="BM41" s="157"/>
      <c r="BN41" s="325"/>
      <c r="BO41" s="334"/>
    </row>
    <row r="42" spans="1:67" s="9" customFormat="1" ht="15.75" outlineLevel="1" thickBot="1">
      <c r="A42" s="163" t="s">
        <v>259</v>
      </c>
      <c r="B42" s="200">
        <f t="shared" si="172"/>
        <v>86990.979999999981</v>
      </c>
      <c r="C42" s="246">
        <f t="shared" si="197"/>
        <v>40657.429999999993</v>
      </c>
      <c r="D42" s="247">
        <f t="shared" si="198"/>
        <v>1195.5999999999999</v>
      </c>
      <c r="E42" s="247">
        <f t="shared" si="199"/>
        <v>31134.949999999997</v>
      </c>
      <c r="F42" s="260">
        <f t="shared" si="200"/>
        <v>14003</v>
      </c>
      <c r="G42" s="200">
        <f t="shared" si="177"/>
        <v>10263.58</v>
      </c>
      <c r="H42" s="190">
        <v>9129.58</v>
      </c>
      <c r="I42" s="157"/>
      <c r="J42" s="157"/>
      <c r="K42" s="158">
        <v>1134</v>
      </c>
      <c r="L42" s="200">
        <f t="shared" si="178"/>
        <v>8448.1</v>
      </c>
      <c r="M42" s="157">
        <v>8346.1</v>
      </c>
      <c r="N42" s="157"/>
      <c r="O42" s="157">
        <v>102</v>
      </c>
      <c r="P42" s="158"/>
      <c r="Q42" s="200">
        <f t="shared" si="179"/>
        <v>37453.86</v>
      </c>
      <c r="R42" s="157">
        <v>12494.56</v>
      </c>
      <c r="S42" s="157"/>
      <c r="T42" s="157">
        <v>24959.3</v>
      </c>
      <c r="U42" s="158"/>
      <c r="V42" s="200">
        <f t="shared" si="180"/>
        <v>9013.35</v>
      </c>
      <c r="W42" s="157">
        <v>9013.35</v>
      </c>
      <c r="X42" s="157"/>
      <c r="Y42" s="157"/>
      <c r="Z42" s="158"/>
      <c r="AA42" s="200">
        <f t="shared" si="181"/>
        <v>21812.09</v>
      </c>
      <c r="AB42" s="157">
        <v>1673.84</v>
      </c>
      <c r="AC42" s="157">
        <v>1195.5999999999999</v>
      </c>
      <c r="AD42" s="157">
        <v>6073.65</v>
      </c>
      <c r="AE42" s="158">
        <v>12869</v>
      </c>
      <c r="AF42" s="200"/>
      <c r="AG42" s="157"/>
      <c r="AH42" s="157"/>
      <c r="AI42" s="157"/>
      <c r="AJ42" s="158"/>
      <c r="AK42" s="200"/>
      <c r="AL42" s="157"/>
      <c r="AM42" s="157"/>
      <c r="AN42" s="157"/>
      <c r="AO42" s="158"/>
      <c r="AP42" s="200"/>
      <c r="AQ42" s="157"/>
      <c r="AR42" s="157"/>
      <c r="AS42" s="157"/>
      <c r="AT42" s="158"/>
      <c r="AU42" s="200"/>
      <c r="AV42" s="157"/>
      <c r="AW42" s="157"/>
      <c r="AX42" s="157"/>
      <c r="AY42" s="158"/>
      <c r="AZ42" s="200"/>
      <c r="BA42" s="157"/>
      <c r="BB42" s="157"/>
      <c r="BC42" s="157"/>
      <c r="BD42" s="158"/>
      <c r="BE42" s="200"/>
      <c r="BF42" s="157"/>
      <c r="BG42" s="157"/>
      <c r="BH42" s="157"/>
      <c r="BI42" s="158"/>
      <c r="BJ42" s="200"/>
      <c r="BK42" s="157"/>
      <c r="BL42" s="157"/>
      <c r="BM42" s="157"/>
      <c r="BN42" s="325"/>
      <c r="BO42" s="334"/>
    </row>
    <row r="43" spans="1:67" s="9" customFormat="1" ht="15.75" outlineLevel="1" thickBot="1">
      <c r="A43" s="163" t="s">
        <v>202</v>
      </c>
      <c r="B43" s="200">
        <f t="shared" si="172"/>
        <v>25020</v>
      </c>
      <c r="C43" s="246">
        <f t="shared" si="197"/>
        <v>25020</v>
      </c>
      <c r="D43" s="247">
        <f t="shared" si="198"/>
        <v>0</v>
      </c>
      <c r="E43" s="247">
        <f t="shared" si="199"/>
        <v>0</v>
      </c>
      <c r="F43" s="260">
        <f t="shared" si="200"/>
        <v>0</v>
      </c>
      <c r="G43" s="200">
        <f t="shared" si="177"/>
        <v>4780</v>
      </c>
      <c r="H43" s="190">
        <v>4780</v>
      </c>
      <c r="I43" s="157"/>
      <c r="J43" s="157"/>
      <c r="K43" s="158"/>
      <c r="L43" s="200">
        <f t="shared" si="178"/>
        <v>7730</v>
      </c>
      <c r="M43" s="157">
        <v>7730</v>
      </c>
      <c r="N43" s="157"/>
      <c r="O43" s="157"/>
      <c r="P43" s="158"/>
      <c r="Q43" s="200">
        <f t="shared" si="179"/>
        <v>3740</v>
      </c>
      <c r="R43" s="157">
        <v>3740</v>
      </c>
      <c r="S43" s="157"/>
      <c r="T43" s="157"/>
      <c r="U43" s="158"/>
      <c r="V43" s="200">
        <f t="shared" si="180"/>
        <v>8770</v>
      </c>
      <c r="W43" s="157">
        <v>8770</v>
      </c>
      <c r="X43" s="157"/>
      <c r="Y43" s="157"/>
      <c r="Z43" s="158"/>
      <c r="AA43" s="200">
        <f t="shared" si="181"/>
        <v>0</v>
      </c>
      <c r="AB43" s="157"/>
      <c r="AC43" s="157"/>
      <c r="AD43" s="157"/>
      <c r="AE43" s="158"/>
      <c r="AF43" s="200"/>
      <c r="AG43" s="157"/>
      <c r="AH43" s="157"/>
      <c r="AI43" s="157"/>
      <c r="AJ43" s="158"/>
      <c r="AK43" s="200"/>
      <c r="AL43" s="157"/>
      <c r="AM43" s="157"/>
      <c r="AN43" s="157"/>
      <c r="AO43" s="158"/>
      <c r="AP43" s="200"/>
      <c r="AQ43" s="157"/>
      <c r="AR43" s="157"/>
      <c r="AS43" s="157"/>
      <c r="AT43" s="158"/>
      <c r="AU43" s="200"/>
      <c r="AV43" s="157"/>
      <c r="AW43" s="157"/>
      <c r="AX43" s="157"/>
      <c r="AY43" s="158"/>
      <c r="AZ43" s="200"/>
      <c r="BA43" s="157"/>
      <c r="BB43" s="157"/>
      <c r="BC43" s="157"/>
      <c r="BD43" s="158"/>
      <c r="BE43" s="200"/>
      <c r="BF43" s="157"/>
      <c r="BG43" s="157"/>
      <c r="BH43" s="157"/>
      <c r="BI43" s="158"/>
      <c r="BJ43" s="200"/>
      <c r="BK43" s="157"/>
      <c r="BL43" s="157"/>
      <c r="BM43" s="157"/>
      <c r="BN43" s="325"/>
      <c r="BO43" s="334"/>
    </row>
    <row r="44" spans="1:67" s="9" customFormat="1" ht="15.75" outlineLevel="1" thickBot="1">
      <c r="A44" s="163" t="s">
        <v>196</v>
      </c>
      <c r="B44" s="200">
        <f t="shared" si="172"/>
        <v>246275.97</v>
      </c>
      <c r="C44" s="246">
        <f t="shared" si="173"/>
        <v>6450</v>
      </c>
      <c r="D44" s="247">
        <f t="shared" si="174"/>
        <v>0</v>
      </c>
      <c r="E44" s="247">
        <f t="shared" si="175"/>
        <v>72100</v>
      </c>
      <c r="F44" s="260">
        <f t="shared" si="176"/>
        <v>167725.97</v>
      </c>
      <c r="G44" s="200">
        <f t="shared" si="177"/>
        <v>18400</v>
      </c>
      <c r="H44" s="190"/>
      <c r="I44" s="157"/>
      <c r="J44" s="157">
        <v>9000</v>
      </c>
      <c r="K44" s="158">
        <v>9400</v>
      </c>
      <c r="L44" s="200">
        <f t="shared" ref="L44:L45" si="201">SUM(M44:P44)</f>
        <v>103471.03</v>
      </c>
      <c r="M44" s="157"/>
      <c r="N44" s="157"/>
      <c r="O44" s="157">
        <f>600+16375+1500-7375</f>
        <v>11100</v>
      </c>
      <c r="P44" s="158">
        <f>33596.03+15000+36400+7375</f>
        <v>92371.03</v>
      </c>
      <c r="Q44" s="200">
        <f t="shared" ref="Q44" si="202">SUM(R44:U44)</f>
        <v>23154.940000000002</v>
      </c>
      <c r="R44" s="157">
        <v>1000</v>
      </c>
      <c r="S44" s="157"/>
      <c r="T44" s="157">
        <v>12000</v>
      </c>
      <c r="U44" s="158">
        <v>10154.94</v>
      </c>
      <c r="V44" s="200">
        <f t="shared" ref="V44" si="203">SUM(W44:Z44)</f>
        <v>20950</v>
      </c>
      <c r="W44" s="157">
        <v>5450</v>
      </c>
      <c r="X44" s="157"/>
      <c r="Y44" s="157">
        <v>1500</v>
      </c>
      <c r="Z44" s="158">
        <v>14000</v>
      </c>
      <c r="AA44" s="200">
        <f t="shared" ref="AA44:AA45" si="204">SUM(AB44:AE44)</f>
        <v>80300</v>
      </c>
      <c r="AB44" s="157"/>
      <c r="AC44" s="157"/>
      <c r="AD44" s="157">
        <f>31500+7000</f>
        <v>38500</v>
      </c>
      <c r="AE44" s="158">
        <v>41800</v>
      </c>
      <c r="AF44" s="200">
        <f t="shared" ref="AF44:AF45" si="205">SUM(AG44:AJ44)</f>
        <v>0</v>
      </c>
      <c r="AG44" s="157"/>
      <c r="AH44" s="157"/>
      <c r="AI44" s="157"/>
      <c r="AJ44" s="158"/>
      <c r="AK44" s="200">
        <f t="shared" ref="AK44:AK45" si="206">SUM(AL44:AO44)</f>
        <v>0</v>
      </c>
      <c r="AL44" s="157"/>
      <c r="AM44" s="157"/>
      <c r="AN44" s="157"/>
      <c r="AO44" s="158"/>
      <c r="AP44" s="200">
        <f t="shared" ref="AP44:AP45" si="207">SUM(AQ44:AT44)</f>
        <v>0</v>
      </c>
      <c r="AQ44" s="157"/>
      <c r="AR44" s="157"/>
      <c r="AS44" s="157"/>
      <c r="AT44" s="158"/>
      <c r="AU44" s="200">
        <f t="shared" si="185"/>
        <v>0</v>
      </c>
      <c r="AV44" s="157"/>
      <c r="AW44" s="157"/>
      <c r="AX44" s="157"/>
      <c r="AY44" s="158"/>
      <c r="AZ44" s="200">
        <f t="shared" si="186"/>
        <v>0</v>
      </c>
      <c r="BA44" s="157"/>
      <c r="BB44" s="157"/>
      <c r="BC44" s="157"/>
      <c r="BD44" s="158"/>
      <c r="BE44" s="200">
        <f t="shared" si="187"/>
        <v>0</v>
      </c>
      <c r="BF44" s="157"/>
      <c r="BG44" s="157"/>
      <c r="BH44" s="157"/>
      <c r="BI44" s="158"/>
      <c r="BJ44" s="200">
        <f t="shared" si="188"/>
        <v>0</v>
      </c>
      <c r="BK44" s="157"/>
      <c r="BL44" s="157"/>
      <c r="BM44" s="157"/>
      <c r="BN44" s="325"/>
      <c r="BO44" s="334"/>
    </row>
    <row r="45" spans="1:67" s="9" customFormat="1" ht="15.75" outlineLevel="1" thickBot="1">
      <c r="A45" s="163" t="s">
        <v>183</v>
      </c>
      <c r="B45" s="200">
        <f t="shared" si="172"/>
        <v>2102000</v>
      </c>
      <c r="C45" s="246">
        <f t="shared" si="173"/>
        <v>659083.71089480515</v>
      </c>
      <c r="D45" s="247">
        <f t="shared" si="174"/>
        <v>118845.98360233691</v>
      </c>
      <c r="E45" s="247">
        <f t="shared" si="175"/>
        <v>327692.89443851647</v>
      </c>
      <c r="F45" s="260">
        <f t="shared" si="176"/>
        <v>996377.41106434143</v>
      </c>
      <c r="G45" s="200">
        <f t="shared" si="177"/>
        <v>422000</v>
      </c>
      <c r="H45" s="190">
        <v>211000</v>
      </c>
      <c r="I45" s="157"/>
      <c r="J45" s="157"/>
      <c r="K45" s="158">
        <v>211000</v>
      </c>
      <c r="L45" s="200">
        <f t="shared" si="201"/>
        <v>422000</v>
      </c>
      <c r="M45" s="190">
        <v>211000</v>
      </c>
      <c r="N45" s="157"/>
      <c r="O45" s="157"/>
      <c r="P45" s="158">
        <v>211000</v>
      </c>
      <c r="Q45" s="200">
        <v>422000</v>
      </c>
      <c r="R45" s="157">
        <f>$Q$45/$Q$9*R9</f>
        <v>68340.383519109251</v>
      </c>
      <c r="S45" s="157">
        <f t="shared" ref="S45:U45" si="208">$Q$45/$Q$9*S9</f>
        <v>27311.994372142104</v>
      </c>
      <c r="T45" s="157">
        <f t="shared" si="208"/>
        <v>165201.94161097432</v>
      </c>
      <c r="U45" s="157">
        <f t="shared" si="208"/>
        <v>161145.68049777433</v>
      </c>
      <c r="V45" s="200">
        <v>422000</v>
      </c>
      <c r="W45" s="157">
        <f>$V$45/$V$9*W9</f>
        <v>65189.931374638742</v>
      </c>
      <c r="X45" s="157">
        <f t="shared" ref="X45:Z45" si="209">$V$45/$V$9*X9</f>
        <v>13643.264819112694</v>
      </c>
      <c r="Y45" s="157">
        <f t="shared" si="209"/>
        <v>111935.07323968149</v>
      </c>
      <c r="Z45" s="157">
        <f t="shared" si="209"/>
        <v>231231.73056656707</v>
      </c>
      <c r="AA45" s="200">
        <f t="shared" si="204"/>
        <v>414000</v>
      </c>
      <c r="AB45" s="157">
        <f>232000/($AB$9+$AC$9+195400)*AB9</f>
        <v>103553.39600105722</v>
      </c>
      <c r="AC45" s="157">
        <f>232000/($AB$9+$AC$9+195400)*AC9</f>
        <v>77890.724411082119</v>
      </c>
      <c r="AD45" s="157">
        <f>232000/($AB$9+$AC$9+195400)*195400</f>
        <v>50555.87958786064</v>
      </c>
      <c r="AE45" s="158">
        <v>182000</v>
      </c>
      <c r="AF45" s="200">
        <f t="shared" si="205"/>
        <v>0</v>
      </c>
      <c r="AG45" s="157"/>
      <c r="AH45" s="157"/>
      <c r="AI45" s="157"/>
      <c r="AJ45" s="158"/>
      <c r="AK45" s="200">
        <f t="shared" si="206"/>
        <v>0</v>
      </c>
      <c r="AL45" s="157"/>
      <c r="AM45" s="157"/>
      <c r="AN45" s="157"/>
      <c r="AO45" s="158"/>
      <c r="AP45" s="200">
        <f t="shared" si="207"/>
        <v>0</v>
      </c>
      <c r="AQ45" s="157"/>
      <c r="AR45" s="157"/>
      <c r="AS45" s="157"/>
      <c r="AT45" s="158"/>
      <c r="AU45" s="200">
        <f t="shared" si="185"/>
        <v>0</v>
      </c>
      <c r="AV45" s="157"/>
      <c r="AW45" s="157"/>
      <c r="AX45" s="157"/>
      <c r="AY45" s="158"/>
      <c r="AZ45" s="200">
        <f t="shared" si="186"/>
        <v>0</v>
      </c>
      <c r="BA45" s="157"/>
      <c r="BB45" s="157"/>
      <c r="BC45" s="157"/>
      <c r="BD45" s="158"/>
      <c r="BE45" s="200">
        <f t="shared" si="187"/>
        <v>0</v>
      </c>
      <c r="BF45" s="157"/>
      <c r="BG45" s="157"/>
      <c r="BH45" s="157"/>
      <c r="BI45" s="158"/>
      <c r="BJ45" s="200">
        <f t="shared" si="188"/>
        <v>0</v>
      </c>
      <c r="BK45" s="157"/>
      <c r="BL45" s="157"/>
      <c r="BM45" s="157"/>
      <c r="BN45" s="325"/>
      <c r="BO45" s="335"/>
    </row>
    <row r="46" spans="1:67" s="9" customFormat="1" ht="15.75" thickBot="1">
      <c r="A46" s="152" t="s">
        <v>135</v>
      </c>
      <c r="B46" s="199" t="e">
        <f>B29-B31</f>
        <v>#REF!</v>
      </c>
      <c r="C46" s="189" t="e">
        <f>C29-C31</f>
        <v>#REF!</v>
      </c>
      <c r="D46" s="154" t="e">
        <f t="shared" ref="D46:F46" si="210">D29-D31</f>
        <v>#REF!</v>
      </c>
      <c r="E46" s="154" t="e">
        <f t="shared" si="210"/>
        <v>#REF!</v>
      </c>
      <c r="F46" s="155" t="e">
        <f t="shared" si="210"/>
        <v>#REF!</v>
      </c>
      <c r="G46" s="199">
        <f>G29-G31</f>
        <v>37723.920000000158</v>
      </c>
      <c r="H46" s="189">
        <f>H29-H31</f>
        <v>-238061.04499999998</v>
      </c>
      <c r="I46" s="189">
        <f t="shared" ref="I46:K46" si="211">I29-I31</f>
        <v>35110</v>
      </c>
      <c r="J46" s="189">
        <f t="shared" si="211"/>
        <v>382310</v>
      </c>
      <c r="K46" s="189">
        <f t="shared" si="211"/>
        <v>-141635.03500000015</v>
      </c>
      <c r="L46" s="199">
        <f>L29-L31</f>
        <v>140577.76999999979</v>
      </c>
      <c r="M46" s="154">
        <f>M29-M31</f>
        <v>-210450.31499999994</v>
      </c>
      <c r="N46" s="154">
        <f t="shared" ref="N46:P46" si="212">N29-N31</f>
        <v>92815</v>
      </c>
      <c r="O46" s="154">
        <f t="shared" si="212"/>
        <v>294673</v>
      </c>
      <c r="P46" s="155">
        <f t="shared" si="212"/>
        <v>-36459.915000000037</v>
      </c>
      <c r="Q46" s="199">
        <f>Q29-Q31</f>
        <v>799672.8200000003</v>
      </c>
      <c r="R46" s="154">
        <f>R29-R31</f>
        <v>-51082.723519109248</v>
      </c>
      <c r="S46" s="154">
        <f t="shared" ref="S46:U46" si="213">S29-S31</f>
        <v>107542.0056278579</v>
      </c>
      <c r="T46" s="154">
        <f t="shared" si="213"/>
        <v>291138.75838902569</v>
      </c>
      <c r="U46" s="155">
        <f t="shared" si="213"/>
        <v>452074.77950222581</v>
      </c>
      <c r="V46" s="199">
        <f>V29-V31</f>
        <v>669720.04999999981</v>
      </c>
      <c r="W46" s="154">
        <f>W29-W31</f>
        <v>-140791.28137463875</v>
      </c>
      <c r="X46" s="154">
        <f t="shared" ref="X46:Z46" si="214">X29-X31</f>
        <v>36555.735180887306</v>
      </c>
      <c r="Y46" s="154">
        <f t="shared" si="214"/>
        <v>90048.926760318514</v>
      </c>
      <c r="Z46" s="155">
        <f t="shared" si="214"/>
        <v>683906.66943343286</v>
      </c>
      <c r="AA46" s="199">
        <f>AA29-AA31</f>
        <v>361586.24</v>
      </c>
      <c r="AB46" s="154">
        <f>AB29-AB31</f>
        <v>-32740.416001057194</v>
      </c>
      <c r="AC46" s="154">
        <f t="shared" ref="AC46:AE46" si="215">AC29-AC31</f>
        <v>52494.275588917881</v>
      </c>
      <c r="AD46" s="154">
        <f t="shared" si="215"/>
        <v>145334.94041213937</v>
      </c>
      <c r="AE46" s="155">
        <f t="shared" si="215"/>
        <v>196497.43999999994</v>
      </c>
      <c r="AF46" s="199">
        <f>AF29-AF31</f>
        <v>0</v>
      </c>
      <c r="AG46" s="154">
        <f>AG29-AG31</f>
        <v>0</v>
      </c>
      <c r="AH46" s="154">
        <f t="shared" ref="AH46:AJ46" si="216">AH29-AH31</f>
        <v>0</v>
      </c>
      <c r="AI46" s="154">
        <f t="shared" si="216"/>
        <v>0</v>
      </c>
      <c r="AJ46" s="155">
        <f t="shared" si="216"/>
        <v>0</v>
      </c>
      <c r="AK46" s="199">
        <f>AK29-AK31</f>
        <v>0</v>
      </c>
      <c r="AL46" s="154">
        <f>AL29-AL31</f>
        <v>0</v>
      </c>
      <c r="AM46" s="154">
        <f t="shared" ref="AM46:AO46" si="217">AM29-AM31</f>
        <v>0</v>
      </c>
      <c r="AN46" s="154">
        <f t="shared" si="217"/>
        <v>0</v>
      </c>
      <c r="AO46" s="155">
        <f t="shared" si="217"/>
        <v>0</v>
      </c>
      <c r="AP46" s="199">
        <f>AP29-AP31</f>
        <v>0</v>
      </c>
      <c r="AQ46" s="154">
        <f>AQ29-AQ31</f>
        <v>0</v>
      </c>
      <c r="AR46" s="154">
        <f t="shared" ref="AR46:AT46" si="218">AR29-AR31</f>
        <v>0</v>
      </c>
      <c r="AS46" s="154">
        <f t="shared" si="218"/>
        <v>0</v>
      </c>
      <c r="AT46" s="155">
        <f t="shared" si="218"/>
        <v>0</v>
      </c>
      <c r="AU46" s="199">
        <f>AU29-AU31</f>
        <v>0</v>
      </c>
      <c r="AV46" s="154">
        <f>AV29-AV31</f>
        <v>0</v>
      </c>
      <c r="AW46" s="154">
        <f t="shared" ref="AW46:AY46" si="219">AW29-AW31</f>
        <v>0</v>
      </c>
      <c r="AX46" s="154">
        <f t="shared" si="219"/>
        <v>0</v>
      </c>
      <c r="AY46" s="155">
        <f t="shared" si="219"/>
        <v>0</v>
      </c>
      <c r="AZ46" s="199">
        <f>AZ29-AZ31</f>
        <v>0</v>
      </c>
      <c r="BA46" s="154">
        <f>BA29-BA31</f>
        <v>0</v>
      </c>
      <c r="BB46" s="154">
        <f t="shared" ref="BB46:BD46" si="220">BB29-BB31</f>
        <v>0</v>
      </c>
      <c r="BC46" s="154">
        <f t="shared" si="220"/>
        <v>0</v>
      </c>
      <c r="BD46" s="155">
        <f t="shared" si="220"/>
        <v>0</v>
      </c>
      <c r="BE46" s="199">
        <f>BE29-BE31</f>
        <v>0</v>
      </c>
      <c r="BF46" s="154">
        <f>BF29-BF31</f>
        <v>0</v>
      </c>
      <c r="BG46" s="154">
        <f t="shared" ref="BG46:BI46" si="221">BG29-BG31</f>
        <v>0</v>
      </c>
      <c r="BH46" s="154">
        <f t="shared" si="221"/>
        <v>0</v>
      </c>
      <c r="BI46" s="155">
        <f t="shared" si="221"/>
        <v>0</v>
      </c>
      <c r="BJ46" s="199">
        <f>BJ29-BJ31</f>
        <v>0</v>
      </c>
      <c r="BK46" s="154">
        <f>BK29-BK31</f>
        <v>0</v>
      </c>
      <c r="BL46" s="154">
        <f t="shared" ref="BL46:BN46" si="222">BL29-BL31</f>
        <v>0</v>
      </c>
      <c r="BM46" s="154">
        <f t="shared" si="222"/>
        <v>0</v>
      </c>
      <c r="BN46" s="328">
        <f t="shared" si="222"/>
        <v>0</v>
      </c>
      <c r="BO46" s="331" t="s">
        <v>260</v>
      </c>
    </row>
    <row r="47" spans="1:67" s="9" customFormat="1" ht="15.75" thickBot="1">
      <c r="A47" s="156" t="s">
        <v>136</v>
      </c>
      <c r="B47" s="201" t="e">
        <f t="shared" ref="B47:F47" si="223">B46/B9</f>
        <v>#REF!</v>
      </c>
      <c r="C47" s="192" t="e">
        <f t="shared" si="223"/>
        <v>#REF!</v>
      </c>
      <c r="D47" s="170" t="e">
        <f t="shared" si="223"/>
        <v>#REF!</v>
      </c>
      <c r="E47" s="170" t="e">
        <f t="shared" si="223"/>
        <v>#REF!</v>
      </c>
      <c r="F47" s="171" t="e">
        <f t="shared" si="223"/>
        <v>#REF!</v>
      </c>
      <c r="G47" s="201">
        <f t="shared" ref="G47:AL47" si="224">G46/G9</f>
        <v>1.3035532994923913E-2</v>
      </c>
      <c r="H47" s="192">
        <f t="shared" si="224"/>
        <v>-0.42795644772180613</v>
      </c>
      <c r="I47" s="170">
        <f t="shared" si="224"/>
        <v>0.41847437425506556</v>
      </c>
      <c r="J47" s="170">
        <f t="shared" si="224"/>
        <v>0.30961038540342239</v>
      </c>
      <c r="K47" s="171">
        <f t="shared" si="224"/>
        <v>-0.1390015123470725</v>
      </c>
      <c r="L47" s="201">
        <f t="shared" si="224"/>
        <v>4.2338455209161185E-2</v>
      </c>
      <c r="M47" s="170">
        <f t="shared" si="224"/>
        <v>-0.342437289078797</v>
      </c>
      <c r="N47" s="170">
        <f t="shared" si="224"/>
        <v>0.42246244879380973</v>
      </c>
      <c r="O47" s="170">
        <f t="shared" si="224"/>
        <v>0.22797502953425239</v>
      </c>
      <c r="P47" s="171">
        <f t="shared" si="224"/>
        <v>-3.0548734813573553E-2</v>
      </c>
      <c r="Q47" s="201">
        <f t="shared" si="224"/>
        <v>0.19398469804844332</v>
      </c>
      <c r="R47" s="170">
        <f t="shared" si="224"/>
        <v>-7.6518107699500071E-2</v>
      </c>
      <c r="S47" s="170">
        <f t="shared" si="224"/>
        <v>0.40308098061416003</v>
      </c>
      <c r="T47" s="170">
        <f t="shared" si="224"/>
        <v>0.18040661893789639</v>
      </c>
      <c r="U47" s="171">
        <f t="shared" si="224"/>
        <v>0.28718331175721129</v>
      </c>
      <c r="V47" s="201">
        <f t="shared" si="224"/>
        <v>0.19937437260129767</v>
      </c>
      <c r="W47" s="170">
        <f t="shared" si="224"/>
        <v>-0.27132119514875169</v>
      </c>
      <c r="X47" s="170">
        <f t="shared" si="224"/>
        <v>0.33660897956618147</v>
      </c>
      <c r="Y47" s="170">
        <f t="shared" si="224"/>
        <v>0.10106501319901068</v>
      </c>
      <c r="Z47" s="171">
        <f t="shared" si="224"/>
        <v>0.37156764781523877</v>
      </c>
      <c r="AA47" s="201">
        <f t="shared" si="224"/>
        <v>0.12306738059355042</v>
      </c>
      <c r="AB47" s="170">
        <f t="shared" si="224"/>
        <v>-8.1802571978745575E-2</v>
      </c>
      <c r="AC47" s="170">
        <f t="shared" si="224"/>
        <v>0.17437062145463506</v>
      </c>
      <c r="AD47" s="170">
        <f t="shared" si="224"/>
        <v>0.18445158886213162</v>
      </c>
      <c r="AE47" s="171">
        <f t="shared" si="224"/>
        <v>0.13561845235589226</v>
      </c>
      <c r="AF47" s="201" t="e">
        <f t="shared" si="224"/>
        <v>#DIV/0!</v>
      </c>
      <c r="AG47" s="170" t="e">
        <f t="shared" si="224"/>
        <v>#DIV/0!</v>
      </c>
      <c r="AH47" s="170" t="e">
        <f t="shared" si="224"/>
        <v>#DIV/0!</v>
      </c>
      <c r="AI47" s="170" t="e">
        <f t="shared" si="224"/>
        <v>#DIV/0!</v>
      </c>
      <c r="AJ47" s="171" t="e">
        <f t="shared" si="224"/>
        <v>#DIV/0!</v>
      </c>
      <c r="AK47" s="201" t="e">
        <f t="shared" si="224"/>
        <v>#DIV/0!</v>
      </c>
      <c r="AL47" s="170" t="e">
        <f t="shared" si="224"/>
        <v>#DIV/0!</v>
      </c>
      <c r="AM47" s="170" t="e">
        <f t="shared" ref="AM47:BN47" si="225">AM46/AM9</f>
        <v>#DIV/0!</v>
      </c>
      <c r="AN47" s="170" t="e">
        <f t="shared" si="225"/>
        <v>#DIV/0!</v>
      </c>
      <c r="AO47" s="171" t="e">
        <f t="shared" si="225"/>
        <v>#DIV/0!</v>
      </c>
      <c r="AP47" s="201" t="e">
        <f t="shared" si="225"/>
        <v>#DIV/0!</v>
      </c>
      <c r="AQ47" s="170" t="e">
        <f t="shared" si="225"/>
        <v>#DIV/0!</v>
      </c>
      <c r="AR47" s="170" t="e">
        <f t="shared" si="225"/>
        <v>#DIV/0!</v>
      </c>
      <c r="AS47" s="170" t="e">
        <f t="shared" si="225"/>
        <v>#DIV/0!</v>
      </c>
      <c r="AT47" s="171" t="e">
        <f t="shared" si="225"/>
        <v>#DIV/0!</v>
      </c>
      <c r="AU47" s="201" t="e">
        <f t="shared" si="225"/>
        <v>#DIV/0!</v>
      </c>
      <c r="AV47" s="170" t="e">
        <f t="shared" si="225"/>
        <v>#DIV/0!</v>
      </c>
      <c r="AW47" s="170" t="e">
        <f t="shared" si="225"/>
        <v>#DIV/0!</v>
      </c>
      <c r="AX47" s="170" t="e">
        <f t="shared" si="225"/>
        <v>#DIV/0!</v>
      </c>
      <c r="AY47" s="171" t="e">
        <f t="shared" si="225"/>
        <v>#DIV/0!</v>
      </c>
      <c r="AZ47" s="201" t="e">
        <f t="shared" si="225"/>
        <v>#DIV/0!</v>
      </c>
      <c r="BA47" s="170" t="e">
        <f t="shared" si="225"/>
        <v>#DIV/0!</v>
      </c>
      <c r="BB47" s="170" t="e">
        <f t="shared" si="225"/>
        <v>#DIV/0!</v>
      </c>
      <c r="BC47" s="170" t="e">
        <f t="shared" si="225"/>
        <v>#DIV/0!</v>
      </c>
      <c r="BD47" s="171" t="e">
        <f t="shared" si="225"/>
        <v>#DIV/0!</v>
      </c>
      <c r="BE47" s="201" t="e">
        <f t="shared" si="225"/>
        <v>#DIV/0!</v>
      </c>
      <c r="BF47" s="170" t="e">
        <f t="shared" si="225"/>
        <v>#DIV/0!</v>
      </c>
      <c r="BG47" s="170" t="e">
        <f t="shared" si="225"/>
        <v>#DIV/0!</v>
      </c>
      <c r="BH47" s="170" t="e">
        <f t="shared" si="225"/>
        <v>#DIV/0!</v>
      </c>
      <c r="BI47" s="171" t="e">
        <f t="shared" si="225"/>
        <v>#DIV/0!</v>
      </c>
      <c r="BJ47" s="201" t="e">
        <f t="shared" si="225"/>
        <v>#DIV/0!</v>
      </c>
      <c r="BK47" s="170" t="e">
        <f t="shared" si="225"/>
        <v>#DIV/0!</v>
      </c>
      <c r="BL47" s="170" t="e">
        <f t="shared" si="225"/>
        <v>#DIV/0!</v>
      </c>
      <c r="BM47" s="170" t="e">
        <f t="shared" si="225"/>
        <v>#DIV/0!</v>
      </c>
      <c r="BN47" s="329" t="e">
        <f t="shared" si="225"/>
        <v>#DIV/0!</v>
      </c>
      <c r="BO47" s="331" t="s">
        <v>260</v>
      </c>
    </row>
    <row r="48" spans="1:67" s="9" customFormat="1" ht="15.75" thickBot="1">
      <c r="A48" s="156" t="s">
        <v>143</v>
      </c>
      <c r="B48" s="201"/>
      <c r="C48" s="192" t="e">
        <f>IF(C9&gt;0,C46/$B$46,0)</f>
        <v>#REF!</v>
      </c>
      <c r="D48" s="192" t="e">
        <f t="shared" ref="D48:F48" si="226">IF(D9&gt;0,D46/$B$46,0)</f>
        <v>#REF!</v>
      </c>
      <c r="E48" s="192" t="e">
        <f t="shared" si="226"/>
        <v>#REF!</v>
      </c>
      <c r="F48" s="192" t="e">
        <f t="shared" si="226"/>
        <v>#REF!</v>
      </c>
      <c r="G48" s="201"/>
      <c r="H48" s="192">
        <f>H46/$G$46</f>
        <v>-6.3106126033561463</v>
      </c>
      <c r="I48" s="192">
        <f t="shared" ref="I48:K48" si="227">I46/$G$46</f>
        <v>0.93070921579729393</v>
      </c>
      <c r="J48" s="192">
        <f t="shared" si="227"/>
        <v>10.134418692437011</v>
      </c>
      <c r="K48" s="192">
        <f t="shared" si="227"/>
        <v>-3.7545153048781663</v>
      </c>
      <c r="L48" s="201"/>
      <c r="M48" s="192">
        <f>M46/$L$46</f>
        <v>-1.497038365311957</v>
      </c>
      <c r="N48" s="192">
        <f t="shared" ref="N48:P48" si="228">N46/$L$46</f>
        <v>0.66023952435723043</v>
      </c>
      <c r="O48" s="192">
        <f t="shared" si="228"/>
        <v>2.0961564548932627</v>
      </c>
      <c r="P48" s="192">
        <f t="shared" si="228"/>
        <v>-0.25935761393853446</v>
      </c>
      <c r="Q48" s="201"/>
      <c r="R48" s="192">
        <f>R46/$Q$46</f>
        <v>-6.3879529529475856E-2</v>
      </c>
      <c r="S48" s="192">
        <f t="shared" ref="S48:U48" si="229">S46/$Q$46</f>
        <v>0.13448250701813005</v>
      </c>
      <c r="T48" s="192">
        <f t="shared" si="229"/>
        <v>0.36407234447336295</v>
      </c>
      <c r="U48" s="192">
        <f t="shared" si="229"/>
        <v>0.56532467803798259</v>
      </c>
      <c r="V48" s="201"/>
      <c r="W48" s="192">
        <f>W46/$V$46</f>
        <v>-0.21022408000871229</v>
      </c>
      <c r="X48" s="192">
        <f t="shared" ref="X48:Z48" si="230">X46/$V$46</f>
        <v>5.4583605763165247E-2</v>
      </c>
      <c r="Y48" s="192">
        <f t="shared" si="230"/>
        <v>0.13445756441115739</v>
      </c>
      <c r="Z48" s="192">
        <f t="shared" si="230"/>
        <v>1.0211829098343899</v>
      </c>
      <c r="AA48" s="201"/>
      <c r="AB48" s="192">
        <f>AB46/$AA$46</f>
        <v>-9.0546631423411447E-2</v>
      </c>
      <c r="AC48" s="192">
        <f t="shared" ref="AC48:AE48" si="231">AC46/$AA$46</f>
        <v>0.14517774677741577</v>
      </c>
      <c r="AD48" s="192">
        <f t="shared" si="231"/>
        <v>0.40193714343814457</v>
      </c>
      <c r="AE48" s="192">
        <f t="shared" si="231"/>
        <v>0.54343174120785109</v>
      </c>
      <c r="AF48" s="201"/>
      <c r="AG48" s="170" t="e">
        <f>AG46/$AF$46</f>
        <v>#DIV/0!</v>
      </c>
      <c r="AH48" s="170" t="e">
        <f t="shared" ref="AH48:AJ48" si="232">AH46/$AF$46</f>
        <v>#DIV/0!</v>
      </c>
      <c r="AI48" s="170" t="e">
        <f t="shared" si="232"/>
        <v>#DIV/0!</v>
      </c>
      <c r="AJ48" s="170" t="e">
        <f t="shared" si="232"/>
        <v>#DIV/0!</v>
      </c>
      <c r="AK48" s="201"/>
      <c r="AL48" s="170" t="e">
        <f>AL46/$AK$46</f>
        <v>#DIV/0!</v>
      </c>
      <c r="AM48" s="170" t="e">
        <f t="shared" ref="AM48:AO48" si="233">AM46/$AK$46</f>
        <v>#DIV/0!</v>
      </c>
      <c r="AN48" s="170" t="e">
        <f t="shared" si="233"/>
        <v>#DIV/0!</v>
      </c>
      <c r="AO48" s="170" t="e">
        <f t="shared" si="233"/>
        <v>#DIV/0!</v>
      </c>
      <c r="AP48" s="201"/>
      <c r="AQ48" s="170" t="e">
        <f>AQ46/$AP$46</f>
        <v>#DIV/0!</v>
      </c>
      <c r="AR48" s="170" t="e">
        <f t="shared" ref="AR48:AT48" si="234">AR46/$AP$46</f>
        <v>#DIV/0!</v>
      </c>
      <c r="AS48" s="170" t="e">
        <f t="shared" si="234"/>
        <v>#DIV/0!</v>
      </c>
      <c r="AT48" s="170" t="e">
        <f t="shared" si="234"/>
        <v>#DIV/0!</v>
      </c>
      <c r="AU48" s="201"/>
      <c r="AV48" s="170" t="e">
        <f>AV46/$AU$46</f>
        <v>#DIV/0!</v>
      </c>
      <c r="AW48" s="170" t="e">
        <f t="shared" ref="AW48:AY48" si="235">AW46/$AU$46</f>
        <v>#DIV/0!</v>
      </c>
      <c r="AX48" s="170" t="e">
        <f t="shared" si="235"/>
        <v>#DIV/0!</v>
      </c>
      <c r="AY48" s="170" t="e">
        <f t="shared" si="235"/>
        <v>#DIV/0!</v>
      </c>
      <c r="AZ48" s="201"/>
      <c r="BA48" s="170" t="e">
        <f>BA46/$AZ$46</f>
        <v>#DIV/0!</v>
      </c>
      <c r="BB48" s="170" t="e">
        <f t="shared" ref="BB48:BD48" si="236">BB46/$AZ$46</f>
        <v>#DIV/0!</v>
      </c>
      <c r="BC48" s="170" t="e">
        <f t="shared" si="236"/>
        <v>#DIV/0!</v>
      </c>
      <c r="BD48" s="170" t="e">
        <f t="shared" si="236"/>
        <v>#DIV/0!</v>
      </c>
      <c r="BE48" s="201" t="e">
        <f>BE47/BE10</f>
        <v>#DIV/0!</v>
      </c>
      <c r="BF48" s="170" t="e">
        <f>BF46/$BE$46</f>
        <v>#DIV/0!</v>
      </c>
      <c r="BG48" s="170" t="e">
        <f t="shared" ref="BG48:BI48" si="237">BG46/$BE$46</f>
        <v>#DIV/0!</v>
      </c>
      <c r="BH48" s="170" t="e">
        <f t="shared" si="237"/>
        <v>#DIV/0!</v>
      </c>
      <c r="BI48" s="170" t="e">
        <f t="shared" si="237"/>
        <v>#DIV/0!</v>
      </c>
      <c r="BJ48" s="201" t="e">
        <f>BJ47/BJ10</f>
        <v>#DIV/0!</v>
      </c>
      <c r="BK48" s="170" t="e">
        <f>BK46/$BJ$46</f>
        <v>#DIV/0!</v>
      </c>
      <c r="BL48" s="170" t="e">
        <f t="shared" ref="BL48:BN48" si="238">BL46/$BJ$46</f>
        <v>#DIV/0!</v>
      </c>
      <c r="BM48" s="170" t="e">
        <f t="shared" si="238"/>
        <v>#DIV/0!</v>
      </c>
      <c r="BN48" s="329" t="e">
        <f t="shared" si="238"/>
        <v>#DIV/0!</v>
      </c>
      <c r="BO48" s="331" t="s">
        <v>260</v>
      </c>
    </row>
    <row r="49" spans="1:67" s="9" customFormat="1" ht="15.75" thickBot="1">
      <c r="A49" s="152" t="s">
        <v>134</v>
      </c>
      <c r="B49" s="199">
        <f>SUM(B50:B52)</f>
        <v>835482</v>
      </c>
      <c r="C49" s="261" t="e">
        <f>B49/$B$9</f>
        <v>#REF!</v>
      </c>
      <c r="D49" s="262"/>
      <c r="E49" s="262"/>
      <c r="F49" s="262"/>
      <c r="G49" s="199">
        <f>SUM(G50:G52)</f>
        <v>152000</v>
      </c>
      <c r="H49" s="182"/>
      <c r="I49" s="182"/>
      <c r="J49" s="182"/>
      <c r="K49" s="182"/>
      <c r="L49" s="199">
        <f>SUM(L50:L52)</f>
        <v>162000</v>
      </c>
      <c r="M49" s="141"/>
      <c r="N49" s="141"/>
      <c r="O49" s="141"/>
      <c r="P49" s="142"/>
      <c r="Q49" s="199">
        <f>SUM(Q50:Q52)</f>
        <v>197482</v>
      </c>
      <c r="R49" s="141"/>
      <c r="S49" s="141"/>
      <c r="T49" s="141"/>
      <c r="U49" s="142"/>
      <c r="V49" s="199">
        <f>SUM(V50:V52)</f>
        <v>167000</v>
      </c>
      <c r="W49" s="141"/>
      <c r="X49" s="141"/>
      <c r="Y49" s="141"/>
      <c r="Z49" s="142"/>
      <c r="AA49" s="199">
        <f>SUM(AA50:AA52)</f>
        <v>157000</v>
      </c>
      <c r="AB49" s="141"/>
      <c r="AC49" s="141"/>
      <c r="AD49" s="141"/>
      <c r="AE49" s="142"/>
      <c r="AF49" s="199">
        <f>SUM(AF50:AF52)</f>
        <v>0</v>
      </c>
      <c r="AG49" s="16"/>
      <c r="AH49" s="16"/>
      <c r="AI49" s="16"/>
      <c r="AJ49" s="108"/>
      <c r="AK49" s="199">
        <f>SUM(AK50:AK52)</f>
        <v>0</v>
      </c>
      <c r="AL49" s="16"/>
      <c r="AM49" s="16"/>
      <c r="AN49" s="16"/>
      <c r="AO49" s="108"/>
      <c r="AP49" s="199">
        <f>SUM(AP50:AP52)</f>
        <v>0</v>
      </c>
      <c r="AQ49" s="16"/>
      <c r="AR49" s="16"/>
      <c r="AS49" s="16"/>
      <c r="AT49" s="108"/>
      <c r="AU49" s="199">
        <f>SUM(AU50:AU52)</f>
        <v>0</v>
      </c>
      <c r="AV49" s="154">
        <f>SUM(AV50:AV52)</f>
        <v>0</v>
      </c>
      <c r="AW49" s="154">
        <f>SUM(AW50:AW52)</f>
        <v>0</v>
      </c>
      <c r="AX49" s="154">
        <f>SUM(AX50:AX52)</f>
        <v>0</v>
      </c>
      <c r="AY49" s="155">
        <f>SUM(AY50:AY52)</f>
        <v>0</v>
      </c>
      <c r="AZ49" s="199">
        <f>SUM(AZ50:AZ52)</f>
        <v>0</v>
      </c>
      <c r="BA49" s="154">
        <f>SUM(BA50:BA52)</f>
        <v>0</v>
      </c>
      <c r="BB49" s="154">
        <f>SUM(BB50:BB52)</f>
        <v>0</v>
      </c>
      <c r="BC49" s="154">
        <f>SUM(BC50:BC52)</f>
        <v>0</v>
      </c>
      <c r="BD49" s="155">
        <f>SUM(BD50:BD52)</f>
        <v>0</v>
      </c>
      <c r="BE49" s="199">
        <f>SUM(BE50:BE52)</f>
        <v>0</v>
      </c>
      <c r="BF49" s="154">
        <f>SUM(BF50:BF52)</f>
        <v>0</v>
      </c>
      <c r="BG49" s="154">
        <f>SUM(BG50:BG52)</f>
        <v>0</v>
      </c>
      <c r="BH49" s="154">
        <f>SUM(BH50:BH52)</f>
        <v>0</v>
      </c>
      <c r="BI49" s="155">
        <f>SUM(BI50:BI52)</f>
        <v>0</v>
      </c>
      <c r="BJ49" s="199">
        <f>SUM(BJ50:BJ52)</f>
        <v>0</v>
      </c>
      <c r="BK49" s="154">
        <f>SUM(BK50:BK52)</f>
        <v>0</v>
      </c>
      <c r="BL49" s="154">
        <f>SUM(BL50:BL52)</f>
        <v>0</v>
      </c>
      <c r="BM49" s="154">
        <f>SUM(BM50:BM52)</f>
        <v>0</v>
      </c>
      <c r="BN49" s="328">
        <f>SUM(BN50:BN52)</f>
        <v>0</v>
      </c>
      <c r="BO49" s="331" t="s">
        <v>260</v>
      </c>
    </row>
    <row r="50" spans="1:67" s="9" customFormat="1" ht="15.75" outlineLevel="1" thickBot="1">
      <c r="A50" s="163" t="s">
        <v>197</v>
      </c>
      <c r="B50" s="200">
        <f>SUM(G50,L50,Q50,V50,AA59,AA50,AF50,AK50,AP50,AU50,AZ50,BE50,BJ50)</f>
        <v>835482</v>
      </c>
      <c r="C50" s="261" t="e">
        <f>B50/$B$9</f>
        <v>#REF!</v>
      </c>
      <c r="D50" s="262"/>
      <c r="E50" s="262"/>
      <c r="F50" s="262"/>
      <c r="G50" s="200">
        <v>152000</v>
      </c>
      <c r="H50" s="182"/>
      <c r="I50" s="182"/>
      <c r="J50" s="182"/>
      <c r="K50" s="182"/>
      <c r="L50" s="200">
        <v>162000</v>
      </c>
      <c r="M50" s="141"/>
      <c r="N50" s="141"/>
      <c r="O50" s="141"/>
      <c r="P50" s="142"/>
      <c r="Q50" s="200">
        <v>197482</v>
      </c>
      <c r="R50" s="141"/>
      <c r="S50" s="141"/>
      <c r="T50" s="141"/>
      <c r="U50" s="142"/>
      <c r="V50" s="200">
        <v>167000</v>
      </c>
      <c r="W50" s="141"/>
      <c r="X50" s="141"/>
      <c r="Y50" s="141"/>
      <c r="Z50" s="142"/>
      <c r="AA50" s="200">
        <v>157000</v>
      </c>
      <c r="AB50" s="141"/>
      <c r="AC50" s="141"/>
      <c r="AD50" s="141"/>
      <c r="AE50" s="142"/>
      <c r="AF50" s="200"/>
      <c r="AG50" s="16"/>
      <c r="AH50" s="16"/>
      <c r="AI50" s="16"/>
      <c r="AJ50" s="108"/>
      <c r="AK50" s="200"/>
      <c r="AL50" s="16"/>
      <c r="AM50" s="16"/>
      <c r="AN50" s="16"/>
      <c r="AO50" s="108"/>
      <c r="AP50" s="200"/>
      <c r="AQ50" s="16"/>
      <c r="AR50" s="16"/>
      <c r="AS50" s="16"/>
      <c r="AT50" s="108"/>
      <c r="AU50" s="200"/>
      <c r="AV50" s="16"/>
      <c r="AW50" s="16"/>
      <c r="AX50" s="16"/>
      <c r="AY50" s="108"/>
      <c r="AZ50" s="200"/>
      <c r="BA50" s="16"/>
      <c r="BB50" s="16"/>
      <c r="BC50" s="16"/>
      <c r="BD50" s="108"/>
      <c r="BE50" s="200"/>
      <c r="BF50" s="16"/>
      <c r="BG50" s="16"/>
      <c r="BH50" s="16"/>
      <c r="BI50" s="108"/>
      <c r="BJ50" s="200"/>
      <c r="BK50" s="16"/>
      <c r="BL50" s="16"/>
      <c r="BM50" s="16"/>
      <c r="BN50" s="330"/>
      <c r="BO50" s="331" t="s">
        <v>270</v>
      </c>
    </row>
    <row r="51" spans="1:67" s="9" customFormat="1" ht="15.75" outlineLevel="1" thickBot="1">
      <c r="A51" s="163" t="s">
        <v>199</v>
      </c>
      <c r="B51" s="200">
        <f>SUM(G51,L51,Q51,V51,AA60,AA51,AF51,AK51,AP51,AU51,AZ51,BE51,BJ51)</f>
        <v>0</v>
      </c>
      <c r="C51" s="261" t="e">
        <f>B51/$B$9</f>
        <v>#REF!</v>
      </c>
      <c r="D51" s="262"/>
      <c r="E51" s="262"/>
      <c r="F51" s="262"/>
      <c r="G51" s="200"/>
      <c r="H51" s="182"/>
      <c r="I51" s="182"/>
      <c r="J51" s="182"/>
      <c r="K51" s="182"/>
      <c r="L51" s="200"/>
      <c r="M51" s="182"/>
      <c r="N51" s="182"/>
      <c r="O51" s="182"/>
      <c r="P51" s="182"/>
      <c r="Q51" s="200"/>
      <c r="R51" s="182"/>
      <c r="S51" s="182"/>
      <c r="T51" s="182"/>
      <c r="U51" s="182"/>
      <c r="V51" s="200"/>
      <c r="W51" s="182"/>
      <c r="X51" s="182"/>
      <c r="Y51" s="182"/>
      <c r="Z51" s="182"/>
      <c r="AA51" s="200"/>
      <c r="AB51" s="182"/>
      <c r="AC51" s="182"/>
      <c r="AD51" s="182"/>
      <c r="AE51" s="182"/>
      <c r="AF51" s="200"/>
      <c r="AG51" s="182"/>
      <c r="AH51" s="182"/>
      <c r="AI51" s="182"/>
      <c r="AJ51" s="182"/>
      <c r="AK51" s="200"/>
      <c r="AL51" s="182"/>
      <c r="AM51" s="182"/>
      <c r="AN51" s="182"/>
      <c r="AO51" s="182"/>
      <c r="AP51" s="200"/>
      <c r="AQ51" s="182"/>
      <c r="AR51" s="182"/>
      <c r="AS51" s="182"/>
      <c r="AT51" s="182"/>
      <c r="AU51" s="200"/>
      <c r="AV51" s="182"/>
      <c r="AW51" s="182"/>
      <c r="AX51" s="182"/>
      <c r="AY51" s="182"/>
      <c r="AZ51" s="200"/>
      <c r="BA51" s="182"/>
      <c r="BB51" s="182"/>
      <c r="BC51" s="182"/>
      <c r="BD51" s="182"/>
      <c r="BE51" s="200"/>
      <c r="BF51" s="182"/>
      <c r="BG51" s="182"/>
      <c r="BH51" s="182"/>
      <c r="BI51" s="182"/>
      <c r="BJ51" s="200"/>
      <c r="BK51" s="182"/>
      <c r="BL51" s="182"/>
      <c r="BM51" s="182"/>
      <c r="BN51" s="182"/>
      <c r="BO51" s="331" t="s">
        <v>270</v>
      </c>
    </row>
    <row r="52" spans="1:67" s="9" customFormat="1" ht="15.75" outlineLevel="1" thickBot="1">
      <c r="A52" s="163" t="s">
        <v>128</v>
      </c>
      <c r="B52" s="200">
        <f>SUM(G52,L52,Q52,V52,AA68,AA52,AF52,AK52,AP52,AU52,AZ52,BE52,BJ52)</f>
        <v>0</v>
      </c>
      <c r="C52" s="261" t="e">
        <f t="shared" ref="C52" si="239">B52/$B$9</f>
        <v>#REF!</v>
      </c>
      <c r="D52" s="262"/>
      <c r="E52" s="262"/>
      <c r="F52" s="262"/>
      <c r="G52" s="200">
        <v>0</v>
      </c>
      <c r="H52" s="182"/>
      <c r="I52" s="182"/>
      <c r="J52" s="182"/>
      <c r="K52" s="182"/>
      <c r="L52" s="200"/>
      <c r="M52" s="182"/>
      <c r="N52" s="182"/>
      <c r="O52" s="182"/>
      <c r="P52" s="182"/>
      <c r="Q52" s="200"/>
      <c r="R52" s="182"/>
      <c r="S52" s="182"/>
      <c r="T52" s="182"/>
      <c r="U52" s="182"/>
      <c r="V52" s="200"/>
      <c r="W52" s="182"/>
      <c r="X52" s="182"/>
      <c r="Y52" s="182"/>
      <c r="Z52" s="182"/>
      <c r="AA52" s="200"/>
      <c r="AB52" s="182"/>
      <c r="AC52" s="182"/>
      <c r="AD52" s="182"/>
      <c r="AE52" s="182"/>
      <c r="AF52" s="200"/>
      <c r="AG52" s="182"/>
      <c r="AH52" s="182"/>
      <c r="AI52" s="182"/>
      <c r="AJ52" s="182"/>
      <c r="AK52" s="200"/>
      <c r="AL52" s="182"/>
      <c r="AM52" s="182"/>
      <c r="AN52" s="182"/>
      <c r="AO52" s="182"/>
      <c r="AP52" s="200"/>
      <c r="AQ52" s="182"/>
      <c r="AR52" s="182"/>
      <c r="AS52" s="182"/>
      <c r="AT52" s="182"/>
      <c r="AU52" s="200"/>
      <c r="AV52" s="182"/>
      <c r="AW52" s="182"/>
      <c r="AX52" s="182"/>
      <c r="AY52" s="182"/>
      <c r="AZ52" s="200"/>
      <c r="BA52" s="182"/>
      <c r="BB52" s="182"/>
      <c r="BC52" s="182"/>
      <c r="BD52" s="182"/>
      <c r="BE52" s="200"/>
      <c r="BF52" s="182"/>
      <c r="BG52" s="182"/>
      <c r="BH52" s="182"/>
      <c r="BI52" s="182"/>
      <c r="BJ52" s="200"/>
      <c r="BK52" s="182"/>
      <c r="BL52" s="182"/>
      <c r="BM52" s="182"/>
      <c r="BN52" s="182"/>
      <c r="BO52" s="331" t="s">
        <v>268</v>
      </c>
    </row>
    <row r="53" spans="1:67" s="12" customFormat="1" ht="15.75" thickBot="1">
      <c r="A53" s="165" t="s">
        <v>138</v>
      </c>
      <c r="B53" s="194" t="e">
        <f>B46-B49</f>
        <v>#REF!</v>
      </c>
      <c r="C53" s="262"/>
      <c r="D53" s="262"/>
      <c r="E53" s="262"/>
      <c r="F53" s="262"/>
      <c r="G53" s="194">
        <f>G46-G49</f>
        <v>-114276.07999999984</v>
      </c>
      <c r="H53" s="182"/>
      <c r="I53" s="182"/>
      <c r="J53" s="182"/>
      <c r="K53" s="182"/>
      <c r="L53" s="194">
        <f>L46-L49</f>
        <v>-21422.230000000214</v>
      </c>
      <c r="M53" s="182"/>
      <c r="N53" s="182"/>
      <c r="O53" s="182"/>
      <c r="P53" s="182"/>
      <c r="Q53" s="194">
        <f>Q46-Q49</f>
        <v>602190.8200000003</v>
      </c>
      <c r="R53" s="182"/>
      <c r="S53" s="182"/>
      <c r="T53" s="182"/>
      <c r="U53" s="182"/>
      <c r="V53" s="194">
        <f>V46-V49</f>
        <v>502720.04999999981</v>
      </c>
      <c r="W53" s="182"/>
      <c r="X53" s="182"/>
      <c r="Y53" s="182"/>
      <c r="Z53" s="182"/>
      <c r="AA53" s="194">
        <f>AA46-AA49</f>
        <v>204586.23999999999</v>
      </c>
      <c r="AB53" s="182"/>
      <c r="AC53" s="182"/>
      <c r="AD53" s="182"/>
      <c r="AE53" s="182"/>
      <c r="AF53" s="194">
        <f>AF46-AF49</f>
        <v>0</v>
      </c>
      <c r="AG53" s="182"/>
      <c r="AH53" s="182"/>
      <c r="AI53" s="182"/>
      <c r="AJ53" s="182"/>
      <c r="AK53" s="194">
        <f>AK46-AK49</f>
        <v>0</v>
      </c>
      <c r="AL53" s="182"/>
      <c r="AM53" s="182"/>
      <c r="AN53" s="182"/>
      <c r="AO53" s="182"/>
      <c r="AP53" s="194">
        <f>AP46-AP49</f>
        <v>0</v>
      </c>
      <c r="AQ53" s="182"/>
      <c r="AR53" s="182"/>
      <c r="AS53" s="182"/>
      <c r="AT53" s="182"/>
      <c r="AU53" s="194">
        <f>AU46-AU49</f>
        <v>0</v>
      </c>
      <c r="AV53" s="182"/>
      <c r="AW53" s="182"/>
      <c r="AX53" s="182"/>
      <c r="AY53" s="182"/>
      <c r="AZ53" s="194">
        <f>AZ46-AZ49</f>
        <v>0</v>
      </c>
      <c r="BA53" s="182"/>
      <c r="BB53" s="182"/>
      <c r="BC53" s="182"/>
      <c r="BD53" s="182"/>
      <c r="BE53" s="194">
        <f>BE46-BE49</f>
        <v>0</v>
      </c>
      <c r="BF53" s="182"/>
      <c r="BG53" s="182"/>
      <c r="BH53" s="182"/>
      <c r="BI53" s="182"/>
      <c r="BJ53" s="194">
        <f>BJ46-BJ49</f>
        <v>0</v>
      </c>
      <c r="BK53" s="182"/>
      <c r="BL53" s="182"/>
      <c r="BM53" s="182"/>
      <c r="BN53" s="182"/>
      <c r="BO53" s="331" t="s">
        <v>267</v>
      </c>
    </row>
    <row r="54" spans="1:67" s="12" customFormat="1" ht="15.75" thickBot="1">
      <c r="A54" s="156" t="s">
        <v>137</v>
      </c>
      <c r="B54" s="201" t="e">
        <f>B53/B9</f>
        <v>#REF!</v>
      </c>
      <c r="C54" s="262"/>
      <c r="D54" s="262"/>
      <c r="E54" s="262"/>
      <c r="F54" s="262"/>
      <c r="G54" s="201">
        <f>G53/G9</f>
        <v>-3.9488197710379945E-2</v>
      </c>
      <c r="H54" s="182"/>
      <c r="I54" s="182"/>
      <c r="J54" s="182"/>
      <c r="K54" s="182"/>
      <c r="L54" s="201">
        <f>L53/L9</f>
        <v>-6.4518317891609708E-3</v>
      </c>
      <c r="M54" s="182"/>
      <c r="N54" s="182"/>
      <c r="O54" s="182"/>
      <c r="P54" s="182"/>
      <c r="Q54" s="201">
        <f>Q53/Q9</f>
        <v>0.14607949834439102</v>
      </c>
      <c r="R54" s="182"/>
      <c r="S54" s="182"/>
      <c r="T54" s="182"/>
      <c r="U54" s="182"/>
      <c r="V54" s="201">
        <f>V53/V9</f>
        <v>0.14965879334632878</v>
      </c>
      <c r="W54" s="182"/>
      <c r="X54" s="182"/>
      <c r="Y54" s="182"/>
      <c r="Z54" s="182"/>
      <c r="AA54" s="201">
        <f>AA53/AA9</f>
        <v>6.9631777642543718E-2</v>
      </c>
      <c r="AB54" s="182"/>
      <c r="AC54" s="182"/>
      <c r="AD54" s="182"/>
      <c r="AE54" s="182"/>
      <c r="AF54" s="201" t="e">
        <f>AF53/AF9</f>
        <v>#DIV/0!</v>
      </c>
      <c r="AG54" s="182"/>
      <c r="AH54" s="182"/>
      <c r="AI54" s="182"/>
      <c r="AJ54" s="182"/>
      <c r="AK54" s="201" t="e">
        <f>AK53/AK9</f>
        <v>#DIV/0!</v>
      </c>
      <c r="AL54" s="182"/>
      <c r="AM54" s="182"/>
      <c r="AN54" s="182"/>
      <c r="AO54" s="182"/>
      <c r="AP54" s="201" t="e">
        <f>AP53/AP9</f>
        <v>#DIV/0!</v>
      </c>
      <c r="AQ54" s="182"/>
      <c r="AR54" s="182"/>
      <c r="AS54" s="182"/>
      <c r="AT54" s="182"/>
      <c r="AU54" s="201" t="e">
        <f>AU53/AU9</f>
        <v>#DIV/0!</v>
      </c>
      <c r="AV54" s="182"/>
      <c r="AW54" s="182"/>
      <c r="AX54" s="182"/>
      <c r="AY54" s="182"/>
      <c r="AZ54" s="201" t="e">
        <f>AZ53/AZ9</f>
        <v>#DIV/0!</v>
      </c>
      <c r="BA54" s="182"/>
      <c r="BB54" s="182"/>
      <c r="BC54" s="182"/>
      <c r="BD54" s="182"/>
      <c r="BE54" s="201" t="e">
        <f>BE53/BE9</f>
        <v>#DIV/0!</v>
      </c>
      <c r="BF54" s="182"/>
      <c r="BG54" s="182"/>
      <c r="BH54" s="182"/>
      <c r="BI54" s="182"/>
      <c r="BJ54" s="201" t="e">
        <f>BJ53/BJ9</f>
        <v>#DIV/0!</v>
      </c>
      <c r="BK54" s="182"/>
      <c r="BL54" s="182"/>
      <c r="BM54" s="182"/>
      <c r="BN54" s="182"/>
      <c r="BO54" s="331" t="s">
        <v>267</v>
      </c>
    </row>
    <row r="55" spans="1:67" s="9" customFormat="1" ht="15.75" outlineLevel="1" thickBot="1">
      <c r="A55" s="163" t="s">
        <v>198</v>
      </c>
      <c r="B55" s="200">
        <f t="shared" ref="B55" si="240">SUM(C55:F55)</f>
        <v>0</v>
      </c>
      <c r="C55" s="262"/>
      <c r="D55" s="262"/>
      <c r="E55" s="262"/>
      <c r="F55" s="262"/>
      <c r="G55" s="200">
        <v>0</v>
      </c>
      <c r="H55" s="182"/>
      <c r="I55" s="182"/>
      <c r="J55" s="182"/>
      <c r="K55" s="182"/>
      <c r="L55" s="200">
        <f t="shared" ref="L55:L56" si="241">SUM(M55:P55)</f>
        <v>0</v>
      </c>
      <c r="M55" s="182"/>
      <c r="N55" s="182"/>
      <c r="O55" s="182"/>
      <c r="P55" s="182"/>
      <c r="Q55" s="200">
        <f t="shared" ref="Q55:Q56" si="242">SUM(R55:U55)</f>
        <v>0</v>
      </c>
      <c r="R55" s="182"/>
      <c r="S55" s="182"/>
      <c r="T55" s="182"/>
      <c r="U55" s="182"/>
      <c r="V55" s="200">
        <f t="shared" ref="V55:V56" si="243">SUM(W55:Z55)</f>
        <v>0</v>
      </c>
      <c r="W55" s="182"/>
      <c r="X55" s="182"/>
      <c r="Y55" s="182"/>
      <c r="Z55" s="182"/>
      <c r="AA55" s="200">
        <f t="shared" ref="AA55:AA56" si="244">SUM(AB55:AE55)</f>
        <v>0</v>
      </c>
      <c r="AB55" s="182"/>
      <c r="AC55" s="182"/>
      <c r="AD55" s="182"/>
      <c r="AE55" s="182"/>
      <c r="AF55" s="200">
        <f t="shared" ref="AF55:AF56" si="245">SUM(AG55:AJ55)</f>
        <v>0</v>
      </c>
      <c r="AG55" s="182"/>
      <c r="AH55" s="182"/>
      <c r="AI55" s="182"/>
      <c r="AJ55" s="182"/>
      <c r="AK55" s="200">
        <f t="shared" ref="AK55:AK56" si="246">SUM(AL55:AO55)</f>
        <v>0</v>
      </c>
      <c r="AL55" s="182"/>
      <c r="AM55" s="182"/>
      <c r="AN55" s="182"/>
      <c r="AO55" s="182"/>
      <c r="AP55" s="200">
        <f t="shared" ref="AP55:AP56" si="247">SUM(AQ55:AT55)</f>
        <v>0</v>
      </c>
      <c r="AQ55" s="182"/>
      <c r="AR55" s="182"/>
      <c r="AS55" s="182"/>
      <c r="AT55" s="182"/>
      <c r="AU55" s="200">
        <f t="shared" ref="AU55:AU56" si="248">SUM(AV55:AY55)</f>
        <v>0</v>
      </c>
      <c r="AV55" s="182"/>
      <c r="AW55" s="182"/>
      <c r="AX55" s="182"/>
      <c r="AY55" s="182"/>
      <c r="AZ55" s="200">
        <f t="shared" ref="AZ55:AZ56" si="249">SUM(BA55:BD55)</f>
        <v>0</v>
      </c>
      <c r="BA55" s="182"/>
      <c r="BB55" s="182"/>
      <c r="BC55" s="182"/>
      <c r="BD55" s="182"/>
      <c r="BE55" s="200">
        <f t="shared" ref="BE55:BE56" si="250">SUM(BF55:BI55)</f>
        <v>0</v>
      </c>
      <c r="BF55" s="182"/>
      <c r="BG55" s="182"/>
      <c r="BH55" s="182"/>
      <c r="BI55" s="182"/>
      <c r="BJ55" s="200">
        <f t="shared" ref="BJ55:BJ56" si="251">SUM(BK55:BN55)</f>
        <v>0</v>
      </c>
      <c r="BK55" s="182"/>
      <c r="BL55" s="182"/>
      <c r="BM55" s="182"/>
      <c r="BN55" s="182"/>
      <c r="BO55" s="331" t="s">
        <v>267</v>
      </c>
    </row>
    <row r="56" spans="1:67" s="9" customFormat="1" outlineLevel="1">
      <c r="A56" s="163" t="s">
        <v>32</v>
      </c>
      <c r="B56" s="200"/>
      <c r="C56" s="262"/>
      <c r="D56" s="262"/>
      <c r="E56" s="262"/>
      <c r="F56" s="262"/>
      <c r="G56" s="200">
        <f t="shared" ref="G56" si="252">SUM(H56:K56)</f>
        <v>0</v>
      </c>
      <c r="H56" s="182"/>
      <c r="I56" s="182"/>
      <c r="J56" s="182"/>
      <c r="K56" s="182"/>
      <c r="L56" s="200">
        <f t="shared" si="241"/>
        <v>0</v>
      </c>
      <c r="M56" s="182"/>
      <c r="N56" s="182"/>
      <c r="O56" s="182"/>
      <c r="P56" s="182"/>
      <c r="Q56" s="200">
        <f t="shared" si="242"/>
        <v>0</v>
      </c>
      <c r="R56" s="182"/>
      <c r="S56" s="182"/>
      <c r="T56" s="182"/>
      <c r="U56" s="182"/>
      <c r="V56" s="200">
        <f t="shared" si="243"/>
        <v>0</v>
      </c>
      <c r="W56" s="182"/>
      <c r="X56" s="182"/>
      <c r="Y56" s="182"/>
      <c r="Z56" s="182"/>
      <c r="AA56" s="200">
        <f t="shared" si="244"/>
        <v>0</v>
      </c>
      <c r="AB56" s="182"/>
      <c r="AC56" s="182"/>
      <c r="AD56" s="182"/>
      <c r="AE56" s="182"/>
      <c r="AF56" s="200">
        <f t="shared" si="245"/>
        <v>0</v>
      </c>
      <c r="AG56" s="182"/>
      <c r="AH56" s="182"/>
      <c r="AI56" s="182"/>
      <c r="AJ56" s="182"/>
      <c r="AK56" s="200">
        <f t="shared" si="246"/>
        <v>0</v>
      </c>
      <c r="AL56" s="182"/>
      <c r="AM56" s="182"/>
      <c r="AN56" s="182"/>
      <c r="AO56" s="182"/>
      <c r="AP56" s="200">
        <f t="shared" si="247"/>
        <v>0</v>
      </c>
      <c r="AQ56" s="182"/>
      <c r="AR56" s="182"/>
      <c r="AS56" s="182"/>
      <c r="AT56" s="182"/>
      <c r="AU56" s="200">
        <f t="shared" si="248"/>
        <v>0</v>
      </c>
      <c r="AV56" s="182"/>
      <c r="AW56" s="182"/>
      <c r="AX56" s="182"/>
      <c r="AY56" s="182"/>
      <c r="AZ56" s="200">
        <f t="shared" si="249"/>
        <v>0</v>
      </c>
      <c r="BA56" s="182"/>
      <c r="BB56" s="182"/>
      <c r="BC56" s="182"/>
      <c r="BD56" s="182"/>
      <c r="BE56" s="200">
        <f t="shared" si="250"/>
        <v>0</v>
      </c>
      <c r="BF56" s="182"/>
      <c r="BG56" s="182"/>
      <c r="BH56" s="182"/>
      <c r="BI56" s="182"/>
      <c r="BJ56" s="200">
        <f t="shared" si="251"/>
        <v>0</v>
      </c>
      <c r="BK56" s="182"/>
      <c r="BL56" s="182"/>
      <c r="BM56" s="182"/>
      <c r="BN56" s="182"/>
      <c r="BO56" s="331" t="s">
        <v>267</v>
      </c>
    </row>
    <row r="58" spans="1:67">
      <c r="V58" s="290"/>
    </row>
    <row r="59" spans="1:67">
      <c r="Q59" s="290"/>
      <c r="AA59" s="290"/>
    </row>
  </sheetData>
  <mergeCells count="16">
    <mergeCell ref="BO15:BO28"/>
    <mergeCell ref="BO32:BO45"/>
    <mergeCell ref="BJ6:BN6"/>
    <mergeCell ref="AF6:AJ6"/>
    <mergeCell ref="AK6:AO6"/>
    <mergeCell ref="AP6:AT6"/>
    <mergeCell ref="AU6:AY6"/>
    <mergeCell ref="AZ6:BD6"/>
    <mergeCell ref="BE6:BI6"/>
    <mergeCell ref="AA6:AE6"/>
    <mergeCell ref="A6:A7"/>
    <mergeCell ref="G6:K6"/>
    <mergeCell ref="L6:P6"/>
    <mergeCell ref="Q6:U6"/>
    <mergeCell ref="V6:Z6"/>
    <mergeCell ref="B6:F6"/>
  </mergeCells>
  <pageMargins left="0.7" right="0.7" top="0.75" bottom="0.75" header="0.3" footer="0.3"/>
  <pageSetup paperSize="9" orientation="portrait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outlinePr summaryBelow="0" summaryRight="0"/>
  </sheetPr>
  <dimension ref="A1:N32"/>
  <sheetViews>
    <sheetView topLeftCell="A3" zoomScaleNormal="100" workbookViewId="0">
      <pane xSplit="1" ySplit="8" topLeftCell="B11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40625" defaultRowHeight="15"/>
  <cols>
    <col min="1" max="1" width="36" style="6" customWidth="1"/>
    <col min="2" max="2" width="11.140625" style="6" bestFit="1" customWidth="1"/>
    <col min="3" max="4" width="10.5703125" style="7" customWidth="1"/>
    <col min="5" max="14" width="9.140625" style="7" customWidth="1"/>
    <col min="15" max="16384" width="9.140625" style="7"/>
  </cols>
  <sheetData>
    <row r="1" spans="1:14" s="2" customFormat="1" ht="25.5" customHeight="1">
      <c r="A1" s="1" t="s">
        <v>0</v>
      </c>
      <c r="B1" s="1"/>
      <c r="D1" s="3"/>
      <c r="E1" s="3"/>
      <c r="F1" s="3"/>
      <c r="G1" s="3"/>
      <c r="H1" s="3"/>
      <c r="I1" s="3"/>
    </row>
    <row r="2" spans="1:14" ht="15.75" thickBot="1"/>
    <row r="3" spans="1:14" s="8" customFormat="1" ht="15.95" customHeight="1" thickBot="1">
      <c r="A3" s="294" t="s">
        <v>129</v>
      </c>
      <c r="B3" s="238"/>
      <c r="C3" s="208" t="s">
        <v>173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14" s="8" customFormat="1" ht="15" customHeight="1" thickBot="1">
      <c r="A4" s="295"/>
      <c r="B4" s="239" t="e">
        <f>'P&amp;L (направления)'!#REF!</f>
        <v>#REF!</v>
      </c>
      <c r="C4" s="150" t="s">
        <v>1</v>
      </c>
      <c r="D4" s="150" t="s">
        <v>38</v>
      </c>
      <c r="E4" s="150" t="s">
        <v>39</v>
      </c>
      <c r="F4" s="150" t="s">
        <v>40</v>
      </c>
      <c r="G4" s="150" t="s">
        <v>41</v>
      </c>
      <c r="H4" s="150" t="s">
        <v>42</v>
      </c>
      <c r="I4" s="150" t="s">
        <v>43</v>
      </c>
      <c r="J4" s="150" t="s">
        <v>44</v>
      </c>
      <c r="K4" s="150" t="s">
        <v>45</v>
      </c>
      <c r="L4" s="150" t="s">
        <v>46</v>
      </c>
      <c r="M4" s="150" t="s">
        <v>47</v>
      </c>
      <c r="N4" s="150" t="s">
        <v>48</v>
      </c>
    </row>
    <row r="5" spans="1:14" s="9" customFormat="1" ht="15.75" thickBot="1">
      <c r="A5" s="104" t="s">
        <v>124</v>
      </c>
      <c r="B5" s="240"/>
      <c r="C5" s="183">
        <f>'P&amp;L (направления)'!J8</f>
        <v>1050000</v>
      </c>
      <c r="D5" s="10">
        <f>'P&amp;L (направления)'!O8</f>
        <v>1200000</v>
      </c>
      <c r="E5" s="10">
        <f>'P&amp;L (направления)'!T8</f>
        <v>1250000</v>
      </c>
      <c r="F5" s="10">
        <f>'P&amp;L (направления)'!Y8</f>
        <v>1300000</v>
      </c>
      <c r="G5" s="10">
        <f>'P&amp;L (направления)'!AD8</f>
        <v>1100000</v>
      </c>
      <c r="H5" s="10">
        <f>'P&amp;L (направления)'!AI8</f>
        <v>1200000</v>
      </c>
      <c r="I5" s="10">
        <f>'P&amp;L (направления)'!AN8</f>
        <v>0</v>
      </c>
      <c r="J5" s="10">
        <f>'P&amp;L (направления)'!AS8</f>
        <v>0</v>
      </c>
      <c r="K5" s="10">
        <f>'P&amp;L (направления)'!AX8</f>
        <v>0</v>
      </c>
      <c r="L5" s="10">
        <f>'P&amp;L (направления)'!BC8</f>
        <v>0</v>
      </c>
      <c r="M5" s="10">
        <f>'P&amp;L (направления)'!BH8</f>
        <v>0</v>
      </c>
      <c r="N5" s="10">
        <f>'P&amp;L (направления)'!BM8</f>
        <v>0</v>
      </c>
    </row>
    <row r="6" spans="1:14" s="9" customFormat="1" ht="15.75" thickBot="1">
      <c r="A6" s="165" t="s">
        <v>125</v>
      </c>
      <c r="B6" s="241"/>
      <c r="C6" s="184">
        <f>'P&amp;L (направления)'!J9</f>
        <v>1234810</v>
      </c>
      <c r="D6" s="167">
        <f>'P&amp;L (направления)'!O9</f>
        <v>1292567</v>
      </c>
      <c r="E6" s="167">
        <f>'P&amp;L (направления)'!T9</f>
        <v>1613792</v>
      </c>
      <c r="F6" s="167">
        <f>'P&amp;L (направления)'!Y9</f>
        <v>891000</v>
      </c>
      <c r="G6" s="167">
        <f>'P&amp;L (направления)'!AD9</f>
        <v>787930</v>
      </c>
      <c r="H6" s="167">
        <f>'P&amp;L (направления)'!AI9</f>
        <v>0</v>
      </c>
      <c r="I6" s="167">
        <f>'P&amp;L (направления)'!AN9</f>
        <v>0</v>
      </c>
      <c r="J6" s="167">
        <f>'P&amp;L (направления)'!AS9</f>
        <v>0</v>
      </c>
      <c r="K6" s="167">
        <f>'P&amp;L (направления)'!AX9</f>
        <v>0</v>
      </c>
      <c r="L6" s="167">
        <f>'P&amp;L (направления)'!BC9</f>
        <v>0</v>
      </c>
      <c r="M6" s="167">
        <f>'P&amp;L (направления)'!BH9</f>
        <v>0</v>
      </c>
      <c r="N6" s="167">
        <f>'P&amp;L (направления)'!BM9</f>
        <v>0</v>
      </c>
    </row>
    <row r="7" spans="1:14" s="9" customFormat="1" ht="15.75" hidden="1" thickBot="1">
      <c r="A7" s="242" t="s">
        <v>2</v>
      </c>
      <c r="B7" s="243"/>
      <c r="C7" s="185">
        <v>4458</v>
      </c>
      <c r="D7" s="119" t="e">
        <v>#REF!</v>
      </c>
      <c r="E7" s="119">
        <v>7663</v>
      </c>
      <c r="F7" s="119" t="e">
        <v>#REF!</v>
      </c>
      <c r="G7" s="119" t="e">
        <v>#REF!</v>
      </c>
      <c r="H7" s="119" t="e">
        <v>#REF!</v>
      </c>
      <c r="I7" s="119" t="e">
        <v>#REF!</v>
      </c>
      <c r="J7" s="119" t="e">
        <v>#REF!</v>
      </c>
      <c r="K7" s="119" t="e">
        <v>#REF!</v>
      </c>
      <c r="L7" s="119" t="e">
        <v>#REF!</v>
      </c>
      <c r="M7" s="119" t="e">
        <v>#REF!</v>
      </c>
      <c r="N7" s="119" t="e">
        <v>#REF!</v>
      </c>
    </row>
    <row r="8" spans="1:14" s="9" customFormat="1" ht="15.75" hidden="1" thickBot="1">
      <c r="A8" s="121" t="s">
        <v>3</v>
      </c>
      <c r="B8" s="243"/>
      <c r="C8" s="186">
        <f t="shared" ref="C8:N8" si="0">C6-C5</f>
        <v>184810</v>
      </c>
      <c r="D8" s="123">
        <f t="shared" si="0"/>
        <v>92567</v>
      </c>
      <c r="E8" s="123">
        <f t="shared" si="0"/>
        <v>363792</v>
      </c>
      <c r="F8" s="123">
        <f t="shared" si="0"/>
        <v>-409000</v>
      </c>
      <c r="G8" s="123">
        <f t="shared" si="0"/>
        <v>-312070</v>
      </c>
      <c r="H8" s="123">
        <f t="shared" si="0"/>
        <v>-1200000</v>
      </c>
      <c r="I8" s="123">
        <f t="shared" si="0"/>
        <v>0</v>
      </c>
      <c r="J8" s="123">
        <f t="shared" si="0"/>
        <v>0</v>
      </c>
      <c r="K8" s="123">
        <f t="shared" si="0"/>
        <v>0</v>
      </c>
      <c r="L8" s="123">
        <f t="shared" si="0"/>
        <v>0</v>
      </c>
      <c r="M8" s="123">
        <f t="shared" si="0"/>
        <v>0</v>
      </c>
      <c r="N8" s="123">
        <f t="shared" si="0"/>
        <v>0</v>
      </c>
    </row>
    <row r="9" spans="1:14" s="11" customFormat="1" ht="15.75" hidden="1" thickBot="1">
      <c r="A9" s="125" t="s">
        <v>4</v>
      </c>
      <c r="B9" s="243"/>
      <c r="C9" s="187">
        <f t="shared" ref="C9:N9" si="1">C8/C5</f>
        <v>0.17600952380952381</v>
      </c>
      <c r="D9" s="127">
        <f t="shared" si="1"/>
        <v>7.7139166666666661E-2</v>
      </c>
      <c r="E9" s="127">
        <f t="shared" si="1"/>
        <v>0.2910336</v>
      </c>
      <c r="F9" s="127">
        <f t="shared" si="1"/>
        <v>-0.31461538461538463</v>
      </c>
      <c r="G9" s="127">
        <f t="shared" si="1"/>
        <v>-0.28370000000000001</v>
      </c>
      <c r="H9" s="127">
        <f t="shared" si="1"/>
        <v>-1</v>
      </c>
      <c r="I9" s="127" t="e">
        <f t="shared" si="1"/>
        <v>#DIV/0!</v>
      </c>
      <c r="J9" s="127" t="e">
        <f t="shared" si="1"/>
        <v>#DIV/0!</v>
      </c>
      <c r="K9" s="127" t="e">
        <f t="shared" si="1"/>
        <v>#DIV/0!</v>
      </c>
      <c r="L9" s="127" t="e">
        <f t="shared" si="1"/>
        <v>#DIV/0!</v>
      </c>
      <c r="M9" s="127" t="e">
        <f t="shared" si="1"/>
        <v>#DIV/0!</v>
      </c>
      <c r="N9" s="127" t="e">
        <f t="shared" si="1"/>
        <v>#DIV/0!</v>
      </c>
    </row>
    <row r="10" spans="1:14" s="9" customFormat="1" ht="15.75" hidden="1" thickBot="1">
      <c r="A10" s="129" t="s">
        <v>5</v>
      </c>
      <c r="B10" s="243"/>
      <c r="C10" s="188">
        <v>962132</v>
      </c>
      <c r="D10" s="131" t="e">
        <v>#REF!</v>
      </c>
      <c r="E10" s="131">
        <v>2788685</v>
      </c>
      <c r="F10" s="131" t="e">
        <v>#REF!</v>
      </c>
      <c r="G10" s="131" t="e">
        <v>#REF!</v>
      </c>
      <c r="H10" s="131" t="e">
        <v>#REF!</v>
      </c>
      <c r="I10" s="131" t="e">
        <v>#REF!</v>
      </c>
      <c r="J10" s="131" t="e">
        <v>#REF!</v>
      </c>
      <c r="K10" s="131" t="e">
        <v>#REF!</v>
      </c>
      <c r="L10" s="131" t="e">
        <v>#REF!</v>
      </c>
      <c r="M10" s="131" t="e">
        <v>#REF!</v>
      </c>
      <c r="N10" s="131" t="e">
        <v>#REF!</v>
      </c>
    </row>
    <row r="11" spans="1:14" s="9" customFormat="1">
      <c r="A11" s="152" t="s">
        <v>130</v>
      </c>
      <c r="B11" s="244"/>
      <c r="C11" s="189">
        <f t="shared" ref="C11:N11" si="2">SUM(C12,C14,C16,C18,C20)</f>
        <v>593735</v>
      </c>
      <c r="D11" s="189">
        <f t="shared" si="2"/>
        <v>578125</v>
      </c>
      <c r="E11" s="189">
        <f t="shared" si="2"/>
        <v>570640</v>
      </c>
      <c r="F11" s="189">
        <f t="shared" si="2"/>
        <v>300585</v>
      </c>
      <c r="G11" s="189">
        <f t="shared" si="2"/>
        <v>270969</v>
      </c>
      <c r="H11" s="189">
        <f t="shared" si="2"/>
        <v>0</v>
      </c>
      <c r="I11" s="189">
        <f t="shared" si="2"/>
        <v>0</v>
      </c>
      <c r="J11" s="189">
        <f t="shared" si="2"/>
        <v>0</v>
      </c>
      <c r="K11" s="189">
        <f t="shared" si="2"/>
        <v>0</v>
      </c>
      <c r="L11" s="189">
        <f t="shared" si="2"/>
        <v>0</v>
      </c>
      <c r="M11" s="189">
        <f t="shared" si="2"/>
        <v>0</v>
      </c>
      <c r="N11" s="189">
        <f t="shared" si="2"/>
        <v>0</v>
      </c>
    </row>
    <row r="12" spans="1:14" s="9" customFormat="1">
      <c r="A12" s="163" t="s">
        <v>34</v>
      </c>
      <c r="B12" s="245"/>
      <c r="C12" s="246">
        <f>'P&amp;L (направления)'!J15</f>
        <v>515585</v>
      </c>
      <c r="D12" s="247">
        <f>'P&amp;L (направления)'!O15</f>
        <v>493685</v>
      </c>
      <c r="E12" s="247">
        <f>'P&amp;L (направления)'!T15</f>
        <v>465045</v>
      </c>
      <c r="F12" s="247">
        <f>'P&amp;L (направления)'!Y15</f>
        <v>197350</v>
      </c>
      <c r="G12" s="247">
        <f>'P&amp;L (направления)'!AD15</f>
        <v>187484</v>
      </c>
      <c r="H12" s="247">
        <f>'P&amp;L (направления)'!AI15</f>
        <v>0</v>
      </c>
      <c r="I12" s="247">
        <f>'P&amp;L (направления)'!AN15</f>
        <v>0</v>
      </c>
      <c r="J12" s="247">
        <f>'P&amp;L (направления)'!AS15</f>
        <v>0</v>
      </c>
      <c r="K12" s="247">
        <f>'P&amp;L (направления)'!AX15</f>
        <v>0</v>
      </c>
      <c r="L12" s="247">
        <f>'P&amp;L (направления)'!BC15</f>
        <v>0</v>
      </c>
      <c r="M12" s="247">
        <f>'P&amp;L (направления)'!BH15</f>
        <v>0</v>
      </c>
      <c r="N12" s="247">
        <f>'P&amp;L (направления)'!BM15</f>
        <v>0</v>
      </c>
    </row>
    <row r="13" spans="1:14" s="206" customFormat="1" ht="11.25">
      <c r="A13" s="202" t="s">
        <v>139</v>
      </c>
      <c r="B13" s="248"/>
      <c r="C13" s="249">
        <f t="shared" ref="C13:N13" si="3">C12/C6</f>
        <v>0.41754197001967913</v>
      </c>
      <c r="D13" s="249">
        <f t="shared" si="3"/>
        <v>0.38194151637787443</v>
      </c>
      <c r="E13" s="249">
        <f t="shared" si="3"/>
        <v>0.28816910729511608</v>
      </c>
      <c r="F13" s="249">
        <f t="shared" si="3"/>
        <v>0.22149270482603817</v>
      </c>
      <c r="G13" s="249">
        <f t="shared" si="3"/>
        <v>0.23794499511377915</v>
      </c>
      <c r="H13" s="249" t="e">
        <f t="shared" si="3"/>
        <v>#DIV/0!</v>
      </c>
      <c r="I13" s="249" t="e">
        <f t="shared" si="3"/>
        <v>#DIV/0!</v>
      </c>
      <c r="J13" s="249" t="e">
        <f t="shared" si="3"/>
        <v>#DIV/0!</v>
      </c>
      <c r="K13" s="249" t="e">
        <f t="shared" si="3"/>
        <v>#DIV/0!</v>
      </c>
      <c r="L13" s="249" t="e">
        <f t="shared" si="3"/>
        <v>#DIV/0!</v>
      </c>
      <c r="M13" s="249" t="e">
        <f t="shared" si="3"/>
        <v>#DIV/0!</v>
      </c>
      <c r="N13" s="249" t="e">
        <f t="shared" si="3"/>
        <v>#DIV/0!</v>
      </c>
    </row>
    <row r="14" spans="1:14" s="9" customFormat="1">
      <c r="A14" s="163" t="s">
        <v>118</v>
      </c>
      <c r="B14" s="245"/>
      <c r="C14" s="246">
        <f>'P&amp;L (направления)'!J19</f>
        <v>78150</v>
      </c>
      <c r="D14" s="247">
        <f>'P&amp;L (направления)'!O19</f>
        <v>84440</v>
      </c>
      <c r="E14" s="247">
        <f>'P&amp;L (направления)'!T19</f>
        <v>105595</v>
      </c>
      <c r="F14" s="247">
        <f>'P&amp;L (направления)'!Y19</f>
        <v>103235</v>
      </c>
      <c r="G14" s="247">
        <f>'P&amp;L (направления)'!AD19</f>
        <v>83485</v>
      </c>
      <c r="H14" s="247">
        <f>'P&amp;L (направления)'!AI19</f>
        <v>0</v>
      </c>
      <c r="I14" s="247">
        <f>'P&amp;L (направления)'!AN19</f>
        <v>0</v>
      </c>
      <c r="J14" s="247">
        <f>'P&amp;L (направления)'!AS19</f>
        <v>0</v>
      </c>
      <c r="K14" s="247">
        <f>'P&amp;L (направления)'!AX19</f>
        <v>0</v>
      </c>
      <c r="L14" s="247">
        <f>'P&amp;L (направления)'!BC19</f>
        <v>0</v>
      </c>
      <c r="M14" s="247">
        <f>'P&amp;L (направления)'!BH19</f>
        <v>0</v>
      </c>
      <c r="N14" s="247">
        <f>'P&amp;L (направления)'!BM19</f>
        <v>0</v>
      </c>
    </row>
    <row r="15" spans="1:14" s="206" customFormat="1" ht="11.25">
      <c r="A15" s="202" t="s">
        <v>142</v>
      </c>
      <c r="B15" s="248"/>
      <c r="C15" s="249">
        <f t="shared" ref="C15:N17" si="4">C14/C6</f>
        <v>6.3289089009645208E-2</v>
      </c>
      <c r="D15" s="249">
        <f t="shared" si="4"/>
        <v>6.5327367943015718E-2</v>
      </c>
      <c r="E15" s="249">
        <f t="shared" si="4"/>
        <v>6.5432843885705222E-2</v>
      </c>
      <c r="F15" s="249">
        <f t="shared" si="4"/>
        <v>0.1158641975308642</v>
      </c>
      <c r="G15" s="249">
        <f t="shared" si="4"/>
        <v>0.10595484370438998</v>
      </c>
      <c r="H15" s="249" t="e">
        <f t="shared" si="4"/>
        <v>#DIV/0!</v>
      </c>
      <c r="I15" s="249" t="e">
        <f t="shared" si="4"/>
        <v>#DIV/0!</v>
      </c>
      <c r="J15" s="249" t="e">
        <f t="shared" si="4"/>
        <v>#DIV/0!</v>
      </c>
      <c r="K15" s="249" t="e">
        <f t="shared" si="4"/>
        <v>#DIV/0!</v>
      </c>
      <c r="L15" s="249" t="e">
        <f t="shared" si="4"/>
        <v>#DIV/0!</v>
      </c>
      <c r="M15" s="249" t="e">
        <f t="shared" si="4"/>
        <v>#DIV/0!</v>
      </c>
      <c r="N15" s="249" t="e">
        <f t="shared" si="4"/>
        <v>#DIV/0!</v>
      </c>
    </row>
    <row r="16" spans="1:14" s="9" customFormat="1">
      <c r="A16" s="163" t="s">
        <v>144</v>
      </c>
      <c r="B16" s="245"/>
      <c r="C16" s="246">
        <f>'P&amp;L (направления)'!J21</f>
        <v>0</v>
      </c>
      <c r="D16" s="247">
        <f>'P&amp;L (направления)'!O21</f>
        <v>0</v>
      </c>
      <c r="E16" s="247">
        <f>'P&amp;L (направления)'!T21</f>
        <v>0</v>
      </c>
      <c r="F16" s="247">
        <f>'P&amp;L (направления)'!Y21</f>
        <v>0</v>
      </c>
      <c r="G16" s="247">
        <f>'P&amp;L (направления)'!AD21</f>
        <v>0</v>
      </c>
      <c r="H16" s="247">
        <f>'P&amp;L (направления)'!AI21</f>
        <v>0</v>
      </c>
      <c r="I16" s="247">
        <f>'P&amp;L (направления)'!AN21</f>
        <v>0</v>
      </c>
      <c r="J16" s="247">
        <f>'P&amp;L (направления)'!AS21</f>
        <v>0</v>
      </c>
      <c r="K16" s="247">
        <f>'P&amp;L (направления)'!AX21</f>
        <v>0</v>
      </c>
      <c r="L16" s="247">
        <f>'P&amp;L (направления)'!BC21</f>
        <v>0</v>
      </c>
      <c r="M16" s="247">
        <f>'P&amp;L (направления)'!BH21</f>
        <v>0</v>
      </c>
      <c r="N16" s="247">
        <f>'P&amp;L (направления)'!BM21</f>
        <v>0</v>
      </c>
    </row>
    <row r="17" spans="1:14" s="206" customFormat="1" ht="11.25">
      <c r="A17" s="202" t="s">
        <v>142</v>
      </c>
      <c r="B17" s="248"/>
      <c r="C17" s="249">
        <f t="shared" ref="C17" si="5">C16/C8</f>
        <v>0</v>
      </c>
      <c r="D17" s="249">
        <f t="shared" si="4"/>
        <v>0</v>
      </c>
      <c r="E17" s="249">
        <f t="shared" si="4"/>
        <v>0</v>
      </c>
      <c r="F17" s="249">
        <f t="shared" si="4"/>
        <v>0</v>
      </c>
      <c r="G17" s="249">
        <f t="shared" si="4"/>
        <v>0</v>
      </c>
      <c r="H17" s="249">
        <f t="shared" si="4"/>
        <v>0</v>
      </c>
      <c r="I17" s="249" t="e">
        <f t="shared" si="4"/>
        <v>#DIV/0!</v>
      </c>
      <c r="J17" s="249" t="e">
        <f t="shared" si="4"/>
        <v>#DIV/0!</v>
      </c>
      <c r="K17" s="249" t="e">
        <f t="shared" si="4"/>
        <v>#DIV/0!</v>
      </c>
      <c r="L17" s="249" t="e">
        <f t="shared" si="4"/>
        <v>#DIV/0!</v>
      </c>
      <c r="M17" s="249" t="e">
        <f t="shared" si="4"/>
        <v>#DIV/0!</v>
      </c>
      <c r="N17" s="249" t="e">
        <f t="shared" si="4"/>
        <v>#DIV/0!</v>
      </c>
    </row>
    <row r="18" spans="1:14" s="9" customFormat="1">
      <c r="A18" s="163" t="s">
        <v>15</v>
      </c>
      <c r="B18" s="245"/>
      <c r="C18" s="246">
        <f>'P&amp;L (направления)'!J23</f>
        <v>0</v>
      </c>
      <c r="D18" s="247">
        <f>'P&amp;L (направления)'!O23</f>
        <v>0</v>
      </c>
      <c r="E18" s="247">
        <f>'P&amp;L (направления)'!T23</f>
        <v>0</v>
      </c>
      <c r="F18" s="247">
        <f>'P&amp;L (направления)'!Y23</f>
        <v>0</v>
      </c>
      <c r="G18" s="247">
        <f>'P&amp;L (направления)'!AD23</f>
        <v>0</v>
      </c>
      <c r="H18" s="247">
        <f>'P&amp;L (направления)'!AI23</f>
        <v>0</v>
      </c>
      <c r="I18" s="247">
        <f>'P&amp;L (направления)'!AN23</f>
        <v>0</v>
      </c>
      <c r="J18" s="247">
        <f>'P&amp;L (направления)'!AS23</f>
        <v>0</v>
      </c>
      <c r="K18" s="247">
        <f>'P&amp;L (направления)'!AX23</f>
        <v>0</v>
      </c>
      <c r="L18" s="247">
        <f>'P&amp;L (направления)'!BC23</f>
        <v>0</v>
      </c>
      <c r="M18" s="247">
        <f>'P&amp;L (направления)'!BH23</f>
        <v>0</v>
      </c>
      <c r="N18" s="247">
        <f>'P&amp;L (направления)'!BM23</f>
        <v>0</v>
      </c>
    </row>
    <row r="19" spans="1:14" s="206" customFormat="1" ht="11.25">
      <c r="A19" s="202" t="s">
        <v>140</v>
      </c>
      <c r="B19" s="248"/>
      <c r="C19" s="249">
        <f t="shared" ref="C19:N19" si="6">C18/C6</f>
        <v>0</v>
      </c>
      <c r="D19" s="249">
        <f t="shared" si="6"/>
        <v>0</v>
      </c>
      <c r="E19" s="249">
        <f t="shared" si="6"/>
        <v>0</v>
      </c>
      <c r="F19" s="249">
        <f t="shared" si="6"/>
        <v>0</v>
      </c>
      <c r="G19" s="249">
        <f t="shared" si="6"/>
        <v>0</v>
      </c>
      <c r="H19" s="249" t="e">
        <f t="shared" si="6"/>
        <v>#DIV/0!</v>
      </c>
      <c r="I19" s="249" t="e">
        <f t="shared" si="6"/>
        <v>#DIV/0!</v>
      </c>
      <c r="J19" s="249" t="e">
        <f t="shared" si="6"/>
        <v>#DIV/0!</v>
      </c>
      <c r="K19" s="249" t="e">
        <f t="shared" si="6"/>
        <v>#DIV/0!</v>
      </c>
      <c r="L19" s="249" t="e">
        <f t="shared" si="6"/>
        <v>#DIV/0!</v>
      </c>
      <c r="M19" s="249" t="e">
        <f t="shared" si="6"/>
        <v>#DIV/0!</v>
      </c>
      <c r="N19" s="249" t="e">
        <f t="shared" si="6"/>
        <v>#DIV/0!</v>
      </c>
    </row>
    <row r="20" spans="1:14" s="9" customFormat="1">
      <c r="A20" s="163" t="s">
        <v>31</v>
      </c>
      <c r="B20" s="245"/>
      <c r="C20" s="250">
        <f>'P&amp;L (направления)'!J27</f>
        <v>0</v>
      </c>
      <c r="D20" s="251">
        <f>'P&amp;L (направления)'!O27</f>
        <v>0</v>
      </c>
      <c r="E20" s="251">
        <f>'P&amp;L (направления)'!T27</f>
        <v>0</v>
      </c>
      <c r="F20" s="251">
        <f>'P&amp;L (направления)'!Y27</f>
        <v>0</v>
      </c>
      <c r="G20" s="251">
        <f>'P&amp;L (направления)'!AD27</f>
        <v>0</v>
      </c>
      <c r="H20" s="251">
        <f>'P&amp;L (направления)'!AI27</f>
        <v>0</v>
      </c>
      <c r="I20" s="251">
        <f>'P&amp;L (направления)'!AN27</f>
        <v>0</v>
      </c>
      <c r="J20" s="251">
        <f>'P&amp;L (направления)'!AS27</f>
        <v>0</v>
      </c>
      <c r="K20" s="251">
        <f>'P&amp;L (направления)'!AX27</f>
        <v>0</v>
      </c>
      <c r="L20" s="251">
        <f>'P&amp;L (направления)'!BC27</f>
        <v>0</v>
      </c>
      <c r="M20" s="251">
        <f>'P&amp;L (направления)'!BH27</f>
        <v>0</v>
      </c>
      <c r="N20" s="251">
        <f>'P&amp;L (направления)'!BM27</f>
        <v>0</v>
      </c>
    </row>
    <row r="21" spans="1:14" s="206" customFormat="1" ht="12" thickBot="1">
      <c r="A21" s="202" t="s">
        <v>141</v>
      </c>
      <c r="B21" s="248"/>
      <c r="C21" s="249">
        <f t="shared" ref="C21:N21" si="7">C20/C6</f>
        <v>0</v>
      </c>
      <c r="D21" s="249">
        <f t="shared" si="7"/>
        <v>0</v>
      </c>
      <c r="E21" s="249">
        <f t="shared" si="7"/>
        <v>0</v>
      </c>
      <c r="F21" s="249">
        <f t="shared" si="7"/>
        <v>0</v>
      </c>
      <c r="G21" s="249">
        <f t="shared" si="7"/>
        <v>0</v>
      </c>
      <c r="H21" s="249" t="e">
        <f t="shared" si="7"/>
        <v>#DIV/0!</v>
      </c>
      <c r="I21" s="249" t="e">
        <f t="shared" si="7"/>
        <v>#DIV/0!</v>
      </c>
      <c r="J21" s="249" t="e">
        <f t="shared" si="7"/>
        <v>#DIV/0!</v>
      </c>
      <c r="K21" s="249" t="e">
        <f t="shared" si="7"/>
        <v>#DIV/0!</v>
      </c>
      <c r="L21" s="249" t="e">
        <f t="shared" si="7"/>
        <v>#DIV/0!</v>
      </c>
      <c r="M21" s="249" t="e">
        <f t="shared" si="7"/>
        <v>#DIV/0!</v>
      </c>
      <c r="N21" s="249" t="e">
        <f t="shared" si="7"/>
        <v>#DIV/0!</v>
      </c>
    </row>
    <row r="22" spans="1:14" s="9" customFormat="1" ht="15.75" thickBot="1">
      <c r="A22" s="152" t="s">
        <v>131</v>
      </c>
      <c r="B22" s="244"/>
      <c r="C22" s="189">
        <f t="shared" ref="C22:N22" si="8">C6-C11</f>
        <v>641075</v>
      </c>
      <c r="D22" s="154">
        <f t="shared" si="8"/>
        <v>714442</v>
      </c>
      <c r="E22" s="154">
        <f t="shared" si="8"/>
        <v>1043152</v>
      </c>
      <c r="F22" s="154">
        <f t="shared" si="8"/>
        <v>590415</v>
      </c>
      <c r="G22" s="154">
        <f t="shared" si="8"/>
        <v>516961</v>
      </c>
      <c r="H22" s="154">
        <f t="shared" si="8"/>
        <v>0</v>
      </c>
      <c r="I22" s="154">
        <f t="shared" si="8"/>
        <v>0</v>
      </c>
      <c r="J22" s="154">
        <f t="shared" si="8"/>
        <v>0</v>
      </c>
      <c r="K22" s="154">
        <f t="shared" si="8"/>
        <v>0</v>
      </c>
      <c r="L22" s="154">
        <f t="shared" si="8"/>
        <v>0</v>
      </c>
      <c r="M22" s="154">
        <f t="shared" si="8"/>
        <v>0</v>
      </c>
      <c r="N22" s="154">
        <f t="shared" si="8"/>
        <v>0</v>
      </c>
    </row>
    <row r="23" spans="1:14" s="9" customFormat="1" ht="15.75" thickBot="1">
      <c r="A23" s="156" t="s">
        <v>132</v>
      </c>
      <c r="B23" s="252"/>
      <c r="C23" s="192">
        <f t="shared" ref="C23:N23" si="9">C22/C6</f>
        <v>0.51916894097067567</v>
      </c>
      <c r="D23" s="170">
        <f t="shared" si="9"/>
        <v>0.55273111567910982</v>
      </c>
      <c r="E23" s="170">
        <f t="shared" si="9"/>
        <v>0.64639804881917873</v>
      </c>
      <c r="F23" s="170">
        <f t="shared" si="9"/>
        <v>0.66264309764309759</v>
      </c>
      <c r="G23" s="170">
        <f t="shared" si="9"/>
        <v>0.6561001611818309</v>
      </c>
      <c r="H23" s="170" t="e">
        <f t="shared" si="9"/>
        <v>#DIV/0!</v>
      </c>
      <c r="I23" s="170" t="e">
        <f t="shared" si="9"/>
        <v>#DIV/0!</v>
      </c>
      <c r="J23" s="170" t="e">
        <f t="shared" si="9"/>
        <v>#DIV/0!</v>
      </c>
      <c r="K23" s="170" t="e">
        <f t="shared" si="9"/>
        <v>#DIV/0!</v>
      </c>
      <c r="L23" s="170" t="e">
        <f t="shared" si="9"/>
        <v>#DIV/0!</v>
      </c>
      <c r="M23" s="170" t="e">
        <f t="shared" si="9"/>
        <v>#DIV/0!</v>
      </c>
      <c r="N23" s="170" t="e">
        <f t="shared" si="9"/>
        <v>#DIV/0!</v>
      </c>
    </row>
    <row r="24" spans="1:14" s="9" customFormat="1">
      <c r="A24" s="152" t="s">
        <v>133</v>
      </c>
      <c r="B24" s="244"/>
      <c r="C24" s="189">
        <f t="shared" ref="C24:N24" si="10">SUM(C25:C30)</f>
        <v>111201</v>
      </c>
      <c r="D24" s="154">
        <f t="shared" si="10"/>
        <v>158529</v>
      </c>
      <c r="E24" s="154">
        <f t="shared" si="10"/>
        <v>323392.94161097432</v>
      </c>
      <c r="F24" s="154">
        <f t="shared" si="10"/>
        <v>337086.07323968149</v>
      </c>
      <c r="G24" s="154">
        <f t="shared" si="10"/>
        <v>219234.65958786063</v>
      </c>
      <c r="H24" s="154">
        <f t="shared" si="10"/>
        <v>0</v>
      </c>
      <c r="I24" s="154">
        <f t="shared" si="10"/>
        <v>0</v>
      </c>
      <c r="J24" s="154">
        <f t="shared" si="10"/>
        <v>0</v>
      </c>
      <c r="K24" s="154">
        <f t="shared" si="10"/>
        <v>0</v>
      </c>
      <c r="L24" s="154">
        <f t="shared" si="10"/>
        <v>0</v>
      </c>
      <c r="M24" s="154">
        <f t="shared" si="10"/>
        <v>0</v>
      </c>
      <c r="N24" s="154">
        <f t="shared" si="10"/>
        <v>0</v>
      </c>
    </row>
    <row r="25" spans="1:14" s="9" customFormat="1">
      <c r="A25" s="163" t="s">
        <v>24</v>
      </c>
      <c r="B25" s="245"/>
      <c r="C25" s="246">
        <f>'P&amp;L (направления)'!J32</f>
        <v>102201</v>
      </c>
      <c r="D25" s="247">
        <f>'P&amp;L (направления)'!O32</f>
        <v>100125</v>
      </c>
      <c r="E25" s="247">
        <f>'P&amp;L (направления)'!T32</f>
        <v>100125</v>
      </c>
      <c r="F25" s="247">
        <f>'P&amp;L (направления)'!Y32</f>
        <v>173288</v>
      </c>
      <c r="G25" s="247">
        <f>'P&amp;L (направления)'!AD32</f>
        <v>59625</v>
      </c>
      <c r="H25" s="247">
        <f>'P&amp;L (направления)'!AI32</f>
        <v>0</v>
      </c>
      <c r="I25" s="247">
        <f>'P&amp;L (направления)'!AN32</f>
        <v>0</v>
      </c>
      <c r="J25" s="247">
        <f>'P&amp;L (направления)'!AS32</f>
        <v>0</v>
      </c>
      <c r="K25" s="247">
        <f>'P&amp;L (направления)'!AX32</f>
        <v>0</v>
      </c>
      <c r="L25" s="247">
        <f>'P&amp;L (направления)'!BC32</f>
        <v>0</v>
      </c>
      <c r="M25" s="247">
        <f>'P&amp;L (направления)'!BH32</f>
        <v>0</v>
      </c>
      <c r="N25" s="247">
        <f>'P&amp;L (направления)'!BM32</f>
        <v>0</v>
      </c>
    </row>
    <row r="26" spans="1:14" s="9" customFormat="1">
      <c r="A26" s="163" t="s">
        <v>35</v>
      </c>
      <c r="B26" s="245"/>
      <c r="C26" s="246">
        <f>'P&amp;L (направления)'!J33</f>
        <v>0</v>
      </c>
      <c r="D26" s="247">
        <f>'P&amp;L (направления)'!O33</f>
        <v>47304</v>
      </c>
      <c r="E26" s="247">
        <f>'P&amp;L (направления)'!T33</f>
        <v>46066</v>
      </c>
      <c r="F26" s="247">
        <f>'P&amp;L (направления)'!Y33</f>
        <v>50000</v>
      </c>
      <c r="G26" s="247">
        <f>'P&amp;L (направления)'!AD33</f>
        <v>42380.7</v>
      </c>
      <c r="H26" s="247">
        <f>'P&amp;L (направления)'!AI33</f>
        <v>0</v>
      </c>
      <c r="I26" s="247">
        <f>'P&amp;L (направления)'!AN33</f>
        <v>0</v>
      </c>
      <c r="J26" s="247">
        <f>'P&amp;L (направления)'!AS33</f>
        <v>0</v>
      </c>
      <c r="K26" s="247">
        <f>'P&amp;L (направления)'!AX33</f>
        <v>0</v>
      </c>
      <c r="L26" s="247">
        <f>'P&amp;L (направления)'!BC33</f>
        <v>0</v>
      </c>
      <c r="M26" s="247">
        <f>'P&amp;L (направления)'!BH33</f>
        <v>0</v>
      </c>
      <c r="N26" s="247">
        <f>'P&amp;L (направления)'!BM33</f>
        <v>0</v>
      </c>
    </row>
    <row r="27" spans="1:14" s="9" customFormat="1">
      <c r="A27" s="163" t="s">
        <v>23</v>
      </c>
      <c r="B27" s="245"/>
      <c r="C27" s="246">
        <f>'P&amp;L (направления)'!J34</f>
        <v>0</v>
      </c>
      <c r="D27" s="247">
        <f>'P&amp;L (направления)'!O34</f>
        <v>0</v>
      </c>
      <c r="E27" s="247">
        <f>'P&amp;L (направления)'!T34</f>
        <v>0</v>
      </c>
      <c r="F27" s="247">
        <f>'P&amp;L (направления)'!Y34</f>
        <v>0</v>
      </c>
      <c r="G27" s="247">
        <f>'P&amp;L (направления)'!AD34</f>
        <v>25581.08</v>
      </c>
      <c r="H27" s="247">
        <f>'P&amp;L (направления)'!AI34</f>
        <v>0</v>
      </c>
      <c r="I27" s="247">
        <f>'P&amp;L (направления)'!AN34</f>
        <v>0</v>
      </c>
      <c r="J27" s="247">
        <f>'P&amp;L (направления)'!AS34</f>
        <v>0</v>
      </c>
      <c r="K27" s="247">
        <f>'P&amp;L (направления)'!AX34</f>
        <v>0</v>
      </c>
      <c r="L27" s="247">
        <f>'P&amp;L (направления)'!BC34</f>
        <v>0</v>
      </c>
      <c r="M27" s="247">
        <f>'P&amp;L (направления)'!BH34</f>
        <v>0</v>
      </c>
      <c r="N27" s="247">
        <f>'P&amp;L (направления)'!BM34</f>
        <v>0</v>
      </c>
    </row>
    <row r="28" spans="1:14" s="9" customFormat="1">
      <c r="A28" s="163" t="s">
        <v>10</v>
      </c>
      <c r="B28" s="245"/>
      <c r="C28" s="246">
        <f>'P&amp;L (направления)'!J35</f>
        <v>0</v>
      </c>
      <c r="D28" s="247">
        <f>'P&amp;L (направления)'!O35</f>
        <v>0</v>
      </c>
      <c r="E28" s="247">
        <f>'P&amp;L (направления)'!T35</f>
        <v>0</v>
      </c>
      <c r="F28" s="247">
        <f>'P&amp;L (направления)'!Y35</f>
        <v>363</v>
      </c>
      <c r="G28" s="247">
        <f>'P&amp;L (направления)'!AD35</f>
        <v>2592</v>
      </c>
      <c r="H28" s="247">
        <f>'P&amp;L (направления)'!AI35</f>
        <v>0</v>
      </c>
      <c r="I28" s="247">
        <f>'P&amp;L (направления)'!AN35</f>
        <v>0</v>
      </c>
      <c r="J28" s="247">
        <f>'P&amp;L (направления)'!AS35</f>
        <v>0</v>
      </c>
      <c r="K28" s="247">
        <f>'P&amp;L (направления)'!AX35</f>
        <v>0</v>
      </c>
      <c r="L28" s="247">
        <f>'P&amp;L (направления)'!BC35</f>
        <v>0</v>
      </c>
      <c r="M28" s="247">
        <f>'P&amp;L (направления)'!BH35</f>
        <v>0</v>
      </c>
      <c r="N28" s="247">
        <f>'P&amp;L (направления)'!BM35</f>
        <v>0</v>
      </c>
    </row>
    <row r="29" spans="1:14" s="9" customFormat="1">
      <c r="A29" s="163"/>
      <c r="B29" s="245"/>
      <c r="C29" s="246">
        <f>'P&amp;L (направления)'!J44</f>
        <v>9000</v>
      </c>
      <c r="D29" s="247">
        <f>'P&amp;L (направления)'!O44</f>
        <v>11100</v>
      </c>
      <c r="E29" s="247">
        <f>'P&amp;L (направления)'!T44</f>
        <v>12000</v>
      </c>
      <c r="F29" s="247">
        <f>'P&amp;L (направления)'!Y44</f>
        <v>1500</v>
      </c>
      <c r="G29" s="247">
        <f>'P&amp;L (направления)'!AD44</f>
        <v>38500</v>
      </c>
      <c r="H29" s="247">
        <f>'P&amp;L (направления)'!AI44</f>
        <v>0</v>
      </c>
      <c r="I29" s="247">
        <f>'P&amp;L (направления)'!AN44</f>
        <v>0</v>
      </c>
      <c r="J29" s="247">
        <f>'P&amp;L (направления)'!AS44</f>
        <v>0</v>
      </c>
      <c r="K29" s="247">
        <f>'P&amp;L (направления)'!AX44</f>
        <v>0</v>
      </c>
      <c r="L29" s="247">
        <f>'P&amp;L (направления)'!BC44</f>
        <v>0</v>
      </c>
      <c r="M29" s="247">
        <f>'P&amp;L (направления)'!BH44</f>
        <v>0</v>
      </c>
      <c r="N29" s="247">
        <f>'P&amp;L (направления)'!BM44</f>
        <v>0</v>
      </c>
    </row>
    <row r="30" spans="1:14" s="9" customFormat="1" ht="15.75" thickBot="1">
      <c r="A30" s="163"/>
      <c r="B30" s="245"/>
      <c r="C30" s="246">
        <f>'P&amp;L (направления)'!J45</f>
        <v>0</v>
      </c>
      <c r="D30" s="247">
        <f>'P&amp;L (направления)'!O45</f>
        <v>0</v>
      </c>
      <c r="E30" s="247">
        <f>'P&amp;L (направления)'!T45</f>
        <v>165201.94161097432</v>
      </c>
      <c r="F30" s="247">
        <f>'P&amp;L (направления)'!Y45</f>
        <v>111935.07323968149</v>
      </c>
      <c r="G30" s="247">
        <f>'P&amp;L (направления)'!AD45</f>
        <v>50555.87958786064</v>
      </c>
      <c r="H30" s="247">
        <f>'P&amp;L (направления)'!AI45</f>
        <v>0</v>
      </c>
      <c r="I30" s="247">
        <f>'P&amp;L (направления)'!AN45</f>
        <v>0</v>
      </c>
      <c r="J30" s="247">
        <f>'P&amp;L (направления)'!AS45</f>
        <v>0</v>
      </c>
      <c r="K30" s="247">
        <f>'P&amp;L (направления)'!AX45</f>
        <v>0</v>
      </c>
      <c r="L30" s="247">
        <f>'P&amp;L (направления)'!BC45</f>
        <v>0</v>
      </c>
      <c r="M30" s="247">
        <f>'P&amp;L (направления)'!BH45</f>
        <v>0</v>
      </c>
      <c r="N30" s="247">
        <f>'P&amp;L (направления)'!BM45</f>
        <v>0</v>
      </c>
    </row>
    <row r="31" spans="1:14" s="9" customFormat="1">
      <c r="A31" s="152" t="s">
        <v>135</v>
      </c>
      <c r="B31" s="253">
        <f>SUM(C31:N31)</f>
        <v>2356601.3255614834</v>
      </c>
      <c r="C31" s="189">
        <f t="shared" ref="C31:N31" si="11">C22-C24</f>
        <v>529874</v>
      </c>
      <c r="D31" s="154">
        <f t="shared" si="11"/>
        <v>555913</v>
      </c>
      <c r="E31" s="154">
        <f t="shared" si="11"/>
        <v>719759.05838902574</v>
      </c>
      <c r="F31" s="154">
        <f t="shared" si="11"/>
        <v>253328.92676031851</v>
      </c>
      <c r="G31" s="154">
        <f t="shared" si="11"/>
        <v>297726.34041213937</v>
      </c>
      <c r="H31" s="154">
        <f t="shared" si="11"/>
        <v>0</v>
      </c>
      <c r="I31" s="154">
        <f t="shared" si="11"/>
        <v>0</v>
      </c>
      <c r="J31" s="154">
        <f t="shared" si="11"/>
        <v>0</v>
      </c>
      <c r="K31" s="154">
        <f t="shared" si="11"/>
        <v>0</v>
      </c>
      <c r="L31" s="154">
        <f t="shared" si="11"/>
        <v>0</v>
      </c>
      <c r="M31" s="154">
        <f t="shared" si="11"/>
        <v>0</v>
      </c>
      <c r="N31" s="154">
        <f t="shared" si="11"/>
        <v>0</v>
      </c>
    </row>
    <row r="32" spans="1:14" s="9" customFormat="1">
      <c r="A32" s="254" t="s">
        <v>136</v>
      </c>
      <c r="B32" s="252"/>
      <c r="C32" s="255">
        <f t="shared" ref="C32:N32" si="12">C31/C6</f>
        <v>0.42911379078562695</v>
      </c>
      <c r="D32" s="252">
        <f t="shared" si="12"/>
        <v>0.43008447531153127</v>
      </c>
      <c r="E32" s="252">
        <f t="shared" si="12"/>
        <v>0.44600484968882342</v>
      </c>
      <c r="F32" s="252">
        <f t="shared" si="12"/>
        <v>0.28431978312044726</v>
      </c>
      <c r="G32" s="252">
        <f t="shared" si="12"/>
        <v>0.37785887123493123</v>
      </c>
      <c r="H32" s="252" t="e">
        <f t="shared" si="12"/>
        <v>#DIV/0!</v>
      </c>
      <c r="I32" s="252" t="e">
        <f t="shared" si="12"/>
        <v>#DIV/0!</v>
      </c>
      <c r="J32" s="252" t="e">
        <f t="shared" si="12"/>
        <v>#DIV/0!</v>
      </c>
      <c r="K32" s="252" t="e">
        <f t="shared" si="12"/>
        <v>#DIV/0!</v>
      </c>
      <c r="L32" s="252" t="e">
        <f t="shared" si="12"/>
        <v>#DIV/0!</v>
      </c>
      <c r="M32" s="252" t="e">
        <f t="shared" si="12"/>
        <v>#DIV/0!</v>
      </c>
      <c r="N32" s="252" t="e">
        <f t="shared" si="12"/>
        <v>#DIV/0!</v>
      </c>
    </row>
  </sheetData>
  <mergeCells count="1">
    <mergeCell ref="A3:A4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summaryBelow="0" summaryRight="0"/>
  </sheetPr>
  <dimension ref="A1:N32"/>
  <sheetViews>
    <sheetView topLeftCell="A3" zoomScaleNormal="100" workbookViewId="0">
      <pane xSplit="1" ySplit="8" topLeftCell="B11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40625" defaultRowHeight="15"/>
  <cols>
    <col min="1" max="1" width="36" style="6" customWidth="1"/>
    <col min="2" max="2" width="11.140625" style="6" bestFit="1" customWidth="1"/>
    <col min="3" max="4" width="10.5703125" style="7" customWidth="1"/>
    <col min="5" max="14" width="9.140625" style="7" customWidth="1"/>
    <col min="15" max="16384" width="9.140625" style="7"/>
  </cols>
  <sheetData>
    <row r="1" spans="1:14" s="2" customFormat="1" ht="25.5" customHeight="1">
      <c r="A1" s="1" t="s">
        <v>0</v>
      </c>
      <c r="B1" s="1"/>
      <c r="D1" s="3"/>
      <c r="E1" s="3"/>
      <c r="F1" s="3"/>
      <c r="G1" s="3"/>
      <c r="H1" s="3"/>
      <c r="I1" s="3"/>
    </row>
    <row r="2" spans="1:14" ht="15.75" thickBot="1"/>
    <row r="3" spans="1:14" s="8" customFormat="1" ht="15.95" customHeight="1" thickBot="1">
      <c r="A3" s="294" t="s">
        <v>129</v>
      </c>
      <c r="B3" s="238"/>
      <c r="C3" s="208" t="s">
        <v>19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14" s="8" customFormat="1" ht="15" customHeight="1" thickBot="1">
      <c r="A4" s="295"/>
      <c r="B4" s="239"/>
      <c r="C4" s="150" t="s">
        <v>1</v>
      </c>
      <c r="D4" s="150" t="s">
        <v>38</v>
      </c>
      <c r="E4" s="150" t="s">
        <v>39</v>
      </c>
      <c r="F4" s="150" t="s">
        <v>40</v>
      </c>
      <c r="G4" s="150" t="s">
        <v>41</v>
      </c>
      <c r="H4" s="150" t="s">
        <v>42</v>
      </c>
      <c r="I4" s="150" t="s">
        <v>43</v>
      </c>
      <c r="J4" s="150" t="s">
        <v>44</v>
      </c>
      <c r="K4" s="150" t="s">
        <v>45</v>
      </c>
      <c r="L4" s="150" t="s">
        <v>46</v>
      </c>
      <c r="M4" s="150" t="s">
        <v>47</v>
      </c>
      <c r="N4" s="150" t="s">
        <v>48</v>
      </c>
    </row>
    <row r="5" spans="1:14" s="9" customFormat="1" ht="15.75" thickBot="1">
      <c r="A5" s="104" t="s">
        <v>124</v>
      </c>
      <c r="B5" s="240"/>
      <c r="C5" s="183">
        <f>'P&amp;L (направления)'!K8</f>
        <v>1050000</v>
      </c>
      <c r="D5" s="10">
        <f>'P&amp;L (направления)'!P8</f>
        <v>1200000</v>
      </c>
      <c r="E5" s="10">
        <f>'P&amp;L (направления)'!U8</f>
        <v>1500000</v>
      </c>
      <c r="F5" s="10">
        <f>'P&amp;L (направления)'!Z8</f>
        <v>2000000</v>
      </c>
      <c r="G5" s="10">
        <f>'P&amp;L (направления)'!AE8</f>
        <v>1600000</v>
      </c>
      <c r="H5" s="10">
        <f>'P&amp;L (направления)'!AJ8</f>
        <v>1600000</v>
      </c>
      <c r="I5" s="10">
        <f>'P&amp;L (направления)'!AO8</f>
        <v>0</v>
      </c>
      <c r="J5" s="10">
        <f>'P&amp;L (направления)'!AT8</f>
        <v>0</v>
      </c>
      <c r="K5" s="10">
        <f>'P&amp;L (направления)'!AY8</f>
        <v>0</v>
      </c>
      <c r="L5" s="10">
        <f>'P&amp;L (направления)'!BD8</f>
        <v>0</v>
      </c>
      <c r="M5" s="10">
        <f>'P&amp;L (направления)'!BI8</f>
        <v>0</v>
      </c>
      <c r="N5" s="10">
        <f>'P&amp;L (направления)'!BN8</f>
        <v>0</v>
      </c>
    </row>
    <row r="6" spans="1:14" s="9" customFormat="1" ht="15.75" thickBot="1">
      <c r="A6" s="165" t="s">
        <v>125</v>
      </c>
      <c r="B6" s="241"/>
      <c r="C6" s="184">
        <f>'P&amp;L (направления)'!K9</f>
        <v>1018946</v>
      </c>
      <c r="D6" s="167">
        <f>'P&amp;L (направления)'!P9</f>
        <v>1193500</v>
      </c>
      <c r="E6" s="167">
        <f>'P&amp;L (направления)'!U9</f>
        <v>1574168</v>
      </c>
      <c r="F6" s="167">
        <f>'P&amp;L (направления)'!Z9</f>
        <v>1840598</v>
      </c>
      <c r="G6" s="167">
        <f>'P&amp;L (направления)'!AE9</f>
        <v>1448899</v>
      </c>
      <c r="H6" s="167">
        <f>'P&amp;L (направления)'!AJ9</f>
        <v>0</v>
      </c>
      <c r="I6" s="167">
        <f>'P&amp;L (направления)'!AO9</f>
        <v>0</v>
      </c>
      <c r="J6" s="167">
        <f>'P&amp;L (направления)'!AT9</f>
        <v>0</v>
      </c>
      <c r="K6" s="167">
        <f>'P&amp;L (направления)'!AY9</f>
        <v>0</v>
      </c>
      <c r="L6" s="167">
        <f>'P&amp;L (направления)'!BD9</f>
        <v>0</v>
      </c>
      <c r="M6" s="167">
        <f>'P&amp;L (направления)'!BI9</f>
        <v>0</v>
      </c>
      <c r="N6" s="167">
        <f>'P&amp;L (направления)'!BN9</f>
        <v>0</v>
      </c>
    </row>
    <row r="7" spans="1:14" s="9" customFormat="1" ht="15.75" hidden="1" thickBot="1">
      <c r="A7" s="242" t="s">
        <v>2</v>
      </c>
      <c r="B7" s="243"/>
      <c r="C7" s="185">
        <v>4458</v>
      </c>
      <c r="D7" s="119" t="e">
        <v>#REF!</v>
      </c>
      <c r="E7" s="119">
        <v>7663</v>
      </c>
      <c r="F7" s="119" t="e">
        <v>#REF!</v>
      </c>
      <c r="G7" s="119" t="e">
        <v>#REF!</v>
      </c>
      <c r="H7" s="119" t="e">
        <v>#REF!</v>
      </c>
      <c r="I7" s="119" t="e">
        <v>#REF!</v>
      </c>
      <c r="J7" s="119" t="e">
        <v>#REF!</v>
      </c>
      <c r="K7" s="119" t="e">
        <v>#REF!</v>
      </c>
      <c r="L7" s="119" t="e">
        <v>#REF!</v>
      </c>
      <c r="M7" s="119" t="e">
        <v>#REF!</v>
      </c>
      <c r="N7" s="119" t="e">
        <v>#REF!</v>
      </c>
    </row>
    <row r="8" spans="1:14" s="9" customFormat="1" ht="15.75" hidden="1" thickBot="1">
      <c r="A8" s="121" t="s">
        <v>3</v>
      </c>
      <c r="B8" s="243"/>
      <c r="C8" s="186">
        <f t="shared" ref="C8:N8" si="0">C6-C5</f>
        <v>-31054</v>
      </c>
      <c r="D8" s="123">
        <f t="shared" si="0"/>
        <v>-6500</v>
      </c>
      <c r="E8" s="123">
        <f t="shared" si="0"/>
        <v>74168</v>
      </c>
      <c r="F8" s="123">
        <f t="shared" si="0"/>
        <v>-159402</v>
      </c>
      <c r="G8" s="123">
        <f t="shared" si="0"/>
        <v>-151101</v>
      </c>
      <c r="H8" s="123">
        <f t="shared" si="0"/>
        <v>-1600000</v>
      </c>
      <c r="I8" s="123">
        <f t="shared" si="0"/>
        <v>0</v>
      </c>
      <c r="J8" s="123">
        <f t="shared" si="0"/>
        <v>0</v>
      </c>
      <c r="K8" s="123">
        <f t="shared" si="0"/>
        <v>0</v>
      </c>
      <c r="L8" s="123">
        <f t="shared" si="0"/>
        <v>0</v>
      </c>
      <c r="M8" s="123">
        <f t="shared" si="0"/>
        <v>0</v>
      </c>
      <c r="N8" s="123">
        <f t="shared" si="0"/>
        <v>0</v>
      </c>
    </row>
    <row r="9" spans="1:14" s="11" customFormat="1" ht="15.75" hidden="1" thickBot="1">
      <c r="A9" s="125" t="s">
        <v>4</v>
      </c>
      <c r="B9" s="243"/>
      <c r="C9" s="187">
        <f t="shared" ref="C9:N9" si="1">C8/C5</f>
        <v>-2.9575238095238095E-2</v>
      </c>
      <c r="D9" s="127">
        <f t="shared" si="1"/>
        <v>-5.4166666666666669E-3</v>
      </c>
      <c r="E9" s="127">
        <f t="shared" si="1"/>
        <v>4.9445333333333334E-2</v>
      </c>
      <c r="F9" s="127">
        <f t="shared" si="1"/>
        <v>-7.9700999999999994E-2</v>
      </c>
      <c r="G9" s="127">
        <f t="shared" si="1"/>
        <v>-9.4438124999999998E-2</v>
      </c>
      <c r="H9" s="127">
        <f t="shared" si="1"/>
        <v>-1</v>
      </c>
      <c r="I9" s="127" t="e">
        <f t="shared" si="1"/>
        <v>#DIV/0!</v>
      </c>
      <c r="J9" s="127" t="e">
        <f t="shared" si="1"/>
        <v>#DIV/0!</v>
      </c>
      <c r="K9" s="127" t="e">
        <f t="shared" si="1"/>
        <v>#DIV/0!</v>
      </c>
      <c r="L9" s="127" t="e">
        <f t="shared" si="1"/>
        <v>#DIV/0!</v>
      </c>
      <c r="M9" s="127" t="e">
        <f t="shared" si="1"/>
        <v>#DIV/0!</v>
      </c>
      <c r="N9" s="127" t="e">
        <f t="shared" si="1"/>
        <v>#DIV/0!</v>
      </c>
    </row>
    <row r="10" spans="1:14" s="9" customFormat="1" ht="15.75" hidden="1" thickBot="1">
      <c r="A10" s="129" t="s">
        <v>5</v>
      </c>
      <c r="B10" s="243"/>
      <c r="C10" s="188">
        <v>962132</v>
      </c>
      <c r="D10" s="131" t="e">
        <v>#REF!</v>
      </c>
      <c r="E10" s="131">
        <v>2788685</v>
      </c>
      <c r="F10" s="131" t="e">
        <v>#REF!</v>
      </c>
      <c r="G10" s="131" t="e">
        <v>#REF!</v>
      </c>
      <c r="H10" s="131" t="e">
        <v>#REF!</v>
      </c>
      <c r="I10" s="131" t="e">
        <v>#REF!</v>
      </c>
      <c r="J10" s="131" t="e">
        <v>#REF!</v>
      </c>
      <c r="K10" s="131" t="e">
        <v>#REF!</v>
      </c>
      <c r="L10" s="131" t="e">
        <v>#REF!</v>
      </c>
      <c r="M10" s="131" t="e">
        <v>#REF!</v>
      </c>
      <c r="N10" s="131" t="e">
        <v>#REF!</v>
      </c>
    </row>
    <row r="11" spans="1:14" s="9" customFormat="1">
      <c r="A11" s="152" t="s">
        <v>130</v>
      </c>
      <c r="B11" s="244"/>
      <c r="C11" s="189">
        <f t="shared" ref="C11:N11" si="2">SUM(C12,C14,C16,C18,C20)</f>
        <v>80000</v>
      </c>
      <c r="D11" s="189">
        <f t="shared" si="2"/>
        <v>116810</v>
      </c>
      <c r="E11" s="189">
        <f t="shared" si="2"/>
        <v>121700</v>
      </c>
      <c r="F11" s="189">
        <f t="shared" si="2"/>
        <v>0</v>
      </c>
      <c r="G11" s="189">
        <f t="shared" si="2"/>
        <v>167322</v>
      </c>
      <c r="H11" s="189">
        <f t="shared" si="2"/>
        <v>0</v>
      </c>
      <c r="I11" s="189">
        <f t="shared" si="2"/>
        <v>0</v>
      </c>
      <c r="J11" s="189">
        <f t="shared" si="2"/>
        <v>0</v>
      </c>
      <c r="K11" s="189">
        <f t="shared" si="2"/>
        <v>0</v>
      </c>
      <c r="L11" s="189">
        <f t="shared" si="2"/>
        <v>0</v>
      </c>
      <c r="M11" s="189">
        <f t="shared" si="2"/>
        <v>0</v>
      </c>
      <c r="N11" s="189">
        <f t="shared" si="2"/>
        <v>0</v>
      </c>
    </row>
    <row r="12" spans="1:14" s="9" customFormat="1">
      <c r="A12" s="163" t="s">
        <v>34</v>
      </c>
      <c r="B12" s="245"/>
      <c r="C12" s="246">
        <f>'P&amp;L (направления)'!K15</f>
        <v>80000</v>
      </c>
      <c r="D12" s="247">
        <f>'P&amp;L (направления)'!P15</f>
        <v>101110</v>
      </c>
      <c r="E12" s="247">
        <f>'P&amp;L (направления)'!U15</f>
        <v>121000</v>
      </c>
      <c r="F12" s="247">
        <f>'P&amp;L (направления)'!Z15</f>
        <v>0</v>
      </c>
      <c r="G12" s="247">
        <f>'P&amp;L (направления)'!AE15</f>
        <v>167322</v>
      </c>
      <c r="H12" s="247">
        <f>'P&amp;L (направления)'!AJ15</f>
        <v>0</v>
      </c>
      <c r="I12" s="247">
        <f>'P&amp;L (направления)'!AO15</f>
        <v>0</v>
      </c>
      <c r="J12" s="247">
        <f>'P&amp;L (направления)'!AT15</f>
        <v>0</v>
      </c>
      <c r="K12" s="247">
        <f>'P&amp;L (направления)'!AY15</f>
        <v>0</v>
      </c>
      <c r="L12" s="247">
        <f>'P&amp;L (направления)'!BD15</f>
        <v>0</v>
      </c>
      <c r="M12" s="247">
        <f>'P&amp;L (направления)'!BI15</f>
        <v>0</v>
      </c>
      <c r="N12" s="247">
        <f>'P&amp;L (направления)'!BN15</f>
        <v>0</v>
      </c>
    </row>
    <row r="13" spans="1:14" s="206" customFormat="1" ht="11.25">
      <c r="A13" s="202" t="s">
        <v>139</v>
      </c>
      <c r="B13" s="248"/>
      <c r="C13" s="249">
        <f t="shared" ref="C13:N13" si="3">C12/C6</f>
        <v>7.8512502134558654E-2</v>
      </c>
      <c r="D13" s="249">
        <f t="shared" si="3"/>
        <v>8.4717218265605368E-2</v>
      </c>
      <c r="E13" s="249">
        <f t="shared" si="3"/>
        <v>7.6866001595763608E-2</v>
      </c>
      <c r="F13" s="249">
        <f t="shared" si="3"/>
        <v>0</v>
      </c>
      <c r="G13" s="249">
        <f t="shared" si="3"/>
        <v>0.11548216956461424</v>
      </c>
      <c r="H13" s="249" t="e">
        <f t="shared" si="3"/>
        <v>#DIV/0!</v>
      </c>
      <c r="I13" s="249" t="e">
        <f t="shared" si="3"/>
        <v>#DIV/0!</v>
      </c>
      <c r="J13" s="249" t="e">
        <f t="shared" si="3"/>
        <v>#DIV/0!</v>
      </c>
      <c r="K13" s="249" t="e">
        <f t="shared" si="3"/>
        <v>#DIV/0!</v>
      </c>
      <c r="L13" s="249" t="e">
        <f t="shared" si="3"/>
        <v>#DIV/0!</v>
      </c>
      <c r="M13" s="249" t="e">
        <f t="shared" si="3"/>
        <v>#DIV/0!</v>
      </c>
      <c r="N13" s="249" t="e">
        <f t="shared" si="3"/>
        <v>#DIV/0!</v>
      </c>
    </row>
    <row r="14" spans="1:14" s="9" customFormat="1">
      <c r="A14" s="163" t="s">
        <v>118</v>
      </c>
      <c r="B14" s="245"/>
      <c r="C14" s="246">
        <f>'P&amp;L (направления)'!K19</f>
        <v>0</v>
      </c>
      <c r="D14" s="247">
        <f>'P&amp;L (направления)'!P19</f>
        <v>0</v>
      </c>
      <c r="E14" s="247">
        <f>'P&amp;L (направления)'!U19</f>
        <v>0</v>
      </c>
      <c r="F14" s="247">
        <f>'P&amp;L (направления)'!Z19</f>
        <v>0</v>
      </c>
      <c r="G14" s="247">
        <f>'P&amp;L (направления)'!AE19</f>
        <v>0</v>
      </c>
      <c r="H14" s="247">
        <f>'P&amp;L (направления)'!AJ19</f>
        <v>0</v>
      </c>
      <c r="I14" s="247">
        <f>'P&amp;L (направления)'!AO19</f>
        <v>0</v>
      </c>
      <c r="J14" s="247">
        <f>'P&amp;L (направления)'!AT19</f>
        <v>0</v>
      </c>
      <c r="K14" s="247">
        <f>'P&amp;L (направления)'!AY19</f>
        <v>0</v>
      </c>
      <c r="L14" s="247">
        <f>'P&amp;L (направления)'!BD19</f>
        <v>0</v>
      </c>
      <c r="M14" s="247">
        <f>'P&amp;L (направления)'!BI19</f>
        <v>0</v>
      </c>
      <c r="N14" s="247">
        <f>'P&amp;L (направления)'!BN19</f>
        <v>0</v>
      </c>
    </row>
    <row r="15" spans="1:14" s="206" customFormat="1" ht="11.25">
      <c r="A15" s="202" t="s">
        <v>142</v>
      </c>
      <c r="B15" s="248"/>
      <c r="C15" s="249">
        <f t="shared" ref="C15:N17" si="4">C14/C6</f>
        <v>0</v>
      </c>
      <c r="D15" s="249">
        <f t="shared" si="4"/>
        <v>0</v>
      </c>
      <c r="E15" s="249">
        <f t="shared" si="4"/>
        <v>0</v>
      </c>
      <c r="F15" s="249">
        <f t="shared" si="4"/>
        <v>0</v>
      </c>
      <c r="G15" s="249">
        <f t="shared" si="4"/>
        <v>0</v>
      </c>
      <c r="H15" s="249" t="e">
        <f t="shared" si="4"/>
        <v>#DIV/0!</v>
      </c>
      <c r="I15" s="249" t="e">
        <f t="shared" si="4"/>
        <v>#DIV/0!</v>
      </c>
      <c r="J15" s="249" t="e">
        <f t="shared" si="4"/>
        <v>#DIV/0!</v>
      </c>
      <c r="K15" s="249" t="e">
        <f t="shared" si="4"/>
        <v>#DIV/0!</v>
      </c>
      <c r="L15" s="249" t="e">
        <f t="shared" si="4"/>
        <v>#DIV/0!</v>
      </c>
      <c r="M15" s="249" t="e">
        <f t="shared" si="4"/>
        <v>#DIV/0!</v>
      </c>
      <c r="N15" s="249" t="e">
        <f t="shared" si="4"/>
        <v>#DIV/0!</v>
      </c>
    </row>
    <row r="16" spans="1:14" s="9" customFormat="1">
      <c r="A16" s="163" t="s">
        <v>144</v>
      </c>
      <c r="B16" s="245"/>
      <c r="C16" s="246">
        <f>'P&amp;L (направления)'!K21</f>
        <v>0</v>
      </c>
      <c r="D16" s="247">
        <f>'P&amp;L (направления)'!P21</f>
        <v>0</v>
      </c>
      <c r="E16" s="247">
        <f>'P&amp;L (направления)'!U21</f>
        <v>0</v>
      </c>
      <c r="F16" s="247">
        <f>'P&amp;L (направления)'!Z21</f>
        <v>0</v>
      </c>
      <c r="G16" s="247">
        <f>'P&amp;L (направления)'!AE21</f>
        <v>0</v>
      </c>
      <c r="H16" s="247">
        <f>'P&amp;L (направления)'!AJ21</f>
        <v>0</v>
      </c>
      <c r="I16" s="247">
        <f>'P&amp;L (направления)'!AO21</f>
        <v>0</v>
      </c>
      <c r="J16" s="247">
        <f>'P&amp;L (направления)'!AT21</f>
        <v>0</v>
      </c>
      <c r="K16" s="247">
        <f>'P&amp;L (направления)'!AY21</f>
        <v>0</v>
      </c>
      <c r="L16" s="247">
        <f>'P&amp;L (направления)'!BD21</f>
        <v>0</v>
      </c>
      <c r="M16" s="247">
        <f>'P&amp;L (направления)'!BI21</f>
        <v>0</v>
      </c>
      <c r="N16" s="247">
        <f>'P&amp;L (направления)'!BN21</f>
        <v>0</v>
      </c>
    </row>
    <row r="17" spans="1:14" s="206" customFormat="1" ht="11.25">
      <c r="A17" s="202" t="s">
        <v>142</v>
      </c>
      <c r="B17" s="248"/>
      <c r="C17" s="249">
        <f t="shared" ref="C17" si="5">C16/C8</f>
        <v>0</v>
      </c>
      <c r="D17" s="249">
        <f t="shared" si="4"/>
        <v>0</v>
      </c>
      <c r="E17" s="249">
        <f t="shared" si="4"/>
        <v>0</v>
      </c>
      <c r="F17" s="249">
        <f t="shared" si="4"/>
        <v>0</v>
      </c>
      <c r="G17" s="249">
        <f t="shared" si="4"/>
        <v>0</v>
      </c>
      <c r="H17" s="249">
        <f t="shared" si="4"/>
        <v>0</v>
      </c>
      <c r="I17" s="249" t="e">
        <f t="shared" si="4"/>
        <v>#DIV/0!</v>
      </c>
      <c r="J17" s="249" t="e">
        <f t="shared" si="4"/>
        <v>#DIV/0!</v>
      </c>
      <c r="K17" s="249" t="e">
        <f t="shared" si="4"/>
        <v>#DIV/0!</v>
      </c>
      <c r="L17" s="249" t="e">
        <f t="shared" si="4"/>
        <v>#DIV/0!</v>
      </c>
      <c r="M17" s="249" t="e">
        <f t="shared" si="4"/>
        <v>#DIV/0!</v>
      </c>
      <c r="N17" s="249" t="e">
        <f t="shared" si="4"/>
        <v>#DIV/0!</v>
      </c>
    </row>
    <row r="18" spans="1:14" s="9" customFormat="1">
      <c r="A18" s="163" t="s">
        <v>15</v>
      </c>
      <c r="B18" s="245"/>
      <c r="C18" s="246">
        <f>'P&amp;L (направления)'!K23</f>
        <v>0</v>
      </c>
      <c r="D18" s="247">
        <f>'P&amp;L (направления)'!P23</f>
        <v>15700</v>
      </c>
      <c r="E18" s="247">
        <f>'P&amp;L (направления)'!U23</f>
        <v>700</v>
      </c>
      <c r="F18" s="247">
        <f>'P&amp;L (направления)'!Z23</f>
        <v>0</v>
      </c>
      <c r="G18" s="247">
        <f>'P&amp;L (направления)'!AE23</f>
        <v>0</v>
      </c>
      <c r="H18" s="247">
        <f>'P&amp;L (направления)'!AJ23</f>
        <v>0</v>
      </c>
      <c r="I18" s="247">
        <f>'P&amp;L (направления)'!AO23</f>
        <v>0</v>
      </c>
      <c r="J18" s="247">
        <f>'P&amp;L (направления)'!AT23</f>
        <v>0</v>
      </c>
      <c r="K18" s="247">
        <f>'P&amp;L (направления)'!AY23</f>
        <v>0</v>
      </c>
      <c r="L18" s="247">
        <f>'P&amp;L (направления)'!BD23</f>
        <v>0</v>
      </c>
      <c r="M18" s="247">
        <f>'P&amp;L (направления)'!BI23</f>
        <v>0</v>
      </c>
      <c r="N18" s="247">
        <f>'P&amp;L (направления)'!BN23</f>
        <v>0</v>
      </c>
    </row>
    <row r="19" spans="1:14" s="206" customFormat="1" ht="11.25">
      <c r="A19" s="202" t="s">
        <v>140</v>
      </c>
      <c r="B19" s="248"/>
      <c r="C19" s="249">
        <f t="shared" ref="C19:N19" si="6">C18/C6</f>
        <v>0</v>
      </c>
      <c r="D19" s="249">
        <f t="shared" si="6"/>
        <v>1.3154587348135736E-2</v>
      </c>
      <c r="E19" s="249">
        <f t="shared" si="6"/>
        <v>4.4467934807466546E-4</v>
      </c>
      <c r="F19" s="249">
        <f t="shared" si="6"/>
        <v>0</v>
      </c>
      <c r="G19" s="249">
        <f t="shared" si="6"/>
        <v>0</v>
      </c>
      <c r="H19" s="249" t="e">
        <f t="shared" si="6"/>
        <v>#DIV/0!</v>
      </c>
      <c r="I19" s="249" t="e">
        <f t="shared" si="6"/>
        <v>#DIV/0!</v>
      </c>
      <c r="J19" s="249" t="e">
        <f t="shared" si="6"/>
        <v>#DIV/0!</v>
      </c>
      <c r="K19" s="249" t="e">
        <f t="shared" si="6"/>
        <v>#DIV/0!</v>
      </c>
      <c r="L19" s="249" t="e">
        <f t="shared" si="6"/>
        <v>#DIV/0!</v>
      </c>
      <c r="M19" s="249" t="e">
        <f t="shared" si="6"/>
        <v>#DIV/0!</v>
      </c>
      <c r="N19" s="249" t="e">
        <f t="shared" si="6"/>
        <v>#DIV/0!</v>
      </c>
    </row>
    <row r="20" spans="1:14" s="9" customFormat="1">
      <c r="A20" s="163" t="s">
        <v>31</v>
      </c>
      <c r="B20" s="245"/>
      <c r="C20" s="250">
        <f>'P&amp;L (направления)'!K27</f>
        <v>0</v>
      </c>
      <c r="D20" s="251">
        <f>'P&amp;L (направления)'!P27</f>
        <v>0</v>
      </c>
      <c r="E20" s="251">
        <f>'P&amp;L (направления)'!U27</f>
        <v>0</v>
      </c>
      <c r="F20" s="251">
        <f>'P&amp;L (направления)'!Z27</f>
        <v>0</v>
      </c>
      <c r="G20" s="251">
        <f>'P&amp;L (направления)'!AE27</f>
        <v>0</v>
      </c>
      <c r="H20" s="251">
        <f>'P&amp;L (направления)'!AJ27</f>
        <v>0</v>
      </c>
      <c r="I20" s="251">
        <f>'P&amp;L (направления)'!AO27</f>
        <v>0</v>
      </c>
      <c r="J20" s="251">
        <f>'P&amp;L (направления)'!AT27</f>
        <v>0</v>
      </c>
      <c r="K20" s="251">
        <f>'P&amp;L (направления)'!AY27</f>
        <v>0</v>
      </c>
      <c r="L20" s="251">
        <f>'P&amp;L (направления)'!BD27</f>
        <v>0</v>
      </c>
      <c r="M20" s="251">
        <f>'P&amp;L (направления)'!BI27</f>
        <v>0</v>
      </c>
      <c r="N20" s="251">
        <f>'P&amp;L (направления)'!BN27</f>
        <v>0</v>
      </c>
    </row>
    <row r="21" spans="1:14" s="206" customFormat="1" ht="12" thickBot="1">
      <c r="A21" s="202" t="s">
        <v>141</v>
      </c>
      <c r="B21" s="248"/>
      <c r="C21" s="249">
        <f t="shared" ref="C21:N21" si="7">C20/C6</f>
        <v>0</v>
      </c>
      <c r="D21" s="249">
        <f t="shared" si="7"/>
        <v>0</v>
      </c>
      <c r="E21" s="249">
        <f t="shared" si="7"/>
        <v>0</v>
      </c>
      <c r="F21" s="249">
        <f t="shared" si="7"/>
        <v>0</v>
      </c>
      <c r="G21" s="249">
        <f t="shared" si="7"/>
        <v>0</v>
      </c>
      <c r="H21" s="249" t="e">
        <f t="shared" si="7"/>
        <v>#DIV/0!</v>
      </c>
      <c r="I21" s="249" t="e">
        <f t="shared" si="7"/>
        <v>#DIV/0!</v>
      </c>
      <c r="J21" s="249" t="e">
        <f t="shared" si="7"/>
        <v>#DIV/0!</v>
      </c>
      <c r="K21" s="249" t="e">
        <f t="shared" si="7"/>
        <v>#DIV/0!</v>
      </c>
      <c r="L21" s="249" t="e">
        <f t="shared" si="7"/>
        <v>#DIV/0!</v>
      </c>
      <c r="M21" s="249" t="e">
        <f t="shared" si="7"/>
        <v>#DIV/0!</v>
      </c>
      <c r="N21" s="249" t="e">
        <f t="shared" si="7"/>
        <v>#DIV/0!</v>
      </c>
    </row>
    <row r="22" spans="1:14" s="9" customFormat="1" ht="15.75" thickBot="1">
      <c r="A22" s="152" t="s">
        <v>131</v>
      </c>
      <c r="B22" s="244"/>
      <c r="C22" s="189">
        <f t="shared" ref="C22:N22" si="8">C6-C11</f>
        <v>938946</v>
      </c>
      <c r="D22" s="154">
        <f t="shared" si="8"/>
        <v>1076690</v>
      </c>
      <c r="E22" s="154">
        <f t="shared" si="8"/>
        <v>1452468</v>
      </c>
      <c r="F22" s="154">
        <f t="shared" si="8"/>
        <v>1840598</v>
      </c>
      <c r="G22" s="154">
        <f t="shared" si="8"/>
        <v>1281577</v>
      </c>
      <c r="H22" s="154">
        <f t="shared" si="8"/>
        <v>0</v>
      </c>
      <c r="I22" s="154">
        <f t="shared" si="8"/>
        <v>0</v>
      </c>
      <c r="J22" s="154">
        <f t="shared" si="8"/>
        <v>0</v>
      </c>
      <c r="K22" s="154">
        <f t="shared" si="8"/>
        <v>0</v>
      </c>
      <c r="L22" s="154">
        <f t="shared" si="8"/>
        <v>0</v>
      </c>
      <c r="M22" s="154">
        <f t="shared" si="8"/>
        <v>0</v>
      </c>
      <c r="N22" s="154">
        <f t="shared" si="8"/>
        <v>0</v>
      </c>
    </row>
    <row r="23" spans="1:14" s="9" customFormat="1" ht="15.75" thickBot="1">
      <c r="A23" s="156" t="s">
        <v>132</v>
      </c>
      <c r="B23" s="252"/>
      <c r="C23" s="192">
        <f t="shared" ref="C23:N23" si="9">C22/C6</f>
        <v>0.92148749786544137</v>
      </c>
      <c r="D23" s="170">
        <f t="shared" si="9"/>
        <v>0.90212819438625891</v>
      </c>
      <c r="E23" s="170">
        <f t="shared" si="9"/>
        <v>0.92268931905616169</v>
      </c>
      <c r="F23" s="170">
        <f t="shared" si="9"/>
        <v>1</v>
      </c>
      <c r="G23" s="170">
        <f t="shared" si="9"/>
        <v>0.88451783043538579</v>
      </c>
      <c r="H23" s="170" t="e">
        <f t="shared" si="9"/>
        <v>#DIV/0!</v>
      </c>
      <c r="I23" s="170" t="e">
        <f t="shared" si="9"/>
        <v>#DIV/0!</v>
      </c>
      <c r="J23" s="170" t="e">
        <f t="shared" si="9"/>
        <v>#DIV/0!</v>
      </c>
      <c r="K23" s="170" t="e">
        <f t="shared" si="9"/>
        <v>#DIV/0!</v>
      </c>
      <c r="L23" s="170" t="e">
        <f t="shared" si="9"/>
        <v>#DIV/0!</v>
      </c>
      <c r="M23" s="170" t="e">
        <f t="shared" si="9"/>
        <v>#DIV/0!</v>
      </c>
      <c r="N23" s="170" t="e">
        <f t="shared" si="9"/>
        <v>#DIV/0!</v>
      </c>
    </row>
    <row r="24" spans="1:14" s="9" customFormat="1">
      <c r="A24" s="152" t="s">
        <v>133</v>
      </c>
      <c r="B24" s="244"/>
      <c r="C24" s="189">
        <f t="shared" ref="C24:N24" si="10">SUM(C25:C30)</f>
        <v>1010581.035</v>
      </c>
      <c r="D24" s="154">
        <f t="shared" si="10"/>
        <v>1090085.915</v>
      </c>
      <c r="E24" s="154">
        <f t="shared" si="10"/>
        <v>973415.22049777419</v>
      </c>
      <c r="F24" s="154">
        <f t="shared" si="10"/>
        <v>1135706.3305665671</v>
      </c>
      <c r="G24" s="154">
        <f t="shared" si="10"/>
        <v>1010399.56</v>
      </c>
      <c r="H24" s="154">
        <f t="shared" si="10"/>
        <v>0</v>
      </c>
      <c r="I24" s="154">
        <f t="shared" si="10"/>
        <v>0</v>
      </c>
      <c r="J24" s="154">
        <f t="shared" si="10"/>
        <v>0</v>
      </c>
      <c r="K24" s="154">
        <f t="shared" si="10"/>
        <v>0</v>
      </c>
      <c r="L24" s="154">
        <f t="shared" si="10"/>
        <v>0</v>
      </c>
      <c r="M24" s="154">
        <f t="shared" si="10"/>
        <v>0</v>
      </c>
      <c r="N24" s="154">
        <f t="shared" si="10"/>
        <v>0</v>
      </c>
    </row>
    <row r="25" spans="1:14" s="9" customFormat="1">
      <c r="A25" s="163" t="s">
        <v>24</v>
      </c>
      <c r="B25" s="245"/>
      <c r="C25" s="246">
        <f>'P&amp;L (направления)'!K32</f>
        <v>283000</v>
      </c>
      <c r="D25" s="247">
        <f>'P&amp;L (направления)'!P32</f>
        <v>295900</v>
      </c>
      <c r="E25" s="247">
        <f>'P&amp;L (направления)'!U32</f>
        <v>313000</v>
      </c>
      <c r="F25" s="247">
        <f>'P&amp;L (направления)'!Z32</f>
        <v>420872</v>
      </c>
      <c r="G25" s="247">
        <f>'P&amp;L (направления)'!AE32</f>
        <v>248455</v>
      </c>
      <c r="H25" s="247">
        <f>'P&amp;L (направления)'!AJ32</f>
        <v>0</v>
      </c>
      <c r="I25" s="247">
        <f>'P&amp;L (направления)'!AO32</f>
        <v>0</v>
      </c>
      <c r="J25" s="247">
        <f>'P&amp;L (направления)'!AT32</f>
        <v>0</v>
      </c>
      <c r="K25" s="247">
        <f>'P&amp;L (направления)'!AY32</f>
        <v>0</v>
      </c>
      <c r="L25" s="247">
        <f>'P&amp;L (направления)'!BD32</f>
        <v>0</v>
      </c>
      <c r="M25" s="247">
        <f>'P&amp;L (направления)'!BI32</f>
        <v>0</v>
      </c>
      <c r="N25" s="247">
        <f>'P&amp;L (направления)'!BN32</f>
        <v>0</v>
      </c>
    </row>
    <row r="26" spans="1:14" s="9" customFormat="1">
      <c r="A26" s="163" t="s">
        <v>35</v>
      </c>
      <c r="B26" s="245"/>
      <c r="C26" s="246">
        <f>'P&amp;L (направления)'!K33</f>
        <v>64049.264999999999</v>
      </c>
      <c r="D26" s="247">
        <f>'P&amp;L (направления)'!P33</f>
        <v>54730.285000000003</v>
      </c>
      <c r="E26" s="247">
        <f>'P&amp;L (направления)'!U33</f>
        <v>53505</v>
      </c>
      <c r="F26" s="247">
        <f>'P&amp;L (направления)'!Z33</f>
        <v>56814</v>
      </c>
      <c r="G26" s="247">
        <f>'P&amp;L (направления)'!AE33</f>
        <v>60445.96</v>
      </c>
      <c r="H26" s="247">
        <f>'P&amp;L (направления)'!AJ33</f>
        <v>0</v>
      </c>
      <c r="I26" s="247">
        <f>'P&amp;L (направления)'!AO33</f>
        <v>0</v>
      </c>
      <c r="J26" s="247">
        <f>'P&amp;L (направления)'!AT33</f>
        <v>0</v>
      </c>
      <c r="K26" s="247">
        <f>'P&amp;L (направления)'!AY33</f>
        <v>0</v>
      </c>
      <c r="L26" s="247">
        <f>'P&amp;L (направления)'!BD33</f>
        <v>0</v>
      </c>
      <c r="M26" s="247">
        <f>'P&amp;L (направления)'!BI33</f>
        <v>0</v>
      </c>
      <c r="N26" s="247">
        <f>'P&amp;L (направления)'!BN33</f>
        <v>0</v>
      </c>
    </row>
    <row r="27" spans="1:14" s="9" customFormat="1">
      <c r="A27" s="163" t="s">
        <v>23</v>
      </c>
      <c r="B27" s="245"/>
      <c r="C27" s="246">
        <f>'P&amp;L (направления)'!K34</f>
        <v>439486.77</v>
      </c>
      <c r="D27" s="247">
        <f>'P&amp;L (направления)'!P34</f>
        <v>434895.6</v>
      </c>
      <c r="E27" s="247">
        <f>'P&amp;L (направления)'!U34</f>
        <v>433603.6</v>
      </c>
      <c r="F27" s="247">
        <f>'P&amp;L (направления)'!Z34</f>
        <v>412076.6</v>
      </c>
      <c r="G27" s="247">
        <f>'P&amp;L (направления)'!AE34</f>
        <v>469076.6</v>
      </c>
      <c r="H27" s="247">
        <f>'P&amp;L (направления)'!AJ34</f>
        <v>0</v>
      </c>
      <c r="I27" s="247">
        <f>'P&amp;L (направления)'!AO34</f>
        <v>0</v>
      </c>
      <c r="J27" s="247">
        <f>'P&amp;L (направления)'!AT34</f>
        <v>0</v>
      </c>
      <c r="K27" s="247">
        <f>'P&amp;L (направления)'!AY34</f>
        <v>0</v>
      </c>
      <c r="L27" s="247">
        <f>'P&amp;L (направления)'!BD34</f>
        <v>0</v>
      </c>
      <c r="M27" s="247">
        <f>'P&amp;L (направления)'!BI34</f>
        <v>0</v>
      </c>
      <c r="N27" s="247">
        <f>'P&amp;L (направления)'!BN34</f>
        <v>0</v>
      </c>
    </row>
    <row r="28" spans="1:14" s="9" customFormat="1">
      <c r="A28" s="163" t="s">
        <v>10</v>
      </c>
      <c r="B28" s="245"/>
      <c r="C28" s="246">
        <f>'P&amp;L (направления)'!K35</f>
        <v>3645</v>
      </c>
      <c r="D28" s="247">
        <f>'P&amp;L (направления)'!P35</f>
        <v>1189</v>
      </c>
      <c r="E28" s="247">
        <f>'P&amp;L (направления)'!U35</f>
        <v>2006</v>
      </c>
      <c r="F28" s="247">
        <f>'P&amp;L (направления)'!Z35</f>
        <v>712</v>
      </c>
      <c r="G28" s="247">
        <f>'P&amp;L (направления)'!AE35</f>
        <v>8622</v>
      </c>
      <c r="H28" s="247">
        <f>'P&amp;L (направления)'!AJ35</f>
        <v>0</v>
      </c>
      <c r="I28" s="247">
        <f>'P&amp;L (направления)'!AO35</f>
        <v>0</v>
      </c>
      <c r="J28" s="247">
        <f>'P&amp;L (направления)'!AT35</f>
        <v>0</v>
      </c>
      <c r="K28" s="247">
        <f>'P&amp;L (направления)'!AY35</f>
        <v>0</v>
      </c>
      <c r="L28" s="247">
        <f>'P&amp;L (направления)'!BD35</f>
        <v>0</v>
      </c>
      <c r="M28" s="247">
        <f>'P&amp;L (направления)'!BI35</f>
        <v>0</v>
      </c>
      <c r="N28" s="247">
        <f>'P&amp;L (направления)'!BN35</f>
        <v>0</v>
      </c>
    </row>
    <row r="29" spans="1:14" s="9" customFormat="1">
      <c r="A29" s="163"/>
      <c r="B29" s="245"/>
      <c r="C29" s="246">
        <f>'P&amp;L (направления)'!K44</f>
        <v>9400</v>
      </c>
      <c r="D29" s="247">
        <f>'P&amp;L (направления)'!P44</f>
        <v>92371.03</v>
      </c>
      <c r="E29" s="247">
        <f>'P&amp;L (направления)'!U44</f>
        <v>10154.94</v>
      </c>
      <c r="F29" s="247">
        <f>'P&amp;L (направления)'!Z44</f>
        <v>14000</v>
      </c>
      <c r="G29" s="247">
        <f>'P&amp;L (направления)'!AE44</f>
        <v>41800</v>
      </c>
      <c r="H29" s="247">
        <f>'P&amp;L (направления)'!AJ44</f>
        <v>0</v>
      </c>
      <c r="I29" s="247">
        <f>'P&amp;L (направления)'!AO44</f>
        <v>0</v>
      </c>
      <c r="J29" s="247">
        <f>'P&amp;L (направления)'!AT44</f>
        <v>0</v>
      </c>
      <c r="K29" s="247">
        <f>'P&amp;L (направления)'!AY44</f>
        <v>0</v>
      </c>
      <c r="L29" s="247">
        <f>'P&amp;L (направления)'!BD44</f>
        <v>0</v>
      </c>
      <c r="M29" s="247">
        <f>'P&amp;L (направления)'!BI44</f>
        <v>0</v>
      </c>
      <c r="N29" s="247">
        <f>'P&amp;L (направления)'!BN44</f>
        <v>0</v>
      </c>
    </row>
    <row r="30" spans="1:14" s="9" customFormat="1" ht="15.75" thickBot="1">
      <c r="A30" s="163"/>
      <c r="B30" s="245"/>
      <c r="C30" s="246">
        <f>'P&amp;L (направления)'!K45</f>
        <v>211000</v>
      </c>
      <c r="D30" s="247">
        <f>'P&amp;L (направления)'!P45</f>
        <v>211000</v>
      </c>
      <c r="E30" s="247">
        <f>'P&amp;L (направления)'!U45</f>
        <v>161145.68049777433</v>
      </c>
      <c r="F30" s="247">
        <f>'P&amp;L (направления)'!Z45</f>
        <v>231231.73056656707</v>
      </c>
      <c r="G30" s="247">
        <f>'P&amp;L (направления)'!AE45</f>
        <v>182000</v>
      </c>
      <c r="H30" s="247">
        <f>'P&amp;L (направления)'!AJ45</f>
        <v>0</v>
      </c>
      <c r="I30" s="247">
        <f>'P&amp;L (направления)'!AO45</f>
        <v>0</v>
      </c>
      <c r="J30" s="247">
        <f>'P&amp;L (направления)'!AT45</f>
        <v>0</v>
      </c>
      <c r="K30" s="247">
        <f>'P&amp;L (направления)'!AY45</f>
        <v>0</v>
      </c>
      <c r="L30" s="247">
        <f>'P&amp;L (направления)'!BD45</f>
        <v>0</v>
      </c>
      <c r="M30" s="247">
        <f>'P&amp;L (направления)'!BI45</f>
        <v>0</v>
      </c>
      <c r="N30" s="247">
        <f>'P&amp;L (направления)'!BN45</f>
        <v>0</v>
      </c>
    </row>
    <row r="31" spans="1:14" s="9" customFormat="1">
      <c r="A31" s="152" t="s">
        <v>135</v>
      </c>
      <c r="B31" s="253">
        <f>SUM(C31:N31)</f>
        <v>1370090.9389356584</v>
      </c>
      <c r="C31" s="189">
        <f t="shared" ref="C31:N31" si="11">C22-C24</f>
        <v>-71635.035000000033</v>
      </c>
      <c r="D31" s="154">
        <f t="shared" si="11"/>
        <v>-13395.915000000037</v>
      </c>
      <c r="E31" s="154">
        <f t="shared" si="11"/>
        <v>479052.77950222581</v>
      </c>
      <c r="F31" s="154">
        <f t="shared" si="11"/>
        <v>704891.66943343286</v>
      </c>
      <c r="G31" s="154">
        <f t="shared" si="11"/>
        <v>271177.43999999994</v>
      </c>
      <c r="H31" s="154">
        <f t="shared" si="11"/>
        <v>0</v>
      </c>
      <c r="I31" s="154">
        <f t="shared" si="11"/>
        <v>0</v>
      </c>
      <c r="J31" s="154">
        <f t="shared" si="11"/>
        <v>0</v>
      </c>
      <c r="K31" s="154">
        <f t="shared" si="11"/>
        <v>0</v>
      </c>
      <c r="L31" s="154">
        <f t="shared" si="11"/>
        <v>0</v>
      </c>
      <c r="M31" s="154">
        <f t="shared" si="11"/>
        <v>0</v>
      </c>
      <c r="N31" s="154">
        <f t="shared" si="11"/>
        <v>0</v>
      </c>
    </row>
    <row r="32" spans="1:14" s="9" customFormat="1">
      <c r="A32" s="254" t="s">
        <v>136</v>
      </c>
      <c r="B32" s="252"/>
      <c r="C32" s="255">
        <f t="shared" ref="C32:N32" si="12">C31/C6</f>
        <v>-7.0303072979333581E-2</v>
      </c>
      <c r="D32" s="252">
        <f t="shared" si="12"/>
        <v>-1.1224059488898229E-2</v>
      </c>
      <c r="E32" s="252">
        <f t="shared" si="12"/>
        <v>0.30432125383200892</v>
      </c>
      <c r="F32" s="252">
        <f t="shared" si="12"/>
        <v>0.38296883373416296</v>
      </c>
      <c r="G32" s="252">
        <f t="shared" si="12"/>
        <v>0.1871610374498153</v>
      </c>
      <c r="H32" s="252" t="e">
        <f t="shared" si="12"/>
        <v>#DIV/0!</v>
      </c>
      <c r="I32" s="252" t="e">
        <f t="shared" si="12"/>
        <v>#DIV/0!</v>
      </c>
      <c r="J32" s="252" t="e">
        <f t="shared" si="12"/>
        <v>#DIV/0!</v>
      </c>
      <c r="K32" s="252" t="e">
        <f t="shared" si="12"/>
        <v>#DIV/0!</v>
      </c>
      <c r="L32" s="252" t="e">
        <f t="shared" si="12"/>
        <v>#DIV/0!</v>
      </c>
      <c r="M32" s="252" t="e">
        <f t="shared" si="12"/>
        <v>#DIV/0!</v>
      </c>
      <c r="N32" s="252" t="e">
        <f t="shared" si="12"/>
        <v>#DIV/0!</v>
      </c>
    </row>
  </sheetData>
  <mergeCells count="1">
    <mergeCell ref="A3:A4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M5"/>
  <sheetViews>
    <sheetView workbookViewId="0">
      <selection activeCell="F15" sqref="F15"/>
    </sheetView>
  </sheetViews>
  <sheetFormatPr defaultRowHeight="15"/>
  <cols>
    <col min="1" max="1" width="17.5703125" customWidth="1"/>
  </cols>
  <sheetData>
    <row r="1" spans="1:13">
      <c r="A1" t="s">
        <v>167</v>
      </c>
      <c r="B1" t="s">
        <v>1</v>
      </c>
      <c r="C1" t="s">
        <v>38</v>
      </c>
      <c r="D1" t="s">
        <v>39</v>
      </c>
      <c r="E1" t="s">
        <v>40</v>
      </c>
      <c r="F1" t="s">
        <v>41</v>
      </c>
      <c r="G1" t="s">
        <v>42</v>
      </c>
      <c r="H1" t="s">
        <v>43</v>
      </c>
      <c r="I1" t="s">
        <v>44</v>
      </c>
      <c r="J1" t="s">
        <v>45</v>
      </c>
      <c r="K1" t="s">
        <v>46</v>
      </c>
      <c r="L1" t="s">
        <v>47</v>
      </c>
      <c r="M1" t="s">
        <v>48</v>
      </c>
    </row>
    <row r="2" spans="1:13">
      <c r="A2" t="s">
        <v>16</v>
      </c>
      <c r="B2" s="263">
        <f>'Оценка ТС'!C6</f>
        <v>556274</v>
      </c>
      <c r="C2" s="263">
        <f>'Оценка ТС'!D6</f>
        <v>614566</v>
      </c>
      <c r="D2" s="263">
        <f>'Оценка ТС'!E6</f>
        <v>667590</v>
      </c>
      <c r="E2" s="263">
        <f>'Оценка ТС'!F6</f>
        <v>518910</v>
      </c>
      <c r="F2" s="263">
        <f>'Оценка ТС'!G6</f>
        <v>400237</v>
      </c>
      <c r="G2" s="263">
        <f>'Оценка ТС'!H6</f>
        <v>0</v>
      </c>
      <c r="H2" s="263">
        <f>'Оценка ТС'!I6</f>
        <v>0</v>
      </c>
      <c r="I2" s="263">
        <f>'Оценка ТС'!J6</f>
        <v>0</v>
      </c>
      <c r="J2" s="263">
        <f>'Оценка ТС'!K6</f>
        <v>0</v>
      </c>
      <c r="K2" s="263">
        <f>'Оценка ТС'!L6</f>
        <v>0</v>
      </c>
      <c r="L2" s="263">
        <f>'Оценка ТС'!M6</f>
        <v>0</v>
      </c>
      <c r="M2" s="263">
        <f>'Оценка ТС'!N6</f>
        <v>0</v>
      </c>
    </row>
    <row r="3" spans="1:13">
      <c r="A3" t="s">
        <v>177</v>
      </c>
      <c r="B3" s="263">
        <f>'Оценка Имущ'!C6</f>
        <v>83900</v>
      </c>
      <c r="C3" s="263">
        <f>'Оценка Имущ'!D6</f>
        <v>219700</v>
      </c>
      <c r="D3" s="263">
        <f>'Оценка Имущ'!E6</f>
        <v>266800</v>
      </c>
      <c r="E3" s="263">
        <f>'Оценка Имущ'!F6</f>
        <v>108600</v>
      </c>
      <c r="F3" s="263">
        <f>'Оценка Имущ'!G6</f>
        <v>301050</v>
      </c>
      <c r="G3" s="263">
        <f>'Оценка Имущ'!H6</f>
        <v>0</v>
      </c>
      <c r="H3" s="263">
        <f>'Оценка Имущ'!I6</f>
        <v>0</v>
      </c>
      <c r="I3" s="263">
        <f>'Оценка Имущ'!J6</f>
        <v>0</v>
      </c>
      <c r="J3" s="263">
        <f>'Оценка Имущ'!K6</f>
        <v>0</v>
      </c>
      <c r="K3" s="263">
        <f>'Оценка Имущ'!L6</f>
        <v>0</v>
      </c>
      <c r="L3" s="263">
        <f>'Оценка Имущ'!M6</f>
        <v>0</v>
      </c>
      <c r="M3" s="263">
        <f>'Оценка Имущ'!N6</f>
        <v>0</v>
      </c>
    </row>
    <row r="4" spans="1:13">
      <c r="A4" t="s">
        <v>173</v>
      </c>
      <c r="B4" s="263">
        <f>АваркомКарты!C6</f>
        <v>1234810</v>
      </c>
      <c r="C4" s="263">
        <f>АваркомКарты!D6</f>
        <v>1292567</v>
      </c>
      <c r="D4" s="263">
        <f>АваркомКарты!E6</f>
        <v>1613792</v>
      </c>
      <c r="E4" s="263">
        <f>АваркомКарты!F6</f>
        <v>891000</v>
      </c>
      <c r="F4" s="263">
        <f>АваркомКарты!G6</f>
        <v>787930</v>
      </c>
      <c r="G4" s="263">
        <f>АваркомКарты!H6</f>
        <v>0</v>
      </c>
      <c r="H4" s="263">
        <f>АваркомКарты!I6</f>
        <v>0</v>
      </c>
      <c r="I4" s="263">
        <f>АваркомКарты!J6</f>
        <v>0</v>
      </c>
      <c r="J4" s="263">
        <f>АваркомКарты!K6</f>
        <v>0</v>
      </c>
      <c r="K4" s="263">
        <f>АваркомКарты!L6</f>
        <v>0</v>
      </c>
      <c r="L4" s="263">
        <f>АваркомКарты!M6</f>
        <v>0</v>
      </c>
      <c r="M4" s="263">
        <f>АваркомКарты!N6</f>
        <v>0</v>
      </c>
    </row>
    <row r="5" spans="1:13">
      <c r="A5" t="s">
        <v>19</v>
      </c>
      <c r="B5" s="263">
        <f>Эксперт!C6</f>
        <v>1018946</v>
      </c>
      <c r="C5" s="263">
        <f>Эксперт!D6</f>
        <v>1193500</v>
      </c>
      <c r="D5" s="263">
        <f>Эксперт!E6</f>
        <v>1574168</v>
      </c>
      <c r="E5" s="263">
        <f>Эксперт!F6</f>
        <v>1840598</v>
      </c>
      <c r="F5" s="263">
        <f>Эксперт!G6</f>
        <v>1448899</v>
      </c>
      <c r="G5" s="263">
        <f>Эксперт!H6</f>
        <v>0</v>
      </c>
      <c r="H5" s="263">
        <f>Эксперт!I6</f>
        <v>0</v>
      </c>
      <c r="I5" s="263">
        <f>Эксперт!J6</f>
        <v>0</v>
      </c>
      <c r="J5" s="263">
        <f>Эксперт!K6</f>
        <v>0</v>
      </c>
      <c r="K5" s="263">
        <f>Эксперт!L6</f>
        <v>0</v>
      </c>
      <c r="L5" s="263">
        <f>Эксперт!M6</f>
        <v>0</v>
      </c>
      <c r="M5" s="263">
        <f>Эксперт!N6</f>
        <v>0</v>
      </c>
    </row>
  </sheetData>
  <phoneticPr fontId="47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4">
    <outlinePr summaryBelow="0" summaryRight="0"/>
  </sheetPr>
  <dimension ref="A1:AS54"/>
  <sheetViews>
    <sheetView topLeftCell="A3" zoomScaleNormal="100" workbookViewId="0">
      <pane xSplit="1" ySplit="8" topLeftCell="B17" activePane="bottomRight" state="frozen"/>
      <selection activeCell="A3" sqref="A3"/>
      <selection pane="topRight" activeCell="B3" sqref="B3"/>
      <selection pane="bottomLeft" activeCell="A11" sqref="A11"/>
      <selection pane="bottomRight" activeCell="D33" sqref="D33"/>
    </sheetView>
  </sheetViews>
  <sheetFormatPr defaultColWidth="9.140625" defaultRowHeight="15" outlineLevelRow="1" outlineLevelCol="1"/>
  <cols>
    <col min="1" max="1" width="34.140625" style="6" customWidth="1"/>
    <col min="2" max="2" width="10.5703125" style="7" customWidth="1"/>
    <col min="3" max="6" width="10.5703125" style="7" customWidth="1" outlineLevel="1"/>
    <col min="7" max="7" width="10.5703125" style="7" customWidth="1"/>
    <col min="8" max="11" width="10.5703125" style="7" customWidth="1" outlineLevel="1"/>
    <col min="12" max="12" width="9.85546875" style="7" bestFit="1" customWidth="1"/>
    <col min="13" max="16" width="9.140625" style="7" customWidth="1" outlineLevel="1"/>
    <col min="17" max="17" width="9.140625" style="7"/>
    <col min="18" max="21" width="9.140625" style="7" customWidth="1" outlineLevel="1"/>
    <col min="22" max="22" width="9.140625" style="7"/>
    <col min="23" max="26" width="9.140625" style="7" customWidth="1" outlineLevel="1"/>
    <col min="27" max="27" width="9.140625" style="7"/>
    <col min="28" max="31" width="9.140625" style="7" customWidth="1" outlineLevel="1"/>
    <col min="32" max="32" width="9.140625" style="7"/>
    <col min="33" max="36" width="9.140625" style="7" customWidth="1" outlineLevel="1"/>
    <col min="37" max="37" width="9.140625" style="7"/>
    <col min="38" max="41" width="9.140625" style="7" customWidth="1" outlineLevel="1"/>
    <col min="42" max="42" width="9.140625" style="7"/>
    <col min="43" max="43" width="11.42578125" style="7" bestFit="1" customWidth="1"/>
    <col min="44" max="44" width="9.85546875" style="7" bestFit="1" customWidth="1"/>
    <col min="45" max="16384" width="9.140625" style="7"/>
  </cols>
  <sheetData>
    <row r="1" spans="1:41" s="2" customFormat="1" ht="25.5" customHeight="1">
      <c r="A1" s="1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  <c r="AK1" s="5"/>
    </row>
    <row r="2" spans="1:41" ht="15.75" thickBot="1"/>
    <row r="3" spans="1:41" s="8" customFormat="1" ht="15.95" customHeight="1" thickBot="1">
      <c r="A3" s="294" t="s">
        <v>129</v>
      </c>
      <c r="B3" s="291" t="s">
        <v>1</v>
      </c>
      <c r="C3" s="292"/>
      <c r="D3" s="292"/>
      <c r="E3" s="292"/>
      <c r="F3" s="293"/>
      <c r="G3" s="291" t="s">
        <v>38</v>
      </c>
      <c r="H3" s="292"/>
      <c r="I3" s="292"/>
      <c r="J3" s="292"/>
      <c r="K3" s="293"/>
      <c r="L3" s="291" t="s">
        <v>39</v>
      </c>
      <c r="M3" s="292"/>
      <c r="N3" s="292"/>
      <c r="O3" s="292"/>
      <c r="P3" s="293"/>
      <c r="Q3" s="291" t="s">
        <v>40</v>
      </c>
      <c r="R3" s="292"/>
      <c r="S3" s="292"/>
      <c r="T3" s="292"/>
      <c r="U3" s="293"/>
      <c r="V3" s="291" t="s">
        <v>41</v>
      </c>
      <c r="W3" s="292"/>
      <c r="X3" s="292"/>
      <c r="Y3" s="292"/>
      <c r="Z3" s="293"/>
      <c r="AA3" s="291" t="s">
        <v>42</v>
      </c>
      <c r="AB3" s="292"/>
      <c r="AC3" s="292"/>
      <c r="AD3" s="292"/>
      <c r="AE3" s="293"/>
      <c r="AF3" s="291" t="s">
        <v>43</v>
      </c>
      <c r="AG3" s="292"/>
      <c r="AH3" s="292"/>
      <c r="AI3" s="292"/>
      <c r="AJ3" s="293"/>
      <c r="AK3" s="291" t="s">
        <v>44</v>
      </c>
      <c r="AL3" s="292"/>
      <c r="AM3" s="292"/>
      <c r="AN3" s="292"/>
      <c r="AO3" s="293"/>
    </row>
    <row r="4" spans="1:41" s="8" customFormat="1" ht="15" customHeight="1" thickBot="1">
      <c r="A4" s="295"/>
      <c r="B4" s="149" t="s">
        <v>21</v>
      </c>
      <c r="C4" s="150" t="s">
        <v>16</v>
      </c>
      <c r="D4" s="150" t="s">
        <v>17</v>
      </c>
      <c r="E4" s="150" t="s">
        <v>18</v>
      </c>
      <c r="F4" s="151" t="s">
        <v>19</v>
      </c>
      <c r="G4" s="149" t="s">
        <v>21</v>
      </c>
      <c r="H4" s="150" t="s">
        <v>16</v>
      </c>
      <c r="I4" s="150" t="s">
        <v>17</v>
      </c>
      <c r="J4" s="150" t="s">
        <v>18</v>
      </c>
      <c r="K4" s="151" t="s">
        <v>19</v>
      </c>
      <c r="L4" s="149" t="s">
        <v>21</v>
      </c>
      <c r="M4" s="150" t="s">
        <v>16</v>
      </c>
      <c r="N4" s="150" t="s">
        <v>17</v>
      </c>
      <c r="O4" s="150" t="s">
        <v>18</v>
      </c>
      <c r="P4" s="151" t="s">
        <v>19</v>
      </c>
      <c r="Q4" s="149" t="s">
        <v>21</v>
      </c>
      <c r="R4" s="150" t="s">
        <v>16</v>
      </c>
      <c r="S4" s="150" t="s">
        <v>17</v>
      </c>
      <c r="T4" s="150" t="s">
        <v>18</v>
      </c>
      <c r="U4" s="151" t="s">
        <v>19</v>
      </c>
      <c r="V4" s="149" t="s">
        <v>21</v>
      </c>
      <c r="W4" s="150" t="s">
        <v>16</v>
      </c>
      <c r="X4" s="150" t="s">
        <v>17</v>
      </c>
      <c r="Y4" s="150" t="s">
        <v>18</v>
      </c>
      <c r="Z4" s="151" t="s">
        <v>19</v>
      </c>
      <c r="AA4" s="149" t="s">
        <v>21</v>
      </c>
      <c r="AB4" s="150" t="s">
        <v>16</v>
      </c>
      <c r="AC4" s="150" t="s">
        <v>17</v>
      </c>
      <c r="AD4" s="150" t="s">
        <v>18</v>
      </c>
      <c r="AE4" s="151" t="s">
        <v>19</v>
      </c>
      <c r="AF4" s="149" t="s">
        <v>21</v>
      </c>
      <c r="AG4" s="150" t="s">
        <v>16</v>
      </c>
      <c r="AH4" s="150" t="s">
        <v>17</v>
      </c>
      <c r="AI4" s="150" t="s">
        <v>18</v>
      </c>
      <c r="AJ4" s="151" t="s">
        <v>19</v>
      </c>
      <c r="AK4" s="149" t="s">
        <v>21</v>
      </c>
      <c r="AL4" s="150" t="s">
        <v>16</v>
      </c>
      <c r="AM4" s="150" t="s">
        <v>17</v>
      </c>
      <c r="AN4" s="150" t="s">
        <v>18</v>
      </c>
      <c r="AO4" s="151" t="s">
        <v>19</v>
      </c>
    </row>
    <row r="5" spans="1:41" s="9" customFormat="1" ht="15.75" thickBot="1">
      <c r="A5" s="104" t="s">
        <v>124</v>
      </c>
      <c r="B5" s="139">
        <f>SUM(C5:F5)</f>
        <v>3500000</v>
      </c>
      <c r="C5" s="10">
        <v>800000</v>
      </c>
      <c r="D5" s="10">
        <v>250000</v>
      </c>
      <c r="E5" s="10">
        <v>1250000</v>
      </c>
      <c r="F5" s="105">
        <v>1200000</v>
      </c>
      <c r="G5" s="139">
        <f>SUM(H5:K5)</f>
        <v>4050000</v>
      </c>
      <c r="H5" s="10">
        <v>900000</v>
      </c>
      <c r="I5" s="10">
        <v>300000</v>
      </c>
      <c r="J5" s="10">
        <v>1450000</v>
      </c>
      <c r="K5" s="105">
        <v>1400000</v>
      </c>
      <c r="L5" s="139">
        <f>SUM(M5:P5)</f>
        <v>4600000</v>
      </c>
      <c r="M5" s="10">
        <v>900000</v>
      </c>
      <c r="N5" s="10">
        <v>350000</v>
      </c>
      <c r="O5" s="10">
        <v>1650000</v>
      </c>
      <c r="P5" s="105">
        <v>1700000</v>
      </c>
      <c r="Q5" s="139">
        <f>SUM(R5:U5)</f>
        <v>4630000</v>
      </c>
      <c r="R5" s="10">
        <v>1000000</v>
      </c>
      <c r="S5" s="10">
        <v>380000</v>
      </c>
      <c r="T5" s="10">
        <v>1750000</v>
      </c>
      <c r="U5" s="105">
        <v>1500000</v>
      </c>
      <c r="V5" s="139">
        <f>SUM(W5:Z5)</f>
        <v>4640000</v>
      </c>
      <c r="W5" s="10">
        <v>1100000</v>
      </c>
      <c r="X5" s="10">
        <v>420000</v>
      </c>
      <c r="Y5" s="10">
        <v>1620000</v>
      </c>
      <c r="Z5" s="105">
        <v>1500000</v>
      </c>
      <c r="AA5" s="139">
        <f>SUM(AB5:AE5)</f>
        <v>4640000</v>
      </c>
      <c r="AB5" s="10">
        <v>1100000</v>
      </c>
      <c r="AC5" s="10">
        <v>420000</v>
      </c>
      <c r="AD5" s="10">
        <v>1620000</v>
      </c>
      <c r="AE5" s="105">
        <v>1500000</v>
      </c>
      <c r="AF5" s="139">
        <f>SUM(AG5:AJ5)</f>
        <v>4640000</v>
      </c>
      <c r="AG5" s="10">
        <v>1100000</v>
      </c>
      <c r="AH5" s="10">
        <v>420000</v>
      </c>
      <c r="AI5" s="10">
        <v>1620000</v>
      </c>
      <c r="AJ5" s="105">
        <v>1500000</v>
      </c>
      <c r="AK5" s="139">
        <f>SUM(AL5:AO5)</f>
        <v>0</v>
      </c>
      <c r="AL5" s="10"/>
      <c r="AM5" s="10"/>
      <c r="AN5" s="10"/>
      <c r="AO5" s="105"/>
    </row>
    <row r="6" spans="1:41" s="9" customFormat="1" ht="15.75" thickBot="1">
      <c r="A6" s="165" t="s">
        <v>125</v>
      </c>
      <c r="B6" s="166">
        <f>SUM(C6:F6)</f>
        <v>3024359</v>
      </c>
      <c r="C6" s="167">
        <v>827936</v>
      </c>
      <c r="D6" s="167">
        <v>102800</v>
      </c>
      <c r="E6" s="167">
        <v>1177950</v>
      </c>
      <c r="F6" s="168">
        <v>915673</v>
      </c>
      <c r="G6" s="166">
        <f>SUM(H6:K6)</f>
        <v>3173563</v>
      </c>
      <c r="H6" s="167">
        <v>790563</v>
      </c>
      <c r="I6" s="167">
        <v>166875</v>
      </c>
      <c r="J6" s="167">
        <v>1199280</v>
      </c>
      <c r="K6" s="168">
        <v>1016845</v>
      </c>
      <c r="L6" s="166">
        <f>SUM(M6:P6)</f>
        <v>3518747</v>
      </c>
      <c r="M6" s="167">
        <v>682540</v>
      </c>
      <c r="N6" s="167">
        <v>205300</v>
      </c>
      <c r="O6" s="167">
        <v>1167230</v>
      </c>
      <c r="P6" s="168">
        <v>1463677</v>
      </c>
      <c r="Q6" s="166">
        <f>SUM(R6:U6)</f>
        <v>3576086</v>
      </c>
      <c r="R6" s="167">
        <v>395525</v>
      </c>
      <c r="S6" s="167">
        <v>182000</v>
      </c>
      <c r="T6" s="167">
        <v>1041625</v>
      </c>
      <c r="U6" s="168">
        <v>1956936</v>
      </c>
      <c r="V6" s="166">
        <f>SUM(W6:Z6)</f>
        <v>3080121</v>
      </c>
      <c r="W6" s="167">
        <v>415060</v>
      </c>
      <c r="X6" s="167">
        <v>200600</v>
      </c>
      <c r="Y6" s="167">
        <v>912680</v>
      </c>
      <c r="Z6" s="168">
        <v>1551781</v>
      </c>
      <c r="AA6" s="166">
        <f>SUM(AB6:AE6)</f>
        <v>2993168</v>
      </c>
      <c r="AB6" s="115">
        <v>307657</v>
      </c>
      <c r="AC6" s="115">
        <v>120895</v>
      </c>
      <c r="AD6" s="115">
        <v>943150</v>
      </c>
      <c r="AE6" s="116">
        <v>1621466</v>
      </c>
      <c r="AF6" s="166">
        <f>SUM(AG6:AJ6)</f>
        <v>3267012</v>
      </c>
      <c r="AG6" s="115">
        <v>455946</v>
      </c>
      <c r="AH6" s="115">
        <v>202850</v>
      </c>
      <c r="AI6" s="115">
        <v>986750</v>
      </c>
      <c r="AJ6" s="116">
        <v>1621466</v>
      </c>
      <c r="AK6" s="166">
        <f>SUM(AL6:AO6)</f>
        <v>0</v>
      </c>
      <c r="AL6" s="115"/>
      <c r="AM6" s="115"/>
      <c r="AN6" s="115"/>
      <c r="AO6" s="116"/>
    </row>
    <row r="7" spans="1:41" s="9" customFormat="1" ht="15.75" hidden="1" thickBot="1">
      <c r="A7" s="117" t="s">
        <v>2</v>
      </c>
      <c r="B7" s="118">
        <v>4014</v>
      </c>
      <c r="C7" s="119" t="e">
        <v>#REF!</v>
      </c>
      <c r="D7" s="119" t="e">
        <v>#REF!</v>
      </c>
      <c r="E7" s="119">
        <v>4458</v>
      </c>
      <c r="F7" s="120" t="e">
        <v>#REF!</v>
      </c>
      <c r="G7" s="118" t="e">
        <v>#REF!</v>
      </c>
      <c r="H7" s="119">
        <v>8566</v>
      </c>
      <c r="I7" s="119">
        <v>8566</v>
      </c>
      <c r="J7" s="119" t="e">
        <v>#REF!</v>
      </c>
      <c r="K7" s="120">
        <v>6928</v>
      </c>
      <c r="L7" s="118" t="e">
        <v>#REF!</v>
      </c>
      <c r="M7" s="119" t="e">
        <v>#REF!</v>
      </c>
      <c r="N7" s="119" t="e">
        <v>#REF!</v>
      </c>
      <c r="O7" s="119">
        <v>7663</v>
      </c>
      <c r="P7" s="120" t="e">
        <v>#REF!</v>
      </c>
      <c r="Q7" s="118" t="e">
        <v>#REF!</v>
      </c>
      <c r="R7" s="119" t="e">
        <v>#REF!</v>
      </c>
      <c r="S7" s="119" t="e">
        <v>#REF!</v>
      </c>
      <c r="T7" s="119" t="e">
        <v>#REF!</v>
      </c>
      <c r="U7" s="120" t="e">
        <v>#REF!</v>
      </c>
      <c r="V7" s="118" t="e">
        <v>#REF!</v>
      </c>
      <c r="W7" s="119" t="e">
        <v>#REF!</v>
      </c>
      <c r="X7" s="119" t="e">
        <v>#REF!</v>
      </c>
      <c r="Y7" s="119" t="e">
        <v>#REF!</v>
      </c>
      <c r="Z7" s="120" t="e">
        <v>#REF!</v>
      </c>
      <c r="AA7" s="118">
        <v>0</v>
      </c>
      <c r="AB7" s="119" t="e">
        <v>#REF!</v>
      </c>
      <c r="AC7" s="119" t="e">
        <v>#REF!</v>
      </c>
      <c r="AD7" s="119" t="e">
        <v>#REF!</v>
      </c>
      <c r="AE7" s="120" t="e">
        <v>#REF!</v>
      </c>
      <c r="AF7" s="118" t="e">
        <v>#REF!</v>
      </c>
      <c r="AG7" s="119" t="e">
        <v>#REF!</v>
      </c>
      <c r="AH7" s="119" t="e">
        <v>#REF!</v>
      </c>
      <c r="AI7" s="119" t="e">
        <v>#REF!</v>
      </c>
      <c r="AJ7" s="120" t="e">
        <v>#REF!</v>
      </c>
      <c r="AK7" s="118" t="e">
        <v>#REF!</v>
      </c>
      <c r="AL7" s="119" t="e">
        <v>#REF!</v>
      </c>
      <c r="AM7" s="119" t="e">
        <v>#REF!</v>
      </c>
      <c r="AN7" s="119" t="e">
        <v>#REF!</v>
      </c>
      <c r="AO7" s="120" t="e">
        <v>#REF!</v>
      </c>
    </row>
    <row r="8" spans="1:41" s="9" customFormat="1" ht="15.75" hidden="1" thickBot="1">
      <c r="A8" s="121" t="s">
        <v>3</v>
      </c>
      <c r="B8" s="122">
        <f>B6-B5</f>
        <v>-475641</v>
      </c>
      <c r="C8" s="123">
        <f>C6-C5</f>
        <v>27936</v>
      </c>
      <c r="D8" s="123">
        <f>D6-D5</f>
        <v>-147200</v>
      </c>
      <c r="E8" s="123">
        <f t="shared" ref="E8:F8" si="0">E6-E5</f>
        <v>-72050</v>
      </c>
      <c r="F8" s="124">
        <f t="shared" si="0"/>
        <v>-284327</v>
      </c>
      <c r="G8" s="122">
        <f>G6-G5</f>
        <v>-876437</v>
      </c>
      <c r="H8" s="123">
        <f>H6-H5</f>
        <v>-109437</v>
      </c>
      <c r="I8" s="123">
        <f>I6-I5</f>
        <v>-133125</v>
      </c>
      <c r="J8" s="123">
        <f t="shared" ref="J8:K8" si="1">J6-J5</f>
        <v>-250720</v>
      </c>
      <c r="K8" s="124">
        <f t="shared" si="1"/>
        <v>-383155</v>
      </c>
      <c r="L8" s="122">
        <f>L6-L5</f>
        <v>-1081253</v>
      </c>
      <c r="M8" s="123">
        <f>M6-M5</f>
        <v>-217460</v>
      </c>
      <c r="N8" s="123">
        <f>N6-N5</f>
        <v>-144700</v>
      </c>
      <c r="O8" s="123">
        <f t="shared" ref="O8:P8" si="2">O6-O5</f>
        <v>-482770</v>
      </c>
      <c r="P8" s="124">
        <f t="shared" si="2"/>
        <v>-236323</v>
      </c>
      <c r="Q8" s="122">
        <f>Q6-Q5</f>
        <v>-1053914</v>
      </c>
      <c r="R8" s="123">
        <f>R6-R5</f>
        <v>-604475</v>
      </c>
      <c r="S8" s="123">
        <f>S6-S5</f>
        <v>-198000</v>
      </c>
      <c r="T8" s="123">
        <f t="shared" ref="T8:U8" si="3">T6-T5</f>
        <v>-708375</v>
      </c>
      <c r="U8" s="124">
        <f t="shared" si="3"/>
        <v>456936</v>
      </c>
      <c r="V8" s="122">
        <f>V6-V5</f>
        <v>-1559879</v>
      </c>
      <c r="W8" s="123">
        <f>W6-W5</f>
        <v>-684940</v>
      </c>
      <c r="X8" s="123">
        <f>X6-X5</f>
        <v>-219400</v>
      </c>
      <c r="Y8" s="123">
        <f t="shared" ref="Y8:Z8" si="4">Y6-Y5</f>
        <v>-707320</v>
      </c>
      <c r="Z8" s="124">
        <f t="shared" si="4"/>
        <v>51781</v>
      </c>
      <c r="AA8" s="122">
        <f>AA6-AA5</f>
        <v>-1646832</v>
      </c>
      <c r="AB8" s="123">
        <f>AB6-AB5</f>
        <v>-792343</v>
      </c>
      <c r="AC8" s="123">
        <f>AC6-AC5</f>
        <v>-299105</v>
      </c>
      <c r="AD8" s="123">
        <f t="shared" ref="AD8:AE8" si="5">AD6-AD5</f>
        <v>-676850</v>
      </c>
      <c r="AE8" s="124">
        <f t="shared" si="5"/>
        <v>121466</v>
      </c>
      <c r="AF8" s="122">
        <f>AF6-AF5</f>
        <v>-1372988</v>
      </c>
      <c r="AG8" s="123">
        <f>AG6-AG5</f>
        <v>-644054</v>
      </c>
      <c r="AH8" s="123">
        <f>AH6-AH5</f>
        <v>-217150</v>
      </c>
      <c r="AI8" s="123">
        <f t="shared" ref="AI8:AJ8" si="6">AI6-AI5</f>
        <v>-633250</v>
      </c>
      <c r="AJ8" s="124">
        <f t="shared" si="6"/>
        <v>121466</v>
      </c>
      <c r="AK8" s="122">
        <f>AK6-AK5</f>
        <v>0</v>
      </c>
      <c r="AL8" s="123">
        <f>AL6-AL5</f>
        <v>0</v>
      </c>
      <c r="AM8" s="123">
        <f>AM6-AM5</f>
        <v>0</v>
      </c>
      <c r="AN8" s="123">
        <f t="shared" ref="AN8:AO8" si="7">AN6-AN5</f>
        <v>0</v>
      </c>
      <c r="AO8" s="124">
        <f t="shared" si="7"/>
        <v>0</v>
      </c>
    </row>
    <row r="9" spans="1:41" s="11" customFormat="1" ht="15.75" hidden="1" thickBot="1">
      <c r="A9" s="125" t="s">
        <v>4</v>
      </c>
      <c r="B9" s="126">
        <f>B8/B5</f>
        <v>-0.13589742857142856</v>
      </c>
      <c r="C9" s="127">
        <f>C8/C5</f>
        <v>3.492E-2</v>
      </c>
      <c r="D9" s="127">
        <f>D8/D5</f>
        <v>-0.58879999999999999</v>
      </c>
      <c r="E9" s="127">
        <f t="shared" ref="E9:F9" si="8">E8/E5</f>
        <v>-5.7639999999999997E-2</v>
      </c>
      <c r="F9" s="128">
        <f t="shared" si="8"/>
        <v>-0.23693916666666667</v>
      </c>
      <c r="G9" s="126">
        <f>G8/G5</f>
        <v>-0.21640419753086421</v>
      </c>
      <c r="H9" s="127">
        <f>H8/H5</f>
        <v>-0.12159666666666667</v>
      </c>
      <c r="I9" s="127">
        <f>I8/I5</f>
        <v>-0.44374999999999998</v>
      </c>
      <c r="J9" s="127">
        <f t="shared" ref="J9:K9" si="9">J8/J5</f>
        <v>-0.17291034482758622</v>
      </c>
      <c r="K9" s="128">
        <f t="shared" si="9"/>
        <v>-0.27368214285714287</v>
      </c>
      <c r="L9" s="126">
        <f>L8/L5</f>
        <v>-0.23505499999999999</v>
      </c>
      <c r="M9" s="127">
        <f>M8/M5</f>
        <v>-0.24162222222222221</v>
      </c>
      <c r="N9" s="127">
        <f>N8/N5</f>
        <v>-0.41342857142857142</v>
      </c>
      <c r="O9" s="127">
        <f t="shared" ref="O9:P9" si="10">O8/O5</f>
        <v>-0.29258787878787879</v>
      </c>
      <c r="P9" s="128">
        <f t="shared" si="10"/>
        <v>-0.1390135294117647</v>
      </c>
      <c r="Q9" s="126">
        <f>Q8/Q5</f>
        <v>-0.22762721382289416</v>
      </c>
      <c r="R9" s="127">
        <f>R8/R5</f>
        <v>-0.60447499999999998</v>
      </c>
      <c r="S9" s="127">
        <f>S8/S5</f>
        <v>-0.52105263157894732</v>
      </c>
      <c r="T9" s="127">
        <f t="shared" ref="T9:U9" si="11">T8/T5</f>
        <v>-0.4047857142857143</v>
      </c>
      <c r="U9" s="128">
        <f t="shared" si="11"/>
        <v>0.30462400000000001</v>
      </c>
      <c r="V9" s="126">
        <f>V8/V5</f>
        <v>-0.33618081896551721</v>
      </c>
      <c r="W9" s="127">
        <f>W8/W5</f>
        <v>-0.62267272727272727</v>
      </c>
      <c r="X9" s="127">
        <f>X8/X5</f>
        <v>-0.52238095238095239</v>
      </c>
      <c r="Y9" s="127">
        <f t="shared" ref="Y9:Z9" si="12">Y8/Y5</f>
        <v>-0.43661728395061727</v>
      </c>
      <c r="Z9" s="128">
        <f t="shared" si="12"/>
        <v>3.4520666666666665E-2</v>
      </c>
      <c r="AA9" s="126">
        <f>AA8/AA5</f>
        <v>-0.35492068965517243</v>
      </c>
      <c r="AB9" s="127">
        <f>AB8/AB5</f>
        <v>-0.72031181818181822</v>
      </c>
      <c r="AC9" s="127">
        <f>AC8/AC5</f>
        <v>-0.7121547619047619</v>
      </c>
      <c r="AD9" s="127">
        <f t="shared" ref="AD9:AE9" si="13">AD8/AD5</f>
        <v>-0.41780864197530865</v>
      </c>
      <c r="AE9" s="128">
        <f t="shared" si="13"/>
        <v>8.0977333333333332E-2</v>
      </c>
      <c r="AF9" s="126">
        <f>AF8/AF5</f>
        <v>-0.29590258620689658</v>
      </c>
      <c r="AG9" s="127">
        <f>AG8/AG5</f>
        <v>-0.58550363636363634</v>
      </c>
      <c r="AH9" s="127">
        <f>AH8/AH5</f>
        <v>-0.51702380952380955</v>
      </c>
      <c r="AI9" s="127">
        <f t="shared" ref="AI9:AJ9" si="14">AI8/AI5</f>
        <v>-0.39089506172839505</v>
      </c>
      <c r="AJ9" s="128">
        <f t="shared" si="14"/>
        <v>8.0977333333333332E-2</v>
      </c>
      <c r="AK9" s="126" t="e">
        <f>AK8/AK5</f>
        <v>#DIV/0!</v>
      </c>
      <c r="AL9" s="127" t="e">
        <f>AL8/AL5</f>
        <v>#DIV/0!</v>
      </c>
      <c r="AM9" s="127" t="e">
        <f>AM8/AM5</f>
        <v>#DIV/0!</v>
      </c>
      <c r="AN9" s="127" t="e">
        <f t="shared" ref="AN9:AO9" si="15">AN8/AN5</f>
        <v>#DIV/0!</v>
      </c>
      <c r="AO9" s="128" t="e">
        <f t="shared" si="15"/>
        <v>#DIV/0!</v>
      </c>
    </row>
    <row r="10" spans="1:41" s="9" customFormat="1" ht="15.75" hidden="1" thickBot="1">
      <c r="A10" s="129" t="s">
        <v>5</v>
      </c>
      <c r="B10" s="130">
        <v>945450</v>
      </c>
      <c r="C10" s="131">
        <v>881103</v>
      </c>
      <c r="D10" s="131">
        <v>881103</v>
      </c>
      <c r="E10" s="131">
        <v>962132</v>
      </c>
      <c r="F10" s="132" t="e">
        <v>#REF!</v>
      </c>
      <c r="G10" s="130" t="e">
        <v>#REF!</v>
      </c>
      <c r="H10" s="131" t="e">
        <v>#REF!</v>
      </c>
      <c r="I10" s="131" t="e">
        <v>#REF!</v>
      </c>
      <c r="J10" s="131" t="e">
        <v>#REF!</v>
      </c>
      <c r="K10" s="132" t="e">
        <v>#REF!</v>
      </c>
      <c r="L10" s="130" t="e">
        <v>#REF!</v>
      </c>
      <c r="M10" s="131" t="e">
        <v>#REF!</v>
      </c>
      <c r="N10" s="131" t="e">
        <v>#REF!</v>
      </c>
      <c r="O10" s="131">
        <v>2788685</v>
      </c>
      <c r="P10" s="132" t="e">
        <v>#REF!</v>
      </c>
      <c r="Q10" s="130" t="e">
        <v>#REF!</v>
      </c>
      <c r="R10" s="131" t="e">
        <v>#REF!</v>
      </c>
      <c r="S10" s="131" t="e">
        <v>#REF!</v>
      </c>
      <c r="T10" s="131" t="e">
        <v>#REF!</v>
      </c>
      <c r="U10" s="132" t="e">
        <v>#REF!</v>
      </c>
      <c r="V10" s="130" t="e">
        <v>#REF!</v>
      </c>
      <c r="W10" s="131" t="e">
        <v>#REF!</v>
      </c>
      <c r="X10" s="131" t="e">
        <v>#REF!</v>
      </c>
      <c r="Y10" s="131" t="e">
        <v>#REF!</v>
      </c>
      <c r="Z10" s="132" t="e">
        <v>#REF!</v>
      </c>
      <c r="AA10" s="130" t="e">
        <v>#REF!</v>
      </c>
      <c r="AB10" s="131" t="e">
        <v>#REF!</v>
      </c>
      <c r="AC10" s="131" t="e">
        <v>#REF!</v>
      </c>
      <c r="AD10" s="131" t="e">
        <v>#REF!</v>
      </c>
      <c r="AE10" s="132" t="e">
        <v>#REF!</v>
      </c>
      <c r="AF10" s="130" t="e">
        <v>#REF!</v>
      </c>
      <c r="AG10" s="131" t="e">
        <v>#REF!</v>
      </c>
      <c r="AH10" s="131" t="e">
        <v>#REF!</v>
      </c>
      <c r="AI10" s="131" t="e">
        <v>#REF!</v>
      </c>
      <c r="AJ10" s="132" t="e">
        <v>#REF!</v>
      </c>
      <c r="AK10" s="130" t="e">
        <v>#REF!</v>
      </c>
      <c r="AL10" s="131" t="e">
        <v>#REF!</v>
      </c>
      <c r="AM10" s="131" t="e">
        <v>#REF!</v>
      </c>
      <c r="AN10" s="131" t="e">
        <v>#REF!</v>
      </c>
      <c r="AO10" s="132" t="e">
        <v>#REF!</v>
      </c>
    </row>
    <row r="11" spans="1:41" s="9" customFormat="1" ht="15.75" thickBot="1">
      <c r="A11" s="152" t="s">
        <v>20</v>
      </c>
      <c r="B11" s="153">
        <f>SUM(C11:F11)</f>
        <v>2445918.1490196078</v>
      </c>
      <c r="C11" s="154">
        <f>SUM(C12:C21)</f>
        <v>635708.33333333326</v>
      </c>
      <c r="D11" s="154">
        <f>SUM(D12:D21)</f>
        <v>77818.333333333328</v>
      </c>
      <c r="E11" s="154">
        <f>SUM(E12:E21)</f>
        <v>865057.8823529412</v>
      </c>
      <c r="F11" s="155">
        <f>SUM(F12:F21)</f>
        <v>867333.6</v>
      </c>
      <c r="G11" s="153">
        <f>SUM(H11:K11)</f>
        <v>2468409.91</v>
      </c>
      <c r="H11" s="154">
        <f>SUM(H12:H21)</f>
        <v>599548.86</v>
      </c>
      <c r="I11" s="154">
        <f>SUM(I12:I21)</f>
        <v>121117.06</v>
      </c>
      <c r="J11" s="154">
        <f>SUM(J12:J21)</f>
        <v>892892.25</v>
      </c>
      <c r="K11" s="155">
        <f>SUM(K12:K21)</f>
        <v>854851.74</v>
      </c>
      <c r="L11" s="153">
        <f>SUM(M11:P11)</f>
        <v>2587517.12</v>
      </c>
      <c r="M11" s="154">
        <f>SUM(M12:M21)</f>
        <v>580381.19333333336</v>
      </c>
      <c r="N11" s="154">
        <f>SUM(N12:N21)</f>
        <v>133346.39333333331</v>
      </c>
      <c r="O11" s="154">
        <f>SUM(O12:O21)</f>
        <v>845255.79333333322</v>
      </c>
      <c r="P11" s="155">
        <f>SUM(P12:P21)</f>
        <v>1028533.74</v>
      </c>
      <c r="Q11" s="153">
        <f>SUM(R11:U11)</f>
        <v>2209989.67</v>
      </c>
      <c r="R11" s="154">
        <f>SUM(R12:R21)</f>
        <v>438768.0633333333</v>
      </c>
      <c r="S11" s="154">
        <f>SUM(S12:S21)</f>
        <v>125873.33333333333</v>
      </c>
      <c r="T11" s="154">
        <f>SUM(T12:T21)</f>
        <v>725391.93333333335</v>
      </c>
      <c r="U11" s="155">
        <f>SUM(U12:U21)</f>
        <v>919956.34</v>
      </c>
      <c r="V11" s="153">
        <f>SUM(W11:Z11)</f>
        <v>2077906.3199999998</v>
      </c>
      <c r="W11" s="154">
        <f>SUM(W12:W21)</f>
        <v>365047.64666666667</v>
      </c>
      <c r="X11" s="154">
        <f>SUM(X12:X21)</f>
        <v>127797.16666666667</v>
      </c>
      <c r="Y11" s="154">
        <f>SUM(Y12:Y21)</f>
        <v>617999.36666666658</v>
      </c>
      <c r="Z11" s="155">
        <f>SUM(Z12:Z21)</f>
        <v>967062.14</v>
      </c>
      <c r="AA11" s="153">
        <f>SUM(AB11:AE11)</f>
        <v>2099437.0100000002</v>
      </c>
      <c r="AB11" s="133">
        <f>SUM(AB12:AB21)</f>
        <v>338082.9366666667</v>
      </c>
      <c r="AC11" s="133">
        <f>SUM(AC12:AC21)</f>
        <v>101971.66666666667</v>
      </c>
      <c r="AD11" s="133">
        <f>SUM(AD12:AD21)</f>
        <v>676859.26666666672</v>
      </c>
      <c r="AE11" s="134">
        <f>SUM(AE12:AE21)</f>
        <v>982523.14</v>
      </c>
      <c r="AF11" s="153">
        <f>SUM(AG11:AJ11)</f>
        <v>2120419.59</v>
      </c>
      <c r="AG11" s="133">
        <f>SUM(AG12:AG21)</f>
        <v>366357</v>
      </c>
      <c r="AH11" s="133">
        <f>SUM(AH12:AH21)</f>
        <v>132215</v>
      </c>
      <c r="AI11" s="133">
        <f>SUM(AI12:AI21)</f>
        <v>703012</v>
      </c>
      <c r="AJ11" s="134">
        <f>SUM(AJ12:AJ21)</f>
        <v>918835.59</v>
      </c>
      <c r="AK11" s="153">
        <f>SUM(AL11:AO11)</f>
        <v>0</v>
      </c>
      <c r="AL11" s="133">
        <f>SUM(AL12:AL21)</f>
        <v>0</v>
      </c>
      <c r="AM11" s="133">
        <f>SUM(AM12:AM21)</f>
        <v>0</v>
      </c>
      <c r="AN11" s="133">
        <f>SUM(AN12:AN21)</f>
        <v>0</v>
      </c>
      <c r="AO11" s="134">
        <f>SUM(AO12:AO21)</f>
        <v>0</v>
      </c>
    </row>
    <row r="12" spans="1:41" s="9" customFormat="1" ht="15.75" outlineLevel="1" thickBot="1">
      <c r="A12" s="163" t="s">
        <v>24</v>
      </c>
      <c r="B12" s="161">
        <f t="shared" ref="B12:B21" si="16">SUM(C12:F12)</f>
        <v>709015.8823529412</v>
      </c>
      <c r="C12" s="157">
        <v>190900</v>
      </c>
      <c r="D12" s="157">
        <v>30980</v>
      </c>
      <c r="E12" s="157">
        <v>169135.88235294117</v>
      </c>
      <c r="F12" s="158">
        <v>318000</v>
      </c>
      <c r="G12" s="161">
        <f t="shared" ref="G12:G21" si="17">SUM(H12:K12)</f>
        <v>673388</v>
      </c>
      <c r="H12" s="157">
        <v>185300</v>
      </c>
      <c r="I12" s="157">
        <v>46088</v>
      </c>
      <c r="J12" s="157">
        <v>121000</v>
      </c>
      <c r="K12" s="158">
        <f>371000-50000</f>
        <v>321000</v>
      </c>
      <c r="L12" s="161">
        <f t="shared" ref="L12:L21" si="18">SUM(M12:P12)</f>
        <v>673400</v>
      </c>
      <c r="M12" s="157">
        <v>180370</v>
      </c>
      <c r="N12" s="157">
        <v>51030</v>
      </c>
      <c r="O12" s="157">
        <v>121000</v>
      </c>
      <c r="P12" s="158">
        <v>321000</v>
      </c>
      <c r="Q12" s="161">
        <f t="shared" ref="Q12:Q21" si="19">SUM(R12:U12)</f>
        <v>694896</v>
      </c>
      <c r="R12" s="157">
        <v>166780</v>
      </c>
      <c r="S12" s="157">
        <v>44950</v>
      </c>
      <c r="T12" s="157">
        <v>115166</v>
      </c>
      <c r="U12" s="158">
        <v>368000</v>
      </c>
      <c r="V12" s="161">
        <f t="shared" ref="V12:V21" si="20">SUM(W12:Z12)</f>
        <v>643590</v>
      </c>
      <c r="W12" s="157">
        <v>162200</v>
      </c>
      <c r="X12" s="157">
        <v>52390</v>
      </c>
      <c r="Y12" s="157">
        <v>86000</v>
      </c>
      <c r="Z12" s="158">
        <v>343000</v>
      </c>
      <c r="AA12" s="161">
        <f t="shared" ref="AA12:AA21" si="21">SUM(AB12:AE12)</f>
        <v>618500</v>
      </c>
      <c r="AB12" s="157">
        <v>152960</v>
      </c>
      <c r="AC12" s="157">
        <v>36540</v>
      </c>
      <c r="AD12" s="157">
        <v>86000</v>
      </c>
      <c r="AE12" s="158">
        <v>343000</v>
      </c>
      <c r="AF12" s="161">
        <f t="shared" ref="AF12:AF21" si="22">SUM(AG12:AJ12)</f>
        <v>627900</v>
      </c>
      <c r="AG12" s="157">
        <v>134800</v>
      </c>
      <c r="AH12" s="157">
        <v>49100</v>
      </c>
      <c r="AI12" s="157">
        <v>86000</v>
      </c>
      <c r="AJ12" s="158">
        <v>358000</v>
      </c>
      <c r="AK12" s="161">
        <f t="shared" ref="AK12:AK21" si="23">SUM(AL12:AO12)</f>
        <v>0</v>
      </c>
      <c r="AL12" s="157"/>
      <c r="AM12" s="157"/>
      <c r="AN12" s="157"/>
      <c r="AO12" s="158"/>
    </row>
    <row r="13" spans="1:41" s="9" customFormat="1" ht="15.75" outlineLevel="1" thickBot="1">
      <c r="A13" s="163" t="s">
        <v>34</v>
      </c>
      <c r="B13" s="161">
        <f t="shared" ref="B13" si="24">SUM(C13:F13)</f>
        <v>838469</v>
      </c>
      <c r="C13" s="157">
        <v>309107</v>
      </c>
      <c r="D13" s="157">
        <v>26630</v>
      </c>
      <c r="E13" s="157">
        <v>502732</v>
      </c>
      <c r="F13" s="158"/>
      <c r="G13" s="161">
        <f t="shared" si="17"/>
        <v>900114</v>
      </c>
      <c r="H13" s="157">
        <v>281124</v>
      </c>
      <c r="I13" s="157">
        <v>58250</v>
      </c>
      <c r="J13" s="157">
        <f>666435-105695</f>
        <v>560740</v>
      </c>
      <c r="K13" s="158"/>
      <c r="L13" s="161">
        <f t="shared" si="18"/>
        <v>833510</v>
      </c>
      <c r="M13" s="157">
        <v>276670</v>
      </c>
      <c r="N13" s="157">
        <v>62680</v>
      </c>
      <c r="O13" s="157">
        <f>632590-138430</f>
        <v>494160</v>
      </c>
      <c r="P13" s="158"/>
      <c r="Q13" s="161">
        <f t="shared" si="19"/>
        <v>611520</v>
      </c>
      <c r="R13" s="157">
        <v>171400</v>
      </c>
      <c r="S13" s="157">
        <v>60450</v>
      </c>
      <c r="T13" s="157">
        <f>521160-141490</f>
        <v>379670</v>
      </c>
      <c r="U13" s="158"/>
      <c r="V13" s="161">
        <f t="shared" si="20"/>
        <v>538324</v>
      </c>
      <c r="W13" s="157">
        <v>123270</v>
      </c>
      <c r="X13" s="157">
        <v>56290</v>
      </c>
      <c r="Y13" s="157">
        <f>462089-103325</f>
        <v>358764</v>
      </c>
      <c r="Z13" s="158"/>
      <c r="AA13" s="161">
        <f t="shared" si="21"/>
        <v>554199</v>
      </c>
      <c r="AB13" s="157">
        <v>103900</v>
      </c>
      <c r="AC13" s="157">
        <v>46570</v>
      </c>
      <c r="AD13" s="157">
        <f>505554-101825</f>
        <v>403729</v>
      </c>
      <c r="AE13" s="158"/>
      <c r="AF13" s="161">
        <f t="shared" si="22"/>
        <v>581182</v>
      </c>
      <c r="AG13" s="157">
        <v>142230</v>
      </c>
      <c r="AH13" s="157">
        <v>56550</v>
      </c>
      <c r="AI13" s="157">
        <f>478227-95825</f>
        <v>382402</v>
      </c>
      <c r="AJ13" s="158"/>
      <c r="AK13" s="161">
        <f t="shared" si="23"/>
        <v>0</v>
      </c>
      <c r="AL13" s="157"/>
      <c r="AM13" s="157"/>
      <c r="AN13" s="157"/>
      <c r="AO13" s="158"/>
    </row>
    <row r="14" spans="1:41" s="9" customFormat="1" ht="15.75" outlineLevel="1" thickBot="1">
      <c r="A14" s="163" t="s">
        <v>35</v>
      </c>
      <c r="B14" s="161">
        <f t="shared" ref="B14" si="25">SUM(C14:F14)</f>
        <v>168873</v>
      </c>
      <c r="C14" s="157">
        <v>52006</v>
      </c>
      <c r="D14" s="157">
        <v>11009</v>
      </c>
      <c r="E14" s="157">
        <v>43215</v>
      </c>
      <c r="F14" s="158">
        <v>62643</v>
      </c>
      <c r="G14" s="161">
        <f t="shared" si="17"/>
        <v>168598.90999999997</v>
      </c>
      <c r="H14" s="157">
        <v>52231.859999999993</v>
      </c>
      <c r="I14" s="157">
        <v>11235.06</v>
      </c>
      <c r="J14" s="157">
        <v>46150.25</v>
      </c>
      <c r="K14" s="158">
        <v>58981.739999999991</v>
      </c>
      <c r="L14" s="161">
        <f t="shared" si="18"/>
        <v>167666.12</v>
      </c>
      <c r="M14" s="157">
        <v>52231.859999999993</v>
      </c>
      <c r="N14" s="157">
        <v>11235.060000000001</v>
      </c>
      <c r="O14" s="157">
        <v>45217.46</v>
      </c>
      <c r="P14" s="158">
        <v>58981.739999999991</v>
      </c>
      <c r="Q14" s="161">
        <f t="shared" si="19"/>
        <v>172321.66999999998</v>
      </c>
      <c r="R14" s="157">
        <v>57940.729999999996</v>
      </c>
      <c r="S14" s="157">
        <v>12095</v>
      </c>
      <c r="T14" s="157">
        <v>47238.6</v>
      </c>
      <c r="U14" s="158">
        <v>55047.34</v>
      </c>
      <c r="V14" s="161">
        <f t="shared" si="20"/>
        <v>162211.31999999998</v>
      </c>
      <c r="W14" s="157">
        <v>52763.98</v>
      </c>
      <c r="X14" s="157">
        <v>10609.5</v>
      </c>
      <c r="Y14" s="157">
        <v>39111.699999999997</v>
      </c>
      <c r="Z14" s="158">
        <v>59726.139999999992</v>
      </c>
      <c r="AA14" s="161">
        <f t="shared" si="21"/>
        <v>160125.00999999998</v>
      </c>
      <c r="AB14" s="157">
        <v>46860.270000000004</v>
      </c>
      <c r="AC14" s="157">
        <v>11418</v>
      </c>
      <c r="AD14" s="157">
        <v>43338.6</v>
      </c>
      <c r="AE14" s="158">
        <v>58508.139999999992</v>
      </c>
      <c r="AF14" s="161">
        <f t="shared" si="22"/>
        <v>166274.59</v>
      </c>
      <c r="AG14" s="157">
        <v>39441</v>
      </c>
      <c r="AH14" s="157">
        <v>17072</v>
      </c>
      <c r="AI14" s="157">
        <v>42697</v>
      </c>
      <c r="AJ14" s="158">
        <v>67064.59</v>
      </c>
      <c r="AK14" s="161">
        <f t="shared" si="23"/>
        <v>0</v>
      </c>
      <c r="AL14" s="157"/>
      <c r="AM14" s="157"/>
      <c r="AN14" s="157"/>
      <c r="AO14" s="158"/>
    </row>
    <row r="15" spans="1:41" s="9" customFormat="1" ht="15.75" outlineLevel="1" thickBot="1">
      <c r="A15" s="163" t="s">
        <v>23</v>
      </c>
      <c r="B15" s="161">
        <f t="shared" si="16"/>
        <v>431830.6</v>
      </c>
      <c r="C15" s="157"/>
      <c r="D15" s="157"/>
      <c r="E15" s="157"/>
      <c r="F15" s="158">
        <v>431830.6</v>
      </c>
      <c r="G15" s="161">
        <f t="shared" si="17"/>
        <v>426152</v>
      </c>
      <c r="H15" s="157"/>
      <c r="I15" s="157"/>
      <c r="J15" s="157"/>
      <c r="K15" s="158">
        <v>426152</v>
      </c>
      <c r="L15" s="161">
        <f t="shared" si="18"/>
        <v>613720</v>
      </c>
      <c r="M15" s="157"/>
      <c r="N15" s="157"/>
      <c r="O15" s="157"/>
      <c r="P15" s="158">
        <v>613720</v>
      </c>
      <c r="Q15" s="161">
        <f t="shared" si="19"/>
        <v>443684</v>
      </c>
      <c r="R15" s="157"/>
      <c r="S15" s="157"/>
      <c r="T15" s="157"/>
      <c r="U15" s="158">
        <v>443684</v>
      </c>
      <c r="V15" s="161">
        <f t="shared" si="20"/>
        <v>438297</v>
      </c>
      <c r="W15" s="157"/>
      <c r="X15" s="157"/>
      <c r="Y15" s="157"/>
      <c r="Z15" s="158">
        <v>438297</v>
      </c>
      <c r="AA15" s="161">
        <f t="shared" si="21"/>
        <v>438216</v>
      </c>
      <c r="AB15" s="157"/>
      <c r="AC15" s="157"/>
      <c r="AD15" s="157"/>
      <c r="AE15" s="158">
        <v>438216</v>
      </c>
      <c r="AF15" s="161">
        <f t="shared" si="22"/>
        <v>438216</v>
      </c>
      <c r="AG15" s="157"/>
      <c r="AH15" s="157"/>
      <c r="AI15" s="157"/>
      <c r="AJ15" s="158">
        <v>438216</v>
      </c>
      <c r="AK15" s="161">
        <f t="shared" si="23"/>
        <v>0</v>
      </c>
      <c r="AL15" s="157"/>
      <c r="AM15" s="157"/>
      <c r="AN15" s="157"/>
      <c r="AO15" s="158"/>
    </row>
    <row r="16" spans="1:41" s="9" customFormat="1" ht="15.75" outlineLevel="1" thickBot="1">
      <c r="A16" s="163" t="s">
        <v>118</v>
      </c>
      <c r="B16" s="161">
        <f t="shared" si="16"/>
        <v>2700</v>
      </c>
      <c r="C16" s="157"/>
      <c r="D16" s="157">
        <v>2700</v>
      </c>
      <c r="E16" s="157"/>
      <c r="F16" s="158"/>
      <c r="G16" s="161">
        <f t="shared" si="17"/>
        <v>0</v>
      </c>
      <c r="H16" s="157"/>
      <c r="I16" s="157"/>
      <c r="J16" s="157"/>
      <c r="K16" s="158"/>
      <c r="L16" s="161">
        <f t="shared" si="18"/>
        <v>0</v>
      </c>
      <c r="M16" s="157"/>
      <c r="N16" s="157"/>
      <c r="O16" s="157"/>
      <c r="P16" s="158"/>
      <c r="Q16" s="161">
        <f t="shared" si="19"/>
        <v>0</v>
      </c>
      <c r="R16" s="157"/>
      <c r="S16" s="157"/>
      <c r="T16" s="157"/>
      <c r="U16" s="158"/>
      <c r="V16" s="161">
        <f t="shared" si="20"/>
        <v>0</v>
      </c>
      <c r="W16" s="157"/>
      <c r="X16" s="157"/>
      <c r="Y16" s="157"/>
      <c r="Z16" s="158"/>
      <c r="AA16" s="161">
        <f t="shared" si="21"/>
        <v>0</v>
      </c>
      <c r="AB16" s="157"/>
      <c r="AC16" s="157"/>
      <c r="AD16" s="157"/>
      <c r="AE16" s="158"/>
      <c r="AF16" s="161">
        <f t="shared" si="22"/>
        <v>0</v>
      </c>
      <c r="AG16" s="157"/>
      <c r="AH16" s="157"/>
      <c r="AI16" s="157"/>
      <c r="AJ16" s="158"/>
      <c r="AK16" s="161">
        <f t="shared" si="23"/>
        <v>0</v>
      </c>
      <c r="AL16" s="157"/>
      <c r="AM16" s="157"/>
      <c r="AN16" s="157"/>
      <c r="AO16" s="158"/>
    </row>
    <row r="17" spans="1:45" s="9" customFormat="1" ht="15.75" outlineLevel="1" thickBot="1">
      <c r="A17" s="163" t="s">
        <v>119</v>
      </c>
      <c r="B17" s="161">
        <f t="shared" si="16"/>
        <v>0</v>
      </c>
      <c r="C17" s="157"/>
      <c r="D17" s="157"/>
      <c r="E17" s="157"/>
      <c r="F17" s="158"/>
      <c r="G17" s="161">
        <f t="shared" si="17"/>
        <v>5725</v>
      </c>
      <c r="H17" s="157"/>
      <c r="I17" s="157"/>
      <c r="J17" s="157"/>
      <c r="K17" s="158">
        <v>5725</v>
      </c>
      <c r="L17" s="161">
        <f t="shared" si="18"/>
        <v>1900</v>
      </c>
      <c r="M17" s="157"/>
      <c r="N17" s="157"/>
      <c r="O17" s="157"/>
      <c r="P17" s="158">
        <v>1900</v>
      </c>
      <c r="Q17" s="161">
        <f t="shared" si="19"/>
        <v>0</v>
      </c>
      <c r="R17" s="157"/>
      <c r="S17" s="157"/>
      <c r="T17" s="157"/>
      <c r="U17" s="158"/>
      <c r="V17" s="161">
        <f t="shared" si="20"/>
        <v>0</v>
      </c>
      <c r="W17" s="157"/>
      <c r="X17" s="157"/>
      <c r="Y17" s="157"/>
      <c r="Z17" s="158"/>
      <c r="AA17" s="161">
        <f t="shared" si="21"/>
        <v>0</v>
      </c>
      <c r="AB17" s="157"/>
      <c r="AC17" s="157"/>
      <c r="AD17" s="157"/>
      <c r="AE17" s="158"/>
      <c r="AF17" s="161">
        <f t="shared" si="22"/>
        <v>0</v>
      </c>
      <c r="AG17" s="157"/>
      <c r="AH17" s="157"/>
      <c r="AI17" s="157"/>
      <c r="AJ17" s="158"/>
      <c r="AK17" s="161">
        <f t="shared" si="23"/>
        <v>0</v>
      </c>
      <c r="AL17" s="157"/>
      <c r="AM17" s="157"/>
      <c r="AN17" s="157"/>
      <c r="AO17" s="158"/>
    </row>
    <row r="18" spans="1:45" s="9" customFormat="1" ht="15.75" outlineLevel="1" thickBot="1">
      <c r="A18" s="163" t="s">
        <v>104</v>
      </c>
      <c r="B18" s="161">
        <f t="shared" si="16"/>
        <v>91080</v>
      </c>
      <c r="C18" s="157"/>
      <c r="D18" s="157"/>
      <c r="E18" s="157">
        <v>91080</v>
      </c>
      <c r="F18" s="158"/>
      <c r="G18" s="161">
        <f t="shared" si="17"/>
        <v>105695</v>
      </c>
      <c r="H18" s="157"/>
      <c r="I18" s="157"/>
      <c r="J18" s="157">
        <v>105695</v>
      </c>
      <c r="K18" s="158"/>
      <c r="L18" s="161">
        <f t="shared" si="18"/>
        <v>138430</v>
      </c>
      <c r="M18" s="157"/>
      <c r="N18" s="157"/>
      <c r="O18" s="157">
        <v>138430</v>
      </c>
      <c r="P18" s="158"/>
      <c r="Q18" s="161">
        <f t="shared" si="19"/>
        <v>141490</v>
      </c>
      <c r="R18" s="157"/>
      <c r="S18" s="157"/>
      <c r="T18" s="157">
        <v>141490</v>
      </c>
      <c r="U18" s="158"/>
      <c r="V18" s="161">
        <f t="shared" si="20"/>
        <v>103325</v>
      </c>
      <c r="W18" s="157"/>
      <c r="X18" s="157"/>
      <c r="Y18" s="157">
        <v>103325</v>
      </c>
      <c r="Z18" s="158"/>
      <c r="AA18" s="161">
        <f t="shared" si="21"/>
        <v>101825</v>
      </c>
      <c r="AB18" s="157"/>
      <c r="AC18" s="157"/>
      <c r="AD18" s="157">
        <v>101825</v>
      </c>
      <c r="AE18" s="158"/>
      <c r="AF18" s="161">
        <f t="shared" si="22"/>
        <v>95825</v>
      </c>
      <c r="AG18" s="157"/>
      <c r="AH18" s="157"/>
      <c r="AI18" s="157">
        <v>95825</v>
      </c>
      <c r="AJ18" s="158"/>
      <c r="AK18" s="161">
        <f t="shared" si="23"/>
        <v>0</v>
      </c>
      <c r="AL18" s="157"/>
      <c r="AM18" s="157"/>
      <c r="AN18" s="157"/>
      <c r="AO18" s="158"/>
    </row>
    <row r="19" spans="1:45" s="9" customFormat="1" ht="15.75" outlineLevel="1" thickBot="1">
      <c r="A19" s="163" t="s">
        <v>15</v>
      </c>
      <c r="B19" s="161">
        <f t="shared" si="16"/>
        <v>35198</v>
      </c>
      <c r="C19" s="157">
        <v>35198</v>
      </c>
      <c r="D19" s="157"/>
      <c r="E19" s="157"/>
      <c r="F19" s="158"/>
      <c r="G19" s="161">
        <f t="shared" si="17"/>
        <v>34905</v>
      </c>
      <c r="H19" s="157">
        <v>34905</v>
      </c>
      <c r="I19" s="157"/>
      <c r="J19" s="157"/>
      <c r="K19" s="158"/>
      <c r="L19" s="161">
        <f t="shared" si="18"/>
        <v>31008</v>
      </c>
      <c r="M19" s="157">
        <v>31008</v>
      </c>
      <c r="N19" s="157"/>
      <c r="O19" s="157"/>
      <c r="P19" s="158"/>
      <c r="Q19" s="161">
        <f t="shared" si="19"/>
        <v>13237</v>
      </c>
      <c r="R19" s="157">
        <v>13237</v>
      </c>
      <c r="S19" s="157"/>
      <c r="T19" s="157"/>
      <c r="U19" s="158"/>
      <c r="V19" s="161">
        <f t="shared" si="20"/>
        <v>4837</v>
      </c>
      <c r="W19" s="157">
        <v>4837</v>
      </c>
      <c r="X19" s="157"/>
      <c r="Y19" s="157"/>
      <c r="Z19" s="158"/>
      <c r="AA19" s="161">
        <f t="shared" si="21"/>
        <v>11069</v>
      </c>
      <c r="AB19" s="157">
        <v>11069</v>
      </c>
      <c r="AC19" s="157"/>
      <c r="AD19" s="157"/>
      <c r="AE19" s="158"/>
      <c r="AF19" s="161">
        <f t="shared" si="22"/>
        <v>14441</v>
      </c>
      <c r="AG19" s="157">
        <v>14441</v>
      </c>
      <c r="AH19" s="157"/>
      <c r="AI19" s="157"/>
      <c r="AJ19" s="158"/>
      <c r="AK19" s="161">
        <f t="shared" si="23"/>
        <v>0</v>
      </c>
      <c r="AL19" s="157"/>
      <c r="AM19" s="157"/>
      <c r="AN19" s="157"/>
      <c r="AO19" s="158"/>
    </row>
    <row r="20" spans="1:45" s="9" customFormat="1" ht="15.75" outlineLevel="1" thickBot="1">
      <c r="A20" s="163" t="s">
        <v>10</v>
      </c>
      <c r="B20" s="161">
        <f t="shared" si="16"/>
        <v>83371.666666666628</v>
      </c>
      <c r="C20" s="157">
        <f>42269.3333333333-35198</f>
        <v>7071.3333333332994</v>
      </c>
      <c r="D20" s="157">
        <v>5071.3333333333339</v>
      </c>
      <c r="E20" s="157">
        <f>24771+5000</f>
        <v>29771</v>
      </c>
      <c r="F20" s="158">
        <f>21619+19839</f>
        <v>41458</v>
      </c>
      <c r="G20" s="161">
        <f t="shared" si="17"/>
        <v>68265</v>
      </c>
      <c r="H20" s="157">
        <v>3445</v>
      </c>
      <c r="I20" s="157">
        <v>2737</v>
      </c>
      <c r="J20" s="157">
        <f>33552+5190</f>
        <v>38742</v>
      </c>
      <c r="K20" s="158">
        <v>23341</v>
      </c>
      <c r="L20" s="161">
        <f t="shared" si="18"/>
        <v>41322.999999999964</v>
      </c>
      <c r="M20" s="157">
        <v>5053.333333333333</v>
      </c>
      <c r="N20" s="157">
        <v>2803.333333333333</v>
      </c>
      <c r="O20" s="157">
        <f>14366.3333333333+5955</f>
        <v>20321.333333333299</v>
      </c>
      <c r="P20" s="158">
        <v>13145</v>
      </c>
      <c r="Q20" s="161">
        <f t="shared" si="19"/>
        <v>52063</v>
      </c>
      <c r="R20" s="157">
        <v>5678.333333333333</v>
      </c>
      <c r="S20" s="157">
        <v>4556.3333333333339</v>
      </c>
      <c r="T20" s="157">
        <v>17179.333333333332</v>
      </c>
      <c r="U20" s="158">
        <v>24649</v>
      </c>
      <c r="V20" s="161">
        <f t="shared" si="20"/>
        <v>119039</v>
      </c>
      <c r="W20" s="157">
        <v>3291.6666666666665</v>
      </c>
      <c r="X20" s="157">
        <v>2291.6666666666665</v>
      </c>
      <c r="Y20" s="157">
        <v>10016.666666666666</v>
      </c>
      <c r="Z20" s="158">
        <v>103439</v>
      </c>
      <c r="AA20" s="161">
        <f t="shared" si="21"/>
        <v>141817.00000000003</v>
      </c>
      <c r="AB20" s="157">
        <v>5393.6666666666661</v>
      </c>
      <c r="AC20" s="157">
        <v>4893.6666666666661</v>
      </c>
      <c r="AD20" s="157">
        <f>12818.6666666667+2615</f>
        <v>15433.666666666701</v>
      </c>
      <c r="AE20" s="158">
        <v>116096</v>
      </c>
      <c r="AF20" s="161">
        <f t="shared" si="22"/>
        <v>89413</v>
      </c>
      <c r="AG20" s="157">
        <v>8040</v>
      </c>
      <c r="AH20" s="157">
        <v>3406</v>
      </c>
      <c r="AI20" s="157">
        <f>49471+1022</f>
        <v>50493</v>
      </c>
      <c r="AJ20" s="158">
        <v>27474</v>
      </c>
      <c r="AK20" s="161">
        <f t="shared" si="23"/>
        <v>0</v>
      </c>
      <c r="AL20" s="157"/>
      <c r="AM20" s="157"/>
      <c r="AN20" s="157"/>
      <c r="AO20" s="158"/>
    </row>
    <row r="21" spans="1:45" s="9" customFormat="1" ht="15.75" outlineLevel="1" thickBot="1">
      <c r="A21" s="163" t="s">
        <v>31</v>
      </c>
      <c r="B21" s="161">
        <f t="shared" si="16"/>
        <v>85380</v>
      </c>
      <c r="C21" s="159">
        <v>41426</v>
      </c>
      <c r="D21" s="159">
        <v>1428</v>
      </c>
      <c r="E21" s="159">
        <v>29124</v>
      </c>
      <c r="F21" s="160">
        <v>13402</v>
      </c>
      <c r="G21" s="161">
        <f t="shared" si="17"/>
        <v>85567</v>
      </c>
      <c r="H21" s="159">
        <v>42543</v>
      </c>
      <c r="I21" s="159">
        <v>2807</v>
      </c>
      <c r="J21" s="159">
        <v>20565</v>
      </c>
      <c r="K21" s="160">
        <v>19652</v>
      </c>
      <c r="L21" s="161">
        <f t="shared" si="18"/>
        <v>86560</v>
      </c>
      <c r="M21" s="159">
        <v>35048</v>
      </c>
      <c r="N21" s="159">
        <v>5598</v>
      </c>
      <c r="O21" s="159">
        <v>26127</v>
      </c>
      <c r="P21" s="160">
        <v>19787</v>
      </c>
      <c r="Q21" s="161">
        <f t="shared" si="19"/>
        <v>80778</v>
      </c>
      <c r="R21" s="159">
        <v>23732</v>
      </c>
      <c r="S21" s="159">
        <v>3822</v>
      </c>
      <c r="T21" s="159">
        <v>24648</v>
      </c>
      <c r="U21" s="160">
        <v>28576</v>
      </c>
      <c r="V21" s="161">
        <f t="shared" si="20"/>
        <v>68283</v>
      </c>
      <c r="W21" s="159">
        <v>18685</v>
      </c>
      <c r="X21" s="159">
        <v>6216</v>
      </c>
      <c r="Y21" s="159">
        <v>20782</v>
      </c>
      <c r="Z21" s="160">
        <v>22600</v>
      </c>
      <c r="AA21" s="161">
        <f t="shared" si="21"/>
        <v>73686</v>
      </c>
      <c r="AB21" s="159">
        <v>17900</v>
      </c>
      <c r="AC21" s="159">
        <v>2550</v>
      </c>
      <c r="AD21" s="159">
        <v>26533</v>
      </c>
      <c r="AE21" s="160">
        <v>26703</v>
      </c>
      <c r="AF21" s="161">
        <f t="shared" si="22"/>
        <v>107168</v>
      </c>
      <c r="AG21" s="159">
        <v>27405</v>
      </c>
      <c r="AH21" s="159">
        <v>6087</v>
      </c>
      <c r="AI21" s="159">
        <v>45595</v>
      </c>
      <c r="AJ21" s="160">
        <v>28081</v>
      </c>
      <c r="AK21" s="161">
        <f t="shared" si="23"/>
        <v>0</v>
      </c>
      <c r="AL21" s="159"/>
      <c r="AM21" s="159"/>
      <c r="AN21" s="159"/>
      <c r="AO21" s="160"/>
    </row>
    <row r="22" spans="1:45" s="9" customFormat="1" ht="15.75" thickBot="1">
      <c r="A22" s="152" t="s">
        <v>37</v>
      </c>
      <c r="B22" s="153">
        <f t="shared" ref="B22:AO22" si="26">B6-B11</f>
        <v>578440.85098039219</v>
      </c>
      <c r="C22" s="154">
        <f t="shared" si="26"/>
        <v>192227.66666666674</v>
      </c>
      <c r="D22" s="154">
        <f t="shared" si="26"/>
        <v>24981.666666666672</v>
      </c>
      <c r="E22" s="154">
        <f t="shared" si="26"/>
        <v>312892.1176470588</v>
      </c>
      <c r="F22" s="155">
        <f t="shared" si="26"/>
        <v>48339.400000000023</v>
      </c>
      <c r="G22" s="153">
        <f t="shared" si="26"/>
        <v>705153.08999999985</v>
      </c>
      <c r="H22" s="154">
        <f t="shared" si="26"/>
        <v>191014.14</v>
      </c>
      <c r="I22" s="154">
        <f t="shared" si="26"/>
        <v>45757.94</v>
      </c>
      <c r="J22" s="154">
        <f t="shared" si="26"/>
        <v>306387.75</v>
      </c>
      <c r="K22" s="155">
        <f t="shared" si="26"/>
        <v>161993.26</v>
      </c>
      <c r="L22" s="153">
        <f t="shared" si="26"/>
        <v>931229.87999999989</v>
      </c>
      <c r="M22" s="154">
        <f t="shared" si="26"/>
        <v>102158.80666666664</v>
      </c>
      <c r="N22" s="154">
        <f t="shared" si="26"/>
        <v>71953.606666666688</v>
      </c>
      <c r="O22" s="154">
        <f t="shared" si="26"/>
        <v>321974.20666666678</v>
      </c>
      <c r="P22" s="155">
        <f t="shared" si="26"/>
        <v>435143.26</v>
      </c>
      <c r="Q22" s="153">
        <f t="shared" si="26"/>
        <v>1366096.33</v>
      </c>
      <c r="R22" s="154">
        <f t="shared" si="26"/>
        <v>-43243.063333333295</v>
      </c>
      <c r="S22" s="154">
        <f t="shared" si="26"/>
        <v>56126.666666666672</v>
      </c>
      <c r="T22" s="154">
        <f t="shared" si="26"/>
        <v>316233.06666666665</v>
      </c>
      <c r="U22" s="155">
        <f t="shared" si="26"/>
        <v>1036979.66</v>
      </c>
      <c r="V22" s="153">
        <f t="shared" si="26"/>
        <v>1002214.6800000002</v>
      </c>
      <c r="W22" s="154">
        <f t="shared" si="26"/>
        <v>50012.353333333333</v>
      </c>
      <c r="X22" s="154">
        <f t="shared" si="26"/>
        <v>72802.833333333328</v>
      </c>
      <c r="Y22" s="154">
        <f t="shared" si="26"/>
        <v>294680.63333333342</v>
      </c>
      <c r="Z22" s="155">
        <f t="shared" si="26"/>
        <v>584718.86</v>
      </c>
      <c r="AA22" s="153">
        <f t="shared" si="26"/>
        <v>893730.98999999976</v>
      </c>
      <c r="AB22" s="115">
        <f t="shared" si="26"/>
        <v>-30425.936666666705</v>
      </c>
      <c r="AC22" s="115">
        <f t="shared" si="26"/>
        <v>18923.333333333328</v>
      </c>
      <c r="AD22" s="115">
        <f t="shared" si="26"/>
        <v>266290.73333333328</v>
      </c>
      <c r="AE22" s="116">
        <f t="shared" si="26"/>
        <v>638942.86</v>
      </c>
      <c r="AF22" s="153">
        <f t="shared" si="26"/>
        <v>1146592.4100000001</v>
      </c>
      <c r="AG22" s="115">
        <f t="shared" si="26"/>
        <v>89589</v>
      </c>
      <c r="AH22" s="115">
        <f t="shared" si="26"/>
        <v>70635</v>
      </c>
      <c r="AI22" s="115">
        <f t="shared" si="26"/>
        <v>283738</v>
      </c>
      <c r="AJ22" s="116">
        <f t="shared" si="26"/>
        <v>702630.41</v>
      </c>
      <c r="AK22" s="153">
        <f t="shared" si="26"/>
        <v>0</v>
      </c>
      <c r="AL22" s="115">
        <f t="shared" si="26"/>
        <v>0</v>
      </c>
      <c r="AM22" s="115">
        <f t="shared" si="26"/>
        <v>0</v>
      </c>
      <c r="AN22" s="115">
        <f t="shared" si="26"/>
        <v>0</v>
      </c>
      <c r="AO22" s="116">
        <f t="shared" si="26"/>
        <v>0</v>
      </c>
    </row>
    <row r="23" spans="1:45" s="9" customFormat="1" ht="15.75" thickBot="1">
      <c r="A23" s="156" t="s">
        <v>30</v>
      </c>
      <c r="B23" s="169">
        <f t="shared" ref="B23:AO23" si="27">B22/B6</f>
        <v>0.19126064431517295</v>
      </c>
      <c r="C23" s="170">
        <f t="shared" si="27"/>
        <v>0.23217696375887356</v>
      </c>
      <c r="D23" s="170">
        <f t="shared" si="27"/>
        <v>0.24301232166018163</v>
      </c>
      <c r="E23" s="170">
        <f t="shared" si="27"/>
        <v>0.26562427747108008</v>
      </c>
      <c r="F23" s="171">
        <f t="shared" si="27"/>
        <v>5.2791116479354555E-2</v>
      </c>
      <c r="G23" s="169">
        <f t="shared" si="27"/>
        <v>0.22219602698922311</v>
      </c>
      <c r="H23" s="170">
        <f t="shared" si="27"/>
        <v>0.24161785967721738</v>
      </c>
      <c r="I23" s="170">
        <f t="shared" si="27"/>
        <v>0.27420488389513109</v>
      </c>
      <c r="J23" s="170">
        <f t="shared" si="27"/>
        <v>0.25547641084650791</v>
      </c>
      <c r="K23" s="171">
        <f t="shared" si="27"/>
        <v>0.15930968830057679</v>
      </c>
      <c r="L23" s="169">
        <f t="shared" si="27"/>
        <v>0.26464814890073085</v>
      </c>
      <c r="M23" s="170">
        <f t="shared" si="27"/>
        <v>0.14967446108164598</v>
      </c>
      <c r="N23" s="170">
        <f t="shared" si="27"/>
        <v>0.35048030524435797</v>
      </c>
      <c r="O23" s="170">
        <f t="shared" si="27"/>
        <v>0.27584469784589738</v>
      </c>
      <c r="P23" s="171">
        <f t="shared" si="27"/>
        <v>0.29729459436747313</v>
      </c>
      <c r="Q23" s="169">
        <f t="shared" si="27"/>
        <v>0.38200880236101709</v>
      </c>
      <c r="R23" s="170">
        <f t="shared" si="27"/>
        <v>-0.10933079662052536</v>
      </c>
      <c r="S23" s="170">
        <f t="shared" si="27"/>
        <v>0.30838827838827843</v>
      </c>
      <c r="T23" s="170">
        <f t="shared" si="27"/>
        <v>0.30359588783551339</v>
      </c>
      <c r="U23" s="171">
        <f t="shared" si="27"/>
        <v>0.52989962880748276</v>
      </c>
      <c r="V23" s="169">
        <f t="shared" si="27"/>
        <v>0.32538159377504983</v>
      </c>
      <c r="W23" s="170">
        <f t="shared" si="27"/>
        <v>0.12049427392023643</v>
      </c>
      <c r="X23" s="170">
        <f t="shared" si="27"/>
        <v>0.36292539049518108</v>
      </c>
      <c r="Y23" s="170">
        <f t="shared" si="27"/>
        <v>0.32287399015354057</v>
      </c>
      <c r="Z23" s="171">
        <f t="shared" si="27"/>
        <v>0.37680501307852071</v>
      </c>
      <c r="AA23" s="169">
        <f t="shared" si="27"/>
        <v>0.29859031968803612</v>
      </c>
      <c r="AB23" s="135">
        <f t="shared" si="27"/>
        <v>-9.8895642441636969E-2</v>
      </c>
      <c r="AC23" s="135">
        <f t="shared" si="27"/>
        <v>0.15652701379985381</v>
      </c>
      <c r="AD23" s="135">
        <f t="shared" si="27"/>
        <v>0.28234186856102772</v>
      </c>
      <c r="AE23" s="136">
        <f t="shared" si="27"/>
        <v>0.3940525795792203</v>
      </c>
      <c r="AF23" s="169">
        <f t="shared" si="27"/>
        <v>0.35096057498411398</v>
      </c>
      <c r="AG23" s="135">
        <f t="shared" si="27"/>
        <v>0.19649037386006238</v>
      </c>
      <c r="AH23" s="135">
        <f t="shared" si="27"/>
        <v>0.34821296524525513</v>
      </c>
      <c r="AI23" s="135">
        <f t="shared" si="27"/>
        <v>0.28754801114770712</v>
      </c>
      <c r="AJ23" s="136">
        <f t="shared" si="27"/>
        <v>0.4333303381014465</v>
      </c>
      <c r="AK23" s="169" t="e">
        <f t="shared" si="27"/>
        <v>#DIV/0!</v>
      </c>
      <c r="AL23" s="135" t="e">
        <f t="shared" si="27"/>
        <v>#DIV/0!</v>
      </c>
      <c r="AM23" s="135" t="e">
        <f t="shared" si="27"/>
        <v>#DIV/0!</v>
      </c>
      <c r="AN23" s="135" t="e">
        <f t="shared" si="27"/>
        <v>#DIV/0!</v>
      </c>
      <c r="AO23" s="136" t="e">
        <f t="shared" si="27"/>
        <v>#DIV/0!</v>
      </c>
    </row>
    <row r="24" spans="1:45" s="9" customFormat="1" ht="15.75" thickBot="1">
      <c r="A24" s="152" t="s">
        <v>22</v>
      </c>
      <c r="B24" s="153">
        <f t="shared" ref="B24:AO24" si="28">SUM(B25:B38)</f>
        <v>270718</v>
      </c>
      <c r="C24" s="154">
        <f t="shared" si="28"/>
        <v>0</v>
      </c>
      <c r="D24" s="154">
        <f t="shared" si="28"/>
        <v>0</v>
      </c>
      <c r="E24" s="154">
        <f t="shared" si="28"/>
        <v>0</v>
      </c>
      <c r="F24" s="155">
        <f t="shared" si="28"/>
        <v>0</v>
      </c>
      <c r="G24" s="153">
        <f t="shared" si="28"/>
        <v>299510</v>
      </c>
      <c r="H24" s="154">
        <f t="shared" si="28"/>
        <v>0</v>
      </c>
      <c r="I24" s="154">
        <f t="shared" si="28"/>
        <v>0</v>
      </c>
      <c r="J24" s="154">
        <f t="shared" si="28"/>
        <v>0</v>
      </c>
      <c r="K24" s="155">
        <f t="shared" si="28"/>
        <v>0</v>
      </c>
      <c r="L24" s="153">
        <f t="shared" si="28"/>
        <v>314801.8</v>
      </c>
      <c r="M24" s="154">
        <f t="shared" si="28"/>
        <v>0</v>
      </c>
      <c r="N24" s="154">
        <f t="shared" si="28"/>
        <v>0</v>
      </c>
      <c r="O24" s="154">
        <f t="shared" si="28"/>
        <v>0</v>
      </c>
      <c r="P24" s="155">
        <f t="shared" si="28"/>
        <v>0</v>
      </c>
      <c r="Q24" s="153">
        <f t="shared" si="28"/>
        <v>324479.33999999997</v>
      </c>
      <c r="R24" s="154">
        <f t="shared" si="28"/>
        <v>0</v>
      </c>
      <c r="S24" s="154">
        <f t="shared" si="28"/>
        <v>0</v>
      </c>
      <c r="T24" s="154">
        <f t="shared" si="28"/>
        <v>0</v>
      </c>
      <c r="U24" s="155">
        <f t="shared" si="28"/>
        <v>0</v>
      </c>
      <c r="V24" s="153">
        <f t="shared" si="28"/>
        <v>290925</v>
      </c>
      <c r="W24" s="154">
        <f t="shared" si="28"/>
        <v>0</v>
      </c>
      <c r="X24" s="154">
        <f t="shared" si="28"/>
        <v>0</v>
      </c>
      <c r="Y24" s="154">
        <f t="shared" si="28"/>
        <v>0</v>
      </c>
      <c r="Z24" s="155">
        <f t="shared" si="28"/>
        <v>0</v>
      </c>
      <c r="AA24" s="153">
        <f t="shared" si="28"/>
        <v>281137</v>
      </c>
      <c r="AB24" s="133">
        <f t="shared" si="28"/>
        <v>0</v>
      </c>
      <c r="AC24" s="133">
        <f t="shared" si="28"/>
        <v>0</v>
      </c>
      <c r="AD24" s="133">
        <f t="shared" si="28"/>
        <v>0</v>
      </c>
      <c r="AE24" s="134">
        <f t="shared" si="28"/>
        <v>0</v>
      </c>
      <c r="AF24" s="153">
        <f t="shared" si="28"/>
        <v>304276</v>
      </c>
      <c r="AG24" s="133">
        <f t="shared" si="28"/>
        <v>0</v>
      </c>
      <c r="AH24" s="133">
        <f t="shared" si="28"/>
        <v>0</v>
      </c>
      <c r="AI24" s="133">
        <f t="shared" si="28"/>
        <v>0</v>
      </c>
      <c r="AJ24" s="134">
        <f t="shared" si="28"/>
        <v>0</v>
      </c>
      <c r="AK24" s="153">
        <f t="shared" si="28"/>
        <v>0</v>
      </c>
      <c r="AL24" s="133">
        <f t="shared" si="28"/>
        <v>0</v>
      </c>
      <c r="AM24" s="133">
        <f t="shared" si="28"/>
        <v>0</v>
      </c>
      <c r="AN24" s="133">
        <f t="shared" si="28"/>
        <v>0</v>
      </c>
      <c r="AO24" s="134">
        <f t="shared" si="28"/>
        <v>0</v>
      </c>
      <c r="AQ24" s="9">
        <f>AVERAGE(B24,G24,L24,Q24,V24,AA24,AF24)</f>
        <v>297978.16285714286</v>
      </c>
      <c r="AR24" s="172">
        <v>300000</v>
      </c>
      <c r="AS24" s="9" t="s">
        <v>126</v>
      </c>
    </row>
    <row r="25" spans="1:45" s="9" customFormat="1" ht="15.75" outlineLevel="1" thickBot="1">
      <c r="A25" s="163" t="s">
        <v>25</v>
      </c>
      <c r="B25" s="161">
        <v>66014</v>
      </c>
      <c r="C25" s="141"/>
      <c r="D25" s="141"/>
      <c r="E25" s="141"/>
      <c r="F25" s="142"/>
      <c r="G25" s="161">
        <v>69849</v>
      </c>
      <c r="H25" s="141"/>
      <c r="I25" s="141"/>
      <c r="J25" s="141"/>
      <c r="K25" s="142"/>
      <c r="L25" s="161">
        <v>68407</v>
      </c>
      <c r="M25" s="141"/>
      <c r="N25" s="141"/>
      <c r="O25" s="141"/>
      <c r="P25" s="142"/>
      <c r="Q25" s="140">
        <v>67074</v>
      </c>
      <c r="R25" s="141"/>
      <c r="S25" s="141"/>
      <c r="T25" s="141"/>
      <c r="U25" s="142"/>
      <c r="V25" s="161">
        <v>64884</v>
      </c>
      <c r="W25" s="141"/>
      <c r="X25" s="141"/>
      <c r="Y25" s="141"/>
      <c r="Z25" s="142"/>
      <c r="AA25" s="161">
        <v>64355</v>
      </c>
      <c r="AB25" s="16"/>
      <c r="AC25" s="16"/>
      <c r="AD25" s="16"/>
      <c r="AE25" s="108"/>
      <c r="AF25" s="161">
        <v>64457</v>
      </c>
      <c r="AG25" s="16"/>
      <c r="AH25" s="16"/>
      <c r="AI25" s="16"/>
      <c r="AJ25" s="108"/>
      <c r="AK25" s="161"/>
      <c r="AL25" s="16"/>
      <c r="AM25" s="16"/>
      <c r="AN25" s="16"/>
      <c r="AO25" s="108"/>
    </row>
    <row r="26" spans="1:45" s="9" customFormat="1" ht="15.75" outlineLevel="1" thickBot="1">
      <c r="A26" s="163" t="s">
        <v>24</v>
      </c>
      <c r="B26" s="161">
        <f>125000+45000</f>
        <v>170000</v>
      </c>
      <c r="C26" s="14"/>
      <c r="D26" s="14"/>
      <c r="E26" s="14"/>
      <c r="F26" s="106"/>
      <c r="G26" s="161">
        <f>125000+50000</f>
        <v>175000</v>
      </c>
      <c r="H26" s="14"/>
      <c r="I26" s="14"/>
      <c r="J26" s="14"/>
      <c r="K26" s="106"/>
      <c r="L26" s="161">
        <f>126000+55000</f>
        <v>181000</v>
      </c>
      <c r="M26" s="14"/>
      <c r="N26" s="14"/>
      <c r="O26" s="14"/>
      <c r="P26" s="106"/>
      <c r="Q26" s="161">
        <f>116000+65000</f>
        <v>181000</v>
      </c>
      <c r="R26" s="14"/>
      <c r="S26" s="14"/>
      <c r="T26" s="14"/>
      <c r="U26" s="106"/>
      <c r="V26" s="161">
        <f>60000+116000</f>
        <v>176000</v>
      </c>
      <c r="W26" s="14"/>
      <c r="X26" s="14"/>
      <c r="Y26" s="14"/>
      <c r="Z26" s="106"/>
      <c r="AA26" s="161">
        <f>116000+55000</f>
        <v>171000</v>
      </c>
      <c r="AB26" s="17"/>
      <c r="AC26" s="17"/>
      <c r="AD26" s="17"/>
      <c r="AE26" s="109"/>
      <c r="AF26" s="161">
        <f>60000+116000</f>
        <v>176000</v>
      </c>
      <c r="AG26" s="17"/>
      <c r="AH26" s="17"/>
      <c r="AI26" s="17"/>
      <c r="AJ26" s="109"/>
      <c r="AK26" s="161"/>
      <c r="AL26" s="17"/>
      <c r="AM26" s="17"/>
      <c r="AN26" s="17"/>
      <c r="AO26" s="109"/>
    </row>
    <row r="27" spans="1:45" s="9" customFormat="1" ht="15.75" outlineLevel="1" thickBot="1">
      <c r="A27" s="163" t="s">
        <v>35</v>
      </c>
      <c r="B27" s="161">
        <v>0</v>
      </c>
      <c r="C27" s="14"/>
      <c r="D27" s="14"/>
      <c r="E27" s="14"/>
      <c r="F27" s="106"/>
      <c r="G27" s="161"/>
      <c r="H27" s="14"/>
      <c r="I27" s="14"/>
      <c r="J27" s="14"/>
      <c r="K27" s="106"/>
      <c r="L27" s="161"/>
      <c r="M27" s="14"/>
      <c r="N27" s="14"/>
      <c r="O27" s="14"/>
      <c r="P27" s="106"/>
      <c r="Q27" s="161"/>
      <c r="R27" s="14"/>
      <c r="S27" s="14"/>
      <c r="T27" s="14"/>
      <c r="U27" s="106"/>
      <c r="V27" s="161"/>
      <c r="W27" s="14"/>
      <c r="X27" s="14"/>
      <c r="Y27" s="14"/>
      <c r="Z27" s="106"/>
      <c r="AA27" s="161"/>
      <c r="AB27" s="17"/>
      <c r="AC27" s="17"/>
      <c r="AD27" s="17"/>
      <c r="AE27" s="109"/>
      <c r="AF27" s="161"/>
      <c r="AG27" s="17"/>
      <c r="AH27" s="17"/>
      <c r="AI27" s="17"/>
      <c r="AJ27" s="109"/>
      <c r="AK27" s="161"/>
      <c r="AL27" s="17"/>
      <c r="AM27" s="17"/>
      <c r="AN27" s="17"/>
      <c r="AO27" s="109"/>
    </row>
    <row r="28" spans="1:45" s="9" customFormat="1" ht="15.75" outlineLevel="1" thickBot="1">
      <c r="A28" s="163" t="s">
        <v>36</v>
      </c>
      <c r="B28" s="161">
        <v>0</v>
      </c>
      <c r="C28" s="14"/>
      <c r="D28" s="14"/>
      <c r="E28" s="14"/>
      <c r="F28" s="106"/>
      <c r="G28" s="161"/>
      <c r="H28" s="14"/>
      <c r="I28" s="14"/>
      <c r="J28" s="14"/>
      <c r="K28" s="106"/>
      <c r="L28" s="161"/>
      <c r="M28" s="14"/>
      <c r="N28" s="14"/>
      <c r="O28" s="14"/>
      <c r="P28" s="106"/>
      <c r="Q28" s="161"/>
      <c r="R28" s="14"/>
      <c r="S28" s="14"/>
      <c r="T28" s="14"/>
      <c r="U28" s="106"/>
      <c r="V28" s="161"/>
      <c r="W28" s="14"/>
      <c r="X28" s="14"/>
      <c r="Y28" s="14"/>
      <c r="Z28" s="106"/>
      <c r="AA28" s="161"/>
      <c r="AB28" s="17"/>
      <c r="AC28" s="17"/>
      <c r="AD28" s="17"/>
      <c r="AE28" s="109"/>
      <c r="AF28" s="161"/>
      <c r="AG28" s="17"/>
      <c r="AH28" s="17"/>
      <c r="AI28" s="17"/>
      <c r="AJ28" s="109"/>
      <c r="AK28" s="161"/>
      <c r="AL28" s="17"/>
      <c r="AM28" s="17"/>
      <c r="AN28" s="17"/>
      <c r="AO28" s="109"/>
    </row>
    <row r="29" spans="1:45" s="9" customFormat="1" ht="15.75" outlineLevel="1" thickBot="1">
      <c r="A29" s="163" t="s">
        <v>6</v>
      </c>
      <c r="B29" s="161">
        <v>1497</v>
      </c>
      <c r="C29" s="14"/>
      <c r="D29" s="14"/>
      <c r="E29" s="14"/>
      <c r="F29" s="106"/>
      <c r="G29" s="161">
        <v>12888</v>
      </c>
      <c r="H29" s="14"/>
      <c r="I29" s="14"/>
      <c r="J29" s="14"/>
      <c r="K29" s="106"/>
      <c r="L29" s="161">
        <v>13036</v>
      </c>
      <c r="M29" s="14"/>
      <c r="N29" s="14"/>
      <c r="O29" s="14"/>
      <c r="P29" s="106"/>
      <c r="Q29" s="161">
        <v>11198.34</v>
      </c>
      <c r="R29" s="14"/>
      <c r="S29" s="14"/>
      <c r="T29" s="14"/>
      <c r="U29" s="106"/>
      <c r="V29" s="161">
        <v>11175</v>
      </c>
      <c r="W29" s="14"/>
      <c r="X29" s="14"/>
      <c r="Y29" s="14"/>
      <c r="Z29" s="106"/>
      <c r="AA29" s="161">
        <v>15348</v>
      </c>
      <c r="AB29" s="17"/>
      <c r="AC29" s="17"/>
      <c r="AD29" s="17"/>
      <c r="AE29" s="109"/>
      <c r="AF29" s="161">
        <v>16578</v>
      </c>
      <c r="AG29" s="17"/>
      <c r="AH29" s="17"/>
      <c r="AI29" s="17"/>
      <c r="AJ29" s="109"/>
      <c r="AK29" s="161"/>
      <c r="AL29" s="17"/>
      <c r="AM29" s="17"/>
      <c r="AN29" s="17"/>
      <c r="AO29" s="109"/>
    </row>
    <row r="30" spans="1:45" s="9" customFormat="1" ht="15.75" outlineLevel="1" thickBot="1">
      <c r="A30" s="163" t="s">
        <v>26</v>
      </c>
      <c r="B30" s="161">
        <v>11500</v>
      </c>
      <c r="C30" s="14"/>
      <c r="D30" s="14"/>
      <c r="E30" s="14"/>
      <c r="F30" s="106"/>
      <c r="G30" s="161">
        <v>3700</v>
      </c>
      <c r="H30" s="14"/>
      <c r="I30" s="14"/>
      <c r="J30" s="14"/>
      <c r="K30" s="106"/>
      <c r="L30" s="161">
        <v>3350</v>
      </c>
      <c r="M30" s="157"/>
      <c r="N30" s="14"/>
      <c r="O30" s="14"/>
      <c r="P30" s="106"/>
      <c r="Q30" s="161">
        <v>3700</v>
      </c>
      <c r="R30" s="14"/>
      <c r="S30" s="14"/>
      <c r="T30" s="14"/>
      <c r="U30" s="106"/>
      <c r="V30" s="161">
        <v>3200</v>
      </c>
      <c r="W30" s="14"/>
      <c r="X30" s="14"/>
      <c r="Y30" s="14"/>
      <c r="Z30" s="106"/>
      <c r="AA30" s="161">
        <v>3300</v>
      </c>
      <c r="AB30" s="17"/>
      <c r="AC30" s="17"/>
      <c r="AD30" s="17"/>
      <c r="AE30" s="109"/>
      <c r="AF30" s="161">
        <v>3200</v>
      </c>
      <c r="AG30" s="17"/>
      <c r="AH30" s="17"/>
      <c r="AI30" s="17"/>
      <c r="AJ30" s="109"/>
      <c r="AK30" s="161"/>
      <c r="AL30" s="17"/>
      <c r="AM30" s="17"/>
      <c r="AN30" s="17"/>
      <c r="AO30" s="109"/>
    </row>
    <row r="31" spans="1:45" s="9" customFormat="1" ht="15.75" outlineLevel="1" thickBot="1">
      <c r="A31" s="163" t="s">
        <v>7</v>
      </c>
      <c r="B31" s="161">
        <f t="shared" ref="B31:B35" si="29">SUM(C31:F31)</f>
        <v>0</v>
      </c>
      <c r="C31" s="14"/>
      <c r="D31" s="14"/>
      <c r="E31" s="14"/>
      <c r="F31" s="106"/>
      <c r="G31" s="161">
        <v>2840</v>
      </c>
      <c r="H31" s="14"/>
      <c r="I31" s="14"/>
      <c r="J31" s="14"/>
      <c r="K31" s="106"/>
      <c r="L31" s="161">
        <v>6322</v>
      </c>
      <c r="M31" s="14"/>
      <c r="N31" s="14"/>
      <c r="O31" s="14"/>
      <c r="P31" s="106"/>
      <c r="Q31" s="161">
        <v>4825</v>
      </c>
      <c r="R31" s="14"/>
      <c r="S31" s="14"/>
      <c r="T31" s="14"/>
      <c r="U31" s="106"/>
      <c r="V31" s="161">
        <v>3881</v>
      </c>
      <c r="W31" s="14"/>
      <c r="X31" s="14"/>
      <c r="Y31" s="14"/>
      <c r="Z31" s="106"/>
      <c r="AA31" s="161">
        <v>8272</v>
      </c>
      <c r="AB31" s="17"/>
      <c r="AC31" s="17"/>
      <c r="AD31" s="17"/>
      <c r="AE31" s="109"/>
      <c r="AF31" s="161">
        <v>9159</v>
      </c>
      <c r="AG31" s="17"/>
      <c r="AH31" s="17"/>
      <c r="AI31" s="17"/>
      <c r="AJ31" s="109"/>
      <c r="AK31" s="161"/>
      <c r="AL31" s="17"/>
      <c r="AM31" s="17"/>
      <c r="AN31" s="17"/>
      <c r="AO31" s="109"/>
    </row>
    <row r="32" spans="1:45" s="9" customFormat="1" ht="15.75" outlineLevel="1" thickBot="1">
      <c r="A32" s="163" t="s">
        <v>8</v>
      </c>
      <c r="B32" s="161">
        <f t="shared" si="29"/>
        <v>0</v>
      </c>
      <c r="C32" s="14"/>
      <c r="D32" s="14"/>
      <c r="E32" s="14"/>
      <c r="F32" s="106"/>
      <c r="G32" s="161">
        <f>3214+1071</f>
        <v>4285</v>
      </c>
      <c r="H32" s="14"/>
      <c r="I32" s="14"/>
      <c r="J32" s="14"/>
      <c r="K32" s="106"/>
      <c r="L32" s="161"/>
      <c r="M32" s="14"/>
      <c r="N32" s="14"/>
      <c r="O32" s="14"/>
      <c r="P32" s="106"/>
      <c r="Q32" s="161">
        <v>8250</v>
      </c>
      <c r="R32" s="14"/>
      <c r="S32" s="14"/>
      <c r="T32" s="14"/>
      <c r="U32" s="106"/>
      <c r="V32" s="161">
        <v>3042</v>
      </c>
      <c r="W32" s="14"/>
      <c r="X32" s="14"/>
      <c r="Y32" s="14"/>
      <c r="Z32" s="106"/>
      <c r="AA32" s="161"/>
      <c r="AB32" s="17"/>
      <c r="AC32" s="17"/>
      <c r="AD32" s="17"/>
      <c r="AE32" s="109"/>
      <c r="AF32" s="161"/>
      <c r="AG32" s="17"/>
      <c r="AH32" s="17"/>
      <c r="AI32" s="17"/>
      <c r="AJ32" s="109"/>
      <c r="AK32" s="161"/>
      <c r="AL32" s="17"/>
      <c r="AM32" s="17"/>
      <c r="AN32" s="17"/>
      <c r="AO32" s="109"/>
    </row>
    <row r="33" spans="1:43" s="9" customFormat="1" ht="15.75" outlineLevel="1" thickBot="1">
      <c r="A33" s="163" t="s">
        <v>9</v>
      </c>
      <c r="B33" s="162">
        <v>0</v>
      </c>
      <c r="C33" s="15"/>
      <c r="D33" s="15"/>
      <c r="E33" s="15"/>
      <c r="F33" s="107"/>
      <c r="G33" s="162"/>
      <c r="H33" s="15"/>
      <c r="I33" s="15"/>
      <c r="J33" s="15"/>
      <c r="K33" s="107"/>
      <c r="L33" s="162"/>
      <c r="M33" s="15"/>
      <c r="N33" s="15"/>
      <c r="O33" s="15"/>
      <c r="P33" s="107"/>
      <c r="Q33" s="162"/>
      <c r="R33" s="15"/>
      <c r="S33" s="15"/>
      <c r="T33" s="15"/>
      <c r="U33" s="107"/>
      <c r="V33" s="162"/>
      <c r="W33" s="15"/>
      <c r="X33" s="15"/>
      <c r="Y33" s="15"/>
      <c r="Z33" s="107"/>
      <c r="AA33" s="162"/>
      <c r="AB33" s="18"/>
      <c r="AC33" s="18"/>
      <c r="AD33" s="18"/>
      <c r="AE33" s="110"/>
      <c r="AF33" s="162"/>
      <c r="AG33" s="18"/>
      <c r="AH33" s="18"/>
      <c r="AI33" s="18"/>
      <c r="AJ33" s="110"/>
      <c r="AK33" s="162"/>
      <c r="AL33" s="18"/>
      <c r="AM33" s="18"/>
      <c r="AN33" s="18"/>
      <c r="AO33" s="110"/>
    </row>
    <row r="34" spans="1:43" s="9" customFormat="1" ht="15.75" outlineLevel="1" thickBot="1">
      <c r="A34" s="163" t="s">
        <v>13</v>
      </c>
      <c r="B34" s="162">
        <v>0</v>
      </c>
      <c r="C34" s="14"/>
      <c r="D34" s="14"/>
      <c r="E34" s="14"/>
      <c r="F34" s="106"/>
      <c r="G34" s="162"/>
      <c r="H34" s="14"/>
      <c r="I34" s="14"/>
      <c r="J34" s="14"/>
      <c r="K34" s="106"/>
      <c r="L34" s="162"/>
      <c r="M34" s="14"/>
      <c r="N34" s="14"/>
      <c r="O34" s="14"/>
      <c r="P34" s="106"/>
      <c r="Q34" s="162"/>
      <c r="R34" s="14"/>
      <c r="S34" s="14"/>
      <c r="T34" s="14"/>
      <c r="U34" s="106"/>
      <c r="V34" s="162"/>
      <c r="W34" s="14"/>
      <c r="X34" s="14"/>
      <c r="Y34" s="14"/>
      <c r="Z34" s="106"/>
      <c r="AA34" s="162"/>
      <c r="AB34" s="17"/>
      <c r="AC34" s="17"/>
      <c r="AD34" s="17"/>
      <c r="AE34" s="109"/>
      <c r="AF34" s="162"/>
      <c r="AG34" s="17"/>
      <c r="AH34" s="17"/>
      <c r="AI34" s="17"/>
      <c r="AJ34" s="109"/>
      <c r="AK34" s="162"/>
      <c r="AL34" s="17"/>
      <c r="AM34" s="17"/>
      <c r="AN34" s="17"/>
      <c r="AO34" s="109"/>
    </row>
    <row r="35" spans="1:43" s="9" customFormat="1" ht="15.75" outlineLevel="1" thickBot="1">
      <c r="A35" s="163" t="s">
        <v>14</v>
      </c>
      <c r="B35" s="161">
        <f t="shared" si="29"/>
        <v>0</v>
      </c>
      <c r="C35" s="14"/>
      <c r="D35" s="14"/>
      <c r="E35" s="14"/>
      <c r="F35" s="106"/>
      <c r="G35" s="161"/>
      <c r="H35" s="14"/>
      <c r="I35" s="14"/>
      <c r="J35" s="14"/>
      <c r="K35" s="106"/>
      <c r="L35" s="161"/>
      <c r="M35" s="14"/>
      <c r="N35" s="14"/>
      <c r="O35" s="14"/>
      <c r="P35" s="106"/>
      <c r="Q35" s="161"/>
      <c r="R35" s="14"/>
      <c r="S35" s="14"/>
      <c r="T35" s="14"/>
      <c r="U35" s="106"/>
      <c r="V35" s="161"/>
      <c r="W35" s="14"/>
      <c r="X35" s="14"/>
      <c r="Y35" s="14"/>
      <c r="Z35" s="106"/>
      <c r="AA35" s="161"/>
      <c r="AB35" s="17"/>
      <c r="AC35" s="17"/>
      <c r="AD35" s="17"/>
      <c r="AE35" s="109"/>
      <c r="AF35" s="161"/>
      <c r="AG35" s="17"/>
      <c r="AH35" s="17"/>
      <c r="AI35" s="17"/>
      <c r="AJ35" s="109"/>
      <c r="AK35" s="161"/>
      <c r="AL35" s="17"/>
      <c r="AM35" s="17"/>
      <c r="AN35" s="17"/>
      <c r="AO35" s="109"/>
    </row>
    <row r="36" spans="1:43" s="9" customFormat="1" ht="15.75" outlineLevel="1" thickBot="1">
      <c r="A36" s="163" t="s">
        <v>10</v>
      </c>
      <c r="B36" s="161">
        <v>21707</v>
      </c>
      <c r="C36" s="14"/>
      <c r="D36" s="14"/>
      <c r="E36" s="14"/>
      <c r="F36" s="106"/>
      <c r="G36" s="161">
        <v>30948</v>
      </c>
      <c r="H36" s="14"/>
      <c r="I36" s="14"/>
      <c r="J36" s="14"/>
      <c r="K36" s="106"/>
      <c r="L36" s="161">
        <v>42686.8</v>
      </c>
      <c r="M36" s="14"/>
      <c r="N36" s="14"/>
      <c r="O36" s="14"/>
      <c r="P36" s="106"/>
      <c r="Q36" s="161">
        <f>44676+3756</f>
        <v>48432</v>
      </c>
      <c r="R36" s="14"/>
      <c r="S36" s="14"/>
      <c r="T36" s="14"/>
      <c r="U36" s="106"/>
      <c r="V36" s="161">
        <f>24679+4064</f>
        <v>28743</v>
      </c>
      <c r="W36" s="14"/>
      <c r="X36" s="14"/>
      <c r="Y36" s="14"/>
      <c r="Z36" s="106"/>
      <c r="AA36" s="161">
        <f>18862</f>
        <v>18862</v>
      </c>
      <c r="AB36" s="17"/>
      <c r="AC36" s="17"/>
      <c r="AD36" s="17"/>
      <c r="AE36" s="109"/>
      <c r="AF36" s="161">
        <v>34882</v>
      </c>
      <c r="AG36" s="17"/>
      <c r="AH36" s="17"/>
      <c r="AI36" s="17"/>
      <c r="AJ36" s="109"/>
      <c r="AK36" s="161"/>
      <c r="AL36" s="17"/>
      <c r="AM36" s="17"/>
      <c r="AN36" s="17"/>
      <c r="AO36" s="109"/>
    </row>
    <row r="37" spans="1:43" s="9" customFormat="1" ht="15.75" outlineLevel="1" thickBot="1">
      <c r="A37" s="163" t="s">
        <v>57</v>
      </c>
      <c r="B37" s="161">
        <v>0</v>
      </c>
      <c r="C37" s="10"/>
      <c r="D37" s="10"/>
      <c r="E37" s="10"/>
      <c r="F37" s="105"/>
      <c r="G37" s="161"/>
      <c r="H37" s="10"/>
      <c r="I37" s="10"/>
      <c r="J37" s="10"/>
      <c r="K37" s="105"/>
      <c r="L37" s="161"/>
      <c r="M37" s="10"/>
      <c r="N37" s="10"/>
      <c r="O37" s="10"/>
      <c r="P37" s="105"/>
      <c r="Q37" s="161"/>
      <c r="R37" s="10"/>
      <c r="S37" s="10"/>
      <c r="T37" s="10"/>
      <c r="U37" s="105"/>
      <c r="V37" s="161"/>
      <c r="W37" s="10"/>
      <c r="X37" s="10"/>
      <c r="Y37" s="10"/>
      <c r="Z37" s="105"/>
      <c r="AA37" s="161"/>
      <c r="AB37" s="19"/>
      <c r="AC37" s="19"/>
      <c r="AD37" s="19"/>
      <c r="AE37" s="111"/>
      <c r="AF37" s="161"/>
      <c r="AG37" s="19"/>
      <c r="AH37" s="19"/>
      <c r="AI37" s="19"/>
      <c r="AJ37" s="111"/>
      <c r="AK37" s="161"/>
      <c r="AL37" s="19"/>
      <c r="AM37" s="19"/>
      <c r="AN37" s="19"/>
      <c r="AO37" s="111"/>
    </row>
    <row r="38" spans="1:43" s="9" customFormat="1" ht="15.75" outlineLevel="1" thickBot="1">
      <c r="A38" s="163" t="s">
        <v>128</v>
      </c>
      <c r="B38" s="161"/>
      <c r="C38" s="10"/>
      <c r="D38" s="10"/>
      <c r="E38" s="10"/>
      <c r="F38" s="105"/>
      <c r="G38" s="161"/>
      <c r="H38" s="10"/>
      <c r="I38" s="10"/>
      <c r="J38" s="10"/>
      <c r="K38" s="105"/>
      <c r="L38" s="161"/>
      <c r="M38" s="10"/>
      <c r="N38" s="10"/>
      <c r="O38" s="10"/>
      <c r="P38" s="105"/>
      <c r="Q38" s="161"/>
      <c r="R38" s="10"/>
      <c r="S38" s="10"/>
      <c r="T38" s="10"/>
      <c r="U38" s="105"/>
      <c r="V38" s="161"/>
      <c r="W38" s="10"/>
      <c r="X38" s="10"/>
      <c r="Y38" s="10"/>
      <c r="Z38" s="105"/>
      <c r="AA38" s="161"/>
      <c r="AB38" s="19"/>
      <c r="AC38" s="19"/>
      <c r="AD38" s="19"/>
      <c r="AE38" s="111"/>
      <c r="AF38" s="161"/>
      <c r="AG38" s="19"/>
      <c r="AH38" s="19"/>
      <c r="AI38" s="19"/>
      <c r="AJ38" s="111"/>
      <c r="AK38" s="161"/>
      <c r="AL38" s="19"/>
      <c r="AM38" s="19"/>
      <c r="AN38" s="19"/>
      <c r="AO38" s="111"/>
    </row>
    <row r="39" spans="1:43" s="12" customFormat="1" ht="15.75" thickBot="1">
      <c r="A39" s="165" t="s">
        <v>27</v>
      </c>
      <c r="B39" s="166">
        <f>B6-B11-B24</f>
        <v>307722.85098039219</v>
      </c>
      <c r="C39" s="167"/>
      <c r="D39" s="167"/>
      <c r="E39" s="167"/>
      <c r="F39" s="168"/>
      <c r="G39" s="166">
        <f>G6-G11-G24</f>
        <v>405643.08999999985</v>
      </c>
      <c r="H39" s="167"/>
      <c r="I39" s="167"/>
      <c r="J39" s="167"/>
      <c r="K39" s="168"/>
      <c r="L39" s="166">
        <f>L6-L11-L24</f>
        <v>616428.07999999984</v>
      </c>
      <c r="M39" s="167"/>
      <c r="N39" s="167"/>
      <c r="O39" s="167"/>
      <c r="P39" s="168"/>
      <c r="Q39" s="166">
        <f>Q6-Q11-Q24</f>
        <v>1041616.9900000001</v>
      </c>
      <c r="R39" s="167"/>
      <c r="S39" s="167"/>
      <c r="T39" s="167"/>
      <c r="U39" s="168"/>
      <c r="V39" s="166">
        <f>V6-V11-V24</f>
        <v>711289.68000000017</v>
      </c>
      <c r="W39" s="167"/>
      <c r="X39" s="167"/>
      <c r="Y39" s="167"/>
      <c r="Z39" s="168"/>
      <c r="AA39" s="166">
        <f>AA6-AA11-AA24</f>
        <v>612593.98999999976</v>
      </c>
      <c r="AB39" s="137"/>
      <c r="AC39" s="137"/>
      <c r="AD39" s="137"/>
      <c r="AE39" s="138"/>
      <c r="AF39" s="166">
        <f>AF6-AF11-AF24</f>
        <v>842316.41000000015</v>
      </c>
      <c r="AG39" s="137"/>
      <c r="AH39" s="137"/>
      <c r="AI39" s="137"/>
      <c r="AJ39" s="138"/>
      <c r="AK39" s="166">
        <f>AK6-AK11-AK24</f>
        <v>0</v>
      </c>
      <c r="AL39" s="137"/>
      <c r="AM39" s="137"/>
      <c r="AN39" s="137"/>
      <c r="AO39" s="138"/>
      <c r="AQ39" s="12">
        <f>SUM(B39,G39,L39,Q39,V39,AA39,AF39)</f>
        <v>4537611.0909803919</v>
      </c>
    </row>
    <row r="40" spans="1:43" s="12" customFormat="1" ht="15.75" thickBot="1">
      <c r="A40" s="156" t="s">
        <v>12</v>
      </c>
      <c r="B40" s="169">
        <f>B39/B6</f>
        <v>0.10174812281888235</v>
      </c>
      <c r="C40" s="170"/>
      <c r="D40" s="170"/>
      <c r="E40" s="170"/>
      <c r="F40" s="171"/>
      <c r="G40" s="169">
        <f>G39/G6</f>
        <v>0.12781945403321121</v>
      </c>
      <c r="H40" s="170"/>
      <c r="I40" s="170"/>
      <c r="J40" s="170"/>
      <c r="K40" s="171"/>
      <c r="L40" s="169">
        <f>L39/L6</f>
        <v>0.17518397315862716</v>
      </c>
      <c r="M40" s="170"/>
      <c r="N40" s="170"/>
      <c r="O40" s="170"/>
      <c r="P40" s="171"/>
      <c r="Q40" s="169">
        <f>Q39/Q6</f>
        <v>0.29127291401828709</v>
      </c>
      <c r="R40" s="170"/>
      <c r="S40" s="170"/>
      <c r="T40" s="170"/>
      <c r="U40" s="171"/>
      <c r="V40" s="169">
        <f>V39/V6</f>
        <v>0.23092913557616734</v>
      </c>
      <c r="W40" s="170"/>
      <c r="X40" s="170"/>
      <c r="Y40" s="170"/>
      <c r="Z40" s="171"/>
      <c r="AA40" s="169">
        <f>AA39/AA6</f>
        <v>0.2046640850095951</v>
      </c>
      <c r="AB40" s="137"/>
      <c r="AC40" s="137"/>
      <c r="AD40" s="137"/>
      <c r="AE40" s="138"/>
      <c r="AF40" s="169">
        <f>AF39/AF6</f>
        <v>0.25782470649021189</v>
      </c>
      <c r="AG40" s="137"/>
      <c r="AH40" s="137"/>
      <c r="AI40" s="137"/>
      <c r="AJ40" s="138"/>
      <c r="AK40" s="169" t="e">
        <f>AK39/AK6</f>
        <v>#DIV/0!</v>
      </c>
      <c r="AL40" s="137"/>
      <c r="AM40" s="137"/>
      <c r="AN40" s="137"/>
      <c r="AO40" s="138"/>
    </row>
    <row r="41" spans="1:43" s="9" customFormat="1" ht="15.75" outlineLevel="1" thickBot="1">
      <c r="A41" s="163" t="s">
        <v>28</v>
      </c>
      <c r="B41" s="161">
        <f t="shared" ref="B41:B42" si="30">SUM(C41:F41)</f>
        <v>0</v>
      </c>
      <c r="C41" s="14"/>
      <c r="D41" s="14"/>
      <c r="E41" s="14"/>
      <c r="F41" s="106"/>
      <c r="G41" s="140">
        <f t="shared" ref="G41:G42" si="31">SUM(H41:K41)</f>
        <v>0</v>
      </c>
      <c r="H41" s="14"/>
      <c r="I41" s="14"/>
      <c r="J41" s="14"/>
      <c r="K41" s="106"/>
      <c r="L41" s="140">
        <f t="shared" ref="L41:L42" si="32">SUM(M41:P41)</f>
        <v>0</v>
      </c>
      <c r="M41" s="14"/>
      <c r="N41" s="14"/>
      <c r="O41" s="14"/>
      <c r="P41" s="106"/>
      <c r="Q41" s="140">
        <f t="shared" ref="Q41:Q42" si="33">SUM(R41:U41)</f>
        <v>0</v>
      </c>
      <c r="R41" s="14"/>
      <c r="S41" s="14"/>
      <c r="T41" s="14"/>
      <c r="U41" s="106"/>
      <c r="V41" s="140">
        <f t="shared" ref="V41:V42" si="34">SUM(W41:Z41)</f>
        <v>0</v>
      </c>
      <c r="W41" s="14"/>
      <c r="X41" s="14"/>
      <c r="Y41" s="14"/>
      <c r="Z41" s="106"/>
      <c r="AA41" s="140">
        <f t="shared" ref="AA41:AA42" si="35">SUM(AB41:AE41)</f>
        <v>0</v>
      </c>
      <c r="AB41" s="14"/>
      <c r="AC41" s="14"/>
      <c r="AD41" s="14"/>
      <c r="AE41" s="106"/>
      <c r="AF41" s="140">
        <f t="shared" ref="AF41:AF42" si="36">SUM(AG41:AJ41)</f>
        <v>0</v>
      </c>
      <c r="AG41" s="14"/>
      <c r="AH41" s="14"/>
      <c r="AI41" s="14"/>
      <c r="AJ41" s="106"/>
      <c r="AK41" s="140">
        <f t="shared" ref="AK41:AK42" si="37">SUM(AL41:AO41)</f>
        <v>0</v>
      </c>
      <c r="AL41" s="14"/>
      <c r="AM41" s="14"/>
      <c r="AN41" s="14"/>
      <c r="AO41" s="106"/>
    </row>
    <row r="42" spans="1:43" s="9" customFormat="1" ht="15.75" outlineLevel="1" thickBot="1">
      <c r="A42" s="163" t="s">
        <v>32</v>
      </c>
      <c r="B42" s="161">
        <f t="shared" si="30"/>
        <v>0</v>
      </c>
      <c r="C42" s="10"/>
      <c r="D42" s="10"/>
      <c r="E42" s="10"/>
      <c r="F42" s="105"/>
      <c r="G42" s="140">
        <f t="shared" si="31"/>
        <v>0</v>
      </c>
      <c r="H42" s="10"/>
      <c r="I42" s="10"/>
      <c r="J42" s="10"/>
      <c r="K42" s="105"/>
      <c r="L42" s="140">
        <f t="shared" si="32"/>
        <v>0</v>
      </c>
      <c r="M42" s="10"/>
      <c r="N42" s="10"/>
      <c r="O42" s="10"/>
      <c r="P42" s="105"/>
      <c r="Q42" s="140">
        <f t="shared" si="33"/>
        <v>0</v>
      </c>
      <c r="R42" s="10"/>
      <c r="S42" s="10"/>
      <c r="T42" s="10"/>
      <c r="U42" s="105"/>
      <c r="V42" s="140">
        <f t="shared" si="34"/>
        <v>0</v>
      </c>
      <c r="W42" s="10"/>
      <c r="X42" s="10"/>
      <c r="Y42" s="10"/>
      <c r="Z42" s="105"/>
      <c r="AA42" s="140">
        <f t="shared" si="35"/>
        <v>0</v>
      </c>
      <c r="AB42" s="10"/>
      <c r="AC42" s="10"/>
      <c r="AD42" s="10"/>
      <c r="AE42" s="105"/>
      <c r="AF42" s="140">
        <f t="shared" si="36"/>
        <v>0</v>
      </c>
      <c r="AG42" s="10"/>
      <c r="AH42" s="10"/>
      <c r="AI42" s="10"/>
      <c r="AJ42" s="105"/>
      <c r="AK42" s="140">
        <f t="shared" si="37"/>
        <v>0</v>
      </c>
      <c r="AL42" s="10"/>
      <c r="AM42" s="10"/>
      <c r="AN42" s="10"/>
      <c r="AO42" s="105"/>
    </row>
    <row r="43" spans="1:43" s="9" customFormat="1" ht="15.75" outlineLevel="1" thickBot="1">
      <c r="A43" s="163" t="s">
        <v>123</v>
      </c>
      <c r="B43" s="161">
        <v>181564</v>
      </c>
      <c r="C43" s="10"/>
      <c r="D43" s="10"/>
      <c r="E43" s="10"/>
      <c r="F43" s="105"/>
      <c r="G43" s="140">
        <v>100316.5</v>
      </c>
      <c r="H43" s="10"/>
      <c r="I43" s="10"/>
      <c r="J43" s="10"/>
      <c r="K43" s="105"/>
      <c r="L43" s="140">
        <v>516115.33999999997</v>
      </c>
      <c r="M43" s="10"/>
      <c r="N43" s="10"/>
      <c r="O43" s="10"/>
      <c r="P43" s="105"/>
      <c r="Q43" s="140">
        <v>717766.5</v>
      </c>
      <c r="R43" s="10"/>
      <c r="S43" s="10"/>
      <c r="T43" s="10"/>
      <c r="U43" s="105"/>
      <c r="V43" s="140">
        <v>591178</v>
      </c>
      <c r="W43" s="10"/>
      <c r="X43" s="10"/>
      <c r="Y43" s="10"/>
      <c r="Z43" s="105"/>
      <c r="AA43" s="140">
        <v>676848.05</v>
      </c>
      <c r="AB43" s="10"/>
      <c r="AC43" s="10"/>
      <c r="AD43" s="10"/>
      <c r="AE43" s="105"/>
      <c r="AF43" s="140">
        <v>647986</v>
      </c>
      <c r="AG43" s="10"/>
      <c r="AH43" s="10"/>
      <c r="AI43" s="10"/>
      <c r="AJ43" s="105"/>
      <c r="AK43" s="140"/>
      <c r="AL43" s="10"/>
      <c r="AM43" s="10"/>
      <c r="AN43" s="10"/>
      <c r="AO43" s="105"/>
      <c r="AQ43" s="12">
        <f>SUM(B43,G43,L43,Q43,V43,AA43,AF43)</f>
        <v>3431774.3899999997</v>
      </c>
    </row>
    <row r="44" spans="1:43" s="12" customFormat="1">
      <c r="A44" s="165" t="s">
        <v>11</v>
      </c>
      <c r="B44" s="166">
        <f>B39-B41-B42-B43</f>
        <v>126158.85098039219</v>
      </c>
      <c r="C44" s="167"/>
      <c r="D44" s="167"/>
      <c r="E44" s="167"/>
      <c r="F44" s="168"/>
      <c r="G44" s="166">
        <f>G39-G41-G42-G43</f>
        <v>305326.58999999985</v>
      </c>
      <c r="H44" s="167"/>
      <c r="I44" s="167"/>
      <c r="J44" s="167"/>
      <c r="K44" s="168"/>
      <c r="L44" s="166">
        <f>L39-L41-L42-L43</f>
        <v>100312.73999999987</v>
      </c>
      <c r="M44" s="167"/>
      <c r="N44" s="167"/>
      <c r="O44" s="167"/>
      <c r="P44" s="168"/>
      <c r="Q44" s="166">
        <f>Q39-Q41-Q42-Q43</f>
        <v>323850.49000000011</v>
      </c>
      <c r="R44" s="167"/>
      <c r="S44" s="167"/>
      <c r="T44" s="167"/>
      <c r="U44" s="168"/>
      <c r="V44" s="166">
        <f>V39-V41-V42-V43</f>
        <v>120111.68000000017</v>
      </c>
      <c r="W44" s="167"/>
      <c r="X44" s="167"/>
      <c r="Y44" s="167"/>
      <c r="Z44" s="168"/>
      <c r="AA44" s="166">
        <f>AA39-AA41-AA42-AA43</f>
        <v>-64254.060000000289</v>
      </c>
      <c r="AB44" s="137"/>
      <c r="AC44" s="137"/>
      <c r="AD44" s="137"/>
      <c r="AE44" s="138"/>
      <c r="AF44" s="166">
        <f>AF39-AF41-AF42-AF43</f>
        <v>194330.41000000015</v>
      </c>
      <c r="AG44" s="137"/>
      <c r="AH44" s="137"/>
      <c r="AI44" s="137"/>
      <c r="AJ44" s="138"/>
      <c r="AK44" s="166">
        <f>AK39-AK41-AK42-AK43</f>
        <v>0</v>
      </c>
      <c r="AL44" s="137"/>
      <c r="AM44" s="137"/>
      <c r="AN44" s="137"/>
      <c r="AO44" s="138"/>
      <c r="AQ44" s="12">
        <f>SUM(B44,G44,L44,Q44,V44,AA44,AF44)</f>
        <v>1105836.7009803921</v>
      </c>
    </row>
    <row r="45" spans="1:43" s="9" customFormat="1" ht="17.25" hidden="1" customHeight="1" thickBot="1">
      <c r="A45" s="164" t="s">
        <v>33</v>
      </c>
      <c r="B45" s="143">
        <f>B44*90%</f>
        <v>113542.96588235298</v>
      </c>
      <c r="C45" s="144"/>
      <c r="D45" s="144"/>
      <c r="E45" s="144"/>
      <c r="F45" s="145"/>
      <c r="G45" s="143">
        <f>G44*90%</f>
        <v>274793.93099999987</v>
      </c>
      <c r="H45" s="144"/>
      <c r="I45" s="144"/>
      <c r="J45" s="144"/>
      <c r="K45" s="145"/>
      <c r="L45" s="143">
        <f>L44*90%</f>
        <v>90281.465999999884</v>
      </c>
      <c r="M45" s="144"/>
      <c r="N45" s="144"/>
      <c r="O45" s="144"/>
      <c r="P45" s="145"/>
      <c r="Q45" s="143">
        <f>Q44*90%</f>
        <v>291465.44100000011</v>
      </c>
      <c r="R45" s="144"/>
      <c r="S45" s="144"/>
      <c r="T45" s="144"/>
      <c r="U45" s="145"/>
      <c r="V45" s="143">
        <f>V44*90%</f>
        <v>108100.51200000015</v>
      </c>
      <c r="W45" s="144"/>
      <c r="X45" s="144"/>
      <c r="Y45" s="144"/>
      <c r="Z45" s="145"/>
      <c r="AA45" s="143">
        <f>AA44*90%</f>
        <v>-57828.654000000264</v>
      </c>
      <c r="AB45" s="13"/>
      <c r="AC45" s="13"/>
      <c r="AD45" s="13"/>
      <c r="AE45" s="112"/>
    </row>
    <row r="46" spans="1:43" ht="15.75" hidden="1" thickBot="1">
      <c r="A46" s="164" t="s">
        <v>29</v>
      </c>
      <c r="B46" s="146">
        <f>B44*10%</f>
        <v>12615.88509803922</v>
      </c>
      <c r="C46" s="147"/>
      <c r="D46" s="147"/>
      <c r="E46" s="147"/>
      <c r="F46" s="148"/>
      <c r="G46" s="146">
        <f>G44*10%</f>
        <v>30532.658999999985</v>
      </c>
      <c r="H46" s="147"/>
      <c r="I46" s="147"/>
      <c r="J46" s="147"/>
      <c r="K46" s="148"/>
      <c r="L46" s="146">
        <f>L44*10%</f>
        <v>10031.273999999989</v>
      </c>
      <c r="M46" s="147"/>
      <c r="N46" s="147"/>
      <c r="O46" s="147"/>
      <c r="P46" s="148"/>
      <c r="Q46" s="146">
        <f>Q44*10%</f>
        <v>32385.049000000014</v>
      </c>
      <c r="R46" s="147"/>
      <c r="S46" s="147"/>
      <c r="T46" s="147"/>
      <c r="U46" s="148"/>
      <c r="V46" s="146">
        <f>V44*10%</f>
        <v>12011.168000000018</v>
      </c>
      <c r="W46" s="147"/>
      <c r="X46" s="147"/>
      <c r="Y46" s="147"/>
      <c r="Z46" s="148"/>
      <c r="AA46" s="146">
        <f>AA44*10%</f>
        <v>-6425.4060000000291</v>
      </c>
      <c r="AB46" s="113"/>
      <c r="AC46" s="113"/>
      <c r="AD46" s="113"/>
      <c r="AE46" s="114"/>
    </row>
    <row r="47" spans="1:43" hidden="1">
      <c r="A47" s="6" t="s">
        <v>120</v>
      </c>
      <c r="B47" s="7">
        <v>181564</v>
      </c>
      <c r="G47" s="7">
        <f>G48+G49</f>
        <v>100316.5</v>
      </c>
      <c r="L47" s="7">
        <f>L48+L49</f>
        <v>516115.33999999997</v>
      </c>
      <c r="Q47" s="7">
        <f>Q48+Q49</f>
        <v>717766.5</v>
      </c>
      <c r="V47" s="7">
        <f>V48+V49</f>
        <v>591178</v>
      </c>
      <c r="AA47" s="7">
        <f>AA48+AA49</f>
        <v>676848.05</v>
      </c>
      <c r="AF47" s="7">
        <f>AF48+AF49</f>
        <v>647986</v>
      </c>
    </row>
    <row r="48" spans="1:43" hidden="1">
      <c r="A48" s="103" t="s">
        <v>121</v>
      </c>
      <c r="G48" s="7">
        <v>80316.5</v>
      </c>
      <c r="L48" s="7">
        <v>90115.34</v>
      </c>
      <c r="Q48" s="7">
        <v>83766.5</v>
      </c>
      <c r="V48" s="7">
        <v>198678</v>
      </c>
      <c r="AA48" s="7">
        <v>172348.05</v>
      </c>
      <c r="AF48" s="7">
        <v>190986</v>
      </c>
    </row>
    <row r="49" spans="1:36" hidden="1">
      <c r="A49" s="103" t="s">
        <v>122</v>
      </c>
      <c r="G49" s="7">
        <v>20000</v>
      </c>
      <c r="L49" s="7">
        <v>426000</v>
      </c>
      <c r="Q49" s="7">
        <v>634000</v>
      </c>
      <c r="V49" s="7">
        <v>392500</v>
      </c>
      <c r="AA49" s="7">
        <v>504500</v>
      </c>
      <c r="AF49" s="7">
        <v>457000</v>
      </c>
    </row>
    <row r="51" spans="1:36">
      <c r="C51" s="173">
        <f>C6/B6</f>
        <v>0.27375586033271843</v>
      </c>
      <c r="D51" s="173">
        <f>D6/B6</f>
        <v>3.3990673726234218E-2</v>
      </c>
      <c r="E51" s="173">
        <f>E6/B6</f>
        <v>0.3894874913990039</v>
      </c>
      <c r="F51" s="173">
        <f>F6/B6</f>
        <v>0.30276597454204346</v>
      </c>
      <c r="H51" s="173">
        <f>H6/G6</f>
        <v>0.24910896679851638</v>
      </c>
      <c r="I51" s="173">
        <f>I6/G6</f>
        <v>5.2582854035038852E-2</v>
      </c>
      <c r="J51" s="173">
        <f>J6/G6</f>
        <v>0.37789701984803831</v>
      </c>
      <c r="K51" s="173">
        <f>K6/G6</f>
        <v>0.32041115931840647</v>
      </c>
      <c r="M51" s="173">
        <f>M6/L6</f>
        <v>0.19397245667278723</v>
      </c>
      <c r="N51" s="173">
        <f>N6/L6</f>
        <v>5.8344632336453858E-2</v>
      </c>
      <c r="O51" s="173">
        <f>O6/L6</f>
        <v>0.33171751194388227</v>
      </c>
      <c r="P51" s="173">
        <f>P6/L6</f>
        <v>0.41596539904687663</v>
      </c>
      <c r="R51" s="173">
        <f>R6/Q6</f>
        <v>0.11060276514602836</v>
      </c>
      <c r="S51" s="173">
        <f>S6/Q6</f>
        <v>5.08936306341626E-2</v>
      </c>
      <c r="T51" s="173">
        <f>T6/Q6</f>
        <v>0.29127515389730563</v>
      </c>
      <c r="U51" s="173">
        <f>U6/Q6</f>
        <v>0.54722845032250345</v>
      </c>
      <c r="W51" s="173">
        <f>W6/V6</f>
        <v>0.13475444633506281</v>
      </c>
      <c r="X51" s="173">
        <f>X6/V6</f>
        <v>6.5127311556916104E-2</v>
      </c>
      <c r="Y51" s="173">
        <f>Y6/V6</f>
        <v>0.29631303445546459</v>
      </c>
      <c r="Z51" s="173">
        <f>Z6/V6</f>
        <v>0.50380520765255654</v>
      </c>
      <c r="AB51" s="173">
        <f>AB6/AA6</f>
        <v>0.10278641225617807</v>
      </c>
      <c r="AC51" s="173">
        <f>AC6/AA6</f>
        <v>4.0390315545268424E-2</v>
      </c>
      <c r="AD51" s="173">
        <f>AD6/AA6</f>
        <v>0.31510092316903027</v>
      </c>
      <c r="AE51" s="173">
        <f>AE6/AA6</f>
        <v>0.54172234902952321</v>
      </c>
      <c r="AG51" s="173">
        <f>AG6/AF6</f>
        <v>0.13956055257831926</v>
      </c>
      <c r="AH51" s="173">
        <f>AH6/AF6</f>
        <v>6.2090374935874125E-2</v>
      </c>
      <c r="AI51" s="173">
        <f>AI6/AF6</f>
        <v>0.3020343971800532</v>
      </c>
      <c r="AJ51" s="173">
        <f>AJ6/AF6</f>
        <v>0.49631467530575341</v>
      </c>
    </row>
    <row r="53" spans="1:36">
      <c r="C53" s="174">
        <v>0.15</v>
      </c>
      <c r="D53" s="174">
        <v>0.05</v>
      </c>
      <c r="E53" s="174">
        <v>0.3</v>
      </c>
      <c r="F53" s="174">
        <v>0.5</v>
      </c>
    </row>
    <row r="54" spans="1:36">
      <c r="A54" s="6" t="s">
        <v>127</v>
      </c>
      <c r="B54" s="7">
        <v>300000</v>
      </c>
      <c r="C54" s="7">
        <f>$B$54*C53</f>
        <v>45000</v>
      </c>
      <c r="D54" s="7">
        <f>$B$54*D53</f>
        <v>15000</v>
      </c>
      <c r="E54" s="7">
        <f>$B$54*E53</f>
        <v>90000</v>
      </c>
      <c r="F54" s="7">
        <f>$B$54*F53</f>
        <v>150000</v>
      </c>
    </row>
  </sheetData>
  <mergeCells count="9">
    <mergeCell ref="V3:Z3"/>
    <mergeCell ref="AA3:AE3"/>
    <mergeCell ref="AF3:AJ3"/>
    <mergeCell ref="AK3:AO3"/>
    <mergeCell ref="A3:A4"/>
    <mergeCell ref="B3:F3"/>
    <mergeCell ref="G3:K3"/>
    <mergeCell ref="L3:P3"/>
    <mergeCell ref="Q3:U3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M33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7" sqref="E7"/>
    </sheetView>
  </sheetViews>
  <sheetFormatPr defaultRowHeight="15"/>
  <cols>
    <col min="1" max="1" width="37.140625" customWidth="1"/>
  </cols>
  <sheetData>
    <row r="1" spans="1:13" ht="15.75" thickBot="1"/>
    <row r="2" spans="1:13" ht="17.100000000000001" customHeight="1" thickBot="1">
      <c r="A2" s="20" t="s">
        <v>86</v>
      </c>
      <c r="B2" s="21" t="s">
        <v>1</v>
      </c>
      <c r="C2" s="21" t="s">
        <v>38</v>
      </c>
      <c r="D2" s="21" t="s">
        <v>39</v>
      </c>
      <c r="E2" s="21" t="s">
        <v>40</v>
      </c>
      <c r="F2" s="21" t="s">
        <v>41</v>
      </c>
      <c r="G2" s="21" t="s">
        <v>42</v>
      </c>
      <c r="H2" s="21" t="s">
        <v>43</v>
      </c>
      <c r="I2" s="21" t="s">
        <v>44</v>
      </c>
      <c r="J2" s="21" t="s">
        <v>45</v>
      </c>
      <c r="K2" s="21" t="s">
        <v>46</v>
      </c>
      <c r="L2" s="21" t="s">
        <v>47</v>
      </c>
      <c r="M2" s="22" t="s">
        <v>48</v>
      </c>
    </row>
    <row r="3" spans="1:13">
      <c r="A3" s="82" t="s">
        <v>72</v>
      </c>
      <c r="B3" s="83">
        <f>ДДС!B6</f>
        <v>1599743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>
      <c r="A4" s="82" t="s">
        <v>73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>
      <c r="A5" s="82" t="s">
        <v>74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3">
      <c r="A6" s="82" t="s">
        <v>75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1:13">
      <c r="A7" s="82" t="s">
        <v>88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</row>
    <row r="8" spans="1:13">
      <c r="A8" s="82" t="s">
        <v>89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1:13">
      <c r="A9" s="82" t="s">
        <v>90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</row>
    <row r="10" spans="1:13">
      <c r="A10" s="82" t="s">
        <v>91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</row>
    <row r="11" spans="1:13">
      <c r="A11" s="82" t="s">
        <v>109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</row>
    <row r="12" spans="1:13">
      <c r="A12" s="82" t="s">
        <v>54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1:13">
      <c r="A13" s="82" t="s">
        <v>7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82" t="s">
        <v>28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</row>
    <row r="15" spans="1:13">
      <c r="A15" s="82" t="s">
        <v>92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82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85" t="s">
        <v>76</v>
      </c>
      <c r="B17" s="86">
        <f>SUM(B3:B16)</f>
        <v>1599743</v>
      </c>
      <c r="C17" s="86">
        <f t="shared" ref="C17:M17" si="0">SUM(C3:C16)</f>
        <v>0</v>
      </c>
      <c r="D17" s="86">
        <f t="shared" si="0"/>
        <v>0</v>
      </c>
      <c r="E17" s="86">
        <f t="shared" si="0"/>
        <v>0</v>
      </c>
      <c r="F17" s="86">
        <f t="shared" si="0"/>
        <v>0</v>
      </c>
      <c r="G17" s="86">
        <f t="shared" si="0"/>
        <v>0</v>
      </c>
      <c r="H17" s="86">
        <f t="shared" si="0"/>
        <v>0</v>
      </c>
      <c r="I17" s="86">
        <f t="shared" si="0"/>
        <v>0</v>
      </c>
      <c r="J17" s="86">
        <f t="shared" si="0"/>
        <v>0</v>
      </c>
      <c r="K17" s="86">
        <f t="shared" si="0"/>
        <v>0</v>
      </c>
      <c r="L17" s="86">
        <f t="shared" si="0"/>
        <v>0</v>
      </c>
      <c r="M17" s="86">
        <f t="shared" si="0"/>
        <v>0</v>
      </c>
    </row>
    <row r="18" spans="1:13">
      <c r="A18" s="87" t="s">
        <v>77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spans="1:13">
      <c r="A19" s="87" t="s">
        <v>78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85" t="s">
        <v>79</v>
      </c>
      <c r="B20" s="86">
        <f>SUM(B18:B19)</f>
        <v>0</v>
      </c>
      <c r="C20" s="86">
        <f t="shared" ref="C20:M20" si="1">SUM(C18:C19)</f>
        <v>0</v>
      </c>
      <c r="D20" s="86">
        <f t="shared" si="1"/>
        <v>0</v>
      </c>
      <c r="E20" s="86">
        <f t="shared" si="1"/>
        <v>0</v>
      </c>
      <c r="F20" s="86">
        <f t="shared" si="1"/>
        <v>0</v>
      </c>
      <c r="G20" s="86">
        <f t="shared" si="1"/>
        <v>0</v>
      </c>
      <c r="H20" s="86">
        <f t="shared" si="1"/>
        <v>0</v>
      </c>
      <c r="I20" s="86">
        <f t="shared" si="1"/>
        <v>0</v>
      </c>
      <c r="J20" s="86">
        <f t="shared" si="1"/>
        <v>0</v>
      </c>
      <c r="K20" s="86">
        <f t="shared" si="1"/>
        <v>0</v>
      </c>
      <c r="L20" s="86">
        <f t="shared" si="1"/>
        <v>0</v>
      </c>
      <c r="M20" s="86">
        <f t="shared" si="1"/>
        <v>0</v>
      </c>
    </row>
    <row r="21" spans="1:13">
      <c r="A21" s="87" t="s">
        <v>77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</row>
    <row r="22" spans="1:13">
      <c r="A22" s="87" t="s">
        <v>116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87" t="s">
        <v>117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87" t="s">
        <v>87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87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</row>
    <row r="26" spans="1:13">
      <c r="A26" s="85" t="s">
        <v>80</v>
      </c>
      <c r="B26" s="86">
        <f>SUM(B21:B25)</f>
        <v>0</v>
      </c>
      <c r="C26" s="86">
        <f t="shared" ref="C26:M26" si="2">SUM(C21:C25)</f>
        <v>0</v>
      </c>
      <c r="D26" s="86">
        <f t="shared" si="2"/>
        <v>0</v>
      </c>
      <c r="E26" s="86">
        <f t="shared" si="2"/>
        <v>0</v>
      </c>
      <c r="F26" s="86">
        <f t="shared" si="2"/>
        <v>0</v>
      </c>
      <c r="G26" s="86">
        <f t="shared" si="2"/>
        <v>0</v>
      </c>
      <c r="H26" s="86">
        <f t="shared" si="2"/>
        <v>0</v>
      </c>
      <c r="I26" s="86">
        <f t="shared" si="2"/>
        <v>0</v>
      </c>
      <c r="J26" s="86">
        <f t="shared" si="2"/>
        <v>0</v>
      </c>
      <c r="K26" s="86">
        <f t="shared" si="2"/>
        <v>0</v>
      </c>
      <c r="L26" s="86">
        <f t="shared" si="2"/>
        <v>0</v>
      </c>
      <c r="M26" s="86">
        <f t="shared" si="2"/>
        <v>0</v>
      </c>
    </row>
    <row r="27" spans="1:13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</row>
    <row r="28" spans="1:13">
      <c r="A28" s="85" t="s">
        <v>81</v>
      </c>
      <c r="B28" s="86">
        <f>SUM(B7:B16)+SUM(B18:B19)+SUM(B23:B24)</f>
        <v>0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</row>
    <row r="29" spans="1:13">
      <c r="A29" s="91" t="s">
        <v>82</v>
      </c>
      <c r="B29" s="92">
        <f>B17+B20+B26</f>
        <v>1599743</v>
      </c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</row>
    <row r="30" spans="1:13">
      <c r="A30" s="87" t="s">
        <v>83</v>
      </c>
      <c r="B30" s="97">
        <f>ДДС!B3</f>
        <v>677385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9"/>
    </row>
    <row r="31" spans="1:13" ht="15.75" thickBot="1">
      <c r="A31" s="93" t="s">
        <v>84</v>
      </c>
      <c r="B31" s="98">
        <f>ДДС!B63</f>
        <v>374845</v>
      </c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</row>
    <row r="32" spans="1:13">
      <c r="A32" s="94"/>
      <c r="B32" s="95">
        <f>B30+B29-B31</f>
        <v>1902283</v>
      </c>
      <c r="C32" s="95">
        <f t="shared" ref="C32:M32" si="3">C30+C29-C31</f>
        <v>0</v>
      </c>
      <c r="D32" s="95">
        <f t="shared" si="3"/>
        <v>0</v>
      </c>
      <c r="E32" s="95">
        <f t="shared" si="3"/>
        <v>0</v>
      </c>
      <c r="F32" s="95">
        <f t="shared" si="3"/>
        <v>0</v>
      </c>
      <c r="G32" s="95">
        <f t="shared" si="3"/>
        <v>0</v>
      </c>
      <c r="H32" s="95">
        <f t="shared" si="3"/>
        <v>0</v>
      </c>
      <c r="I32" s="95">
        <f t="shared" si="3"/>
        <v>0</v>
      </c>
      <c r="J32" s="95">
        <f t="shared" si="3"/>
        <v>0</v>
      </c>
      <c r="K32" s="95">
        <f t="shared" si="3"/>
        <v>0</v>
      </c>
      <c r="L32" s="95">
        <f t="shared" si="3"/>
        <v>0</v>
      </c>
      <c r="M32" s="95">
        <f t="shared" si="3"/>
        <v>0</v>
      </c>
    </row>
    <row r="33" spans="1:13">
      <c r="A33" s="94" t="s">
        <v>85</v>
      </c>
      <c r="B33" s="96">
        <v>0</v>
      </c>
      <c r="C33" s="96">
        <v>0</v>
      </c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96">
        <v>0</v>
      </c>
    </row>
  </sheetData>
  <conditionalFormatting sqref="B33:M33">
    <cfRule type="cellIs" dxfId="0" priority="1" operator="not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64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54" sqref="A54"/>
    </sheetView>
  </sheetViews>
  <sheetFormatPr defaultRowHeight="15"/>
  <cols>
    <col min="1" max="1" width="55.140625" customWidth="1"/>
    <col min="2" max="2" width="13.7109375" bestFit="1" customWidth="1"/>
    <col min="3" max="5" width="13.5703125" customWidth="1"/>
  </cols>
  <sheetData>
    <row r="1" spans="1:5">
      <c r="A1" s="100" t="s">
        <v>93</v>
      </c>
      <c r="B1" s="102" t="s">
        <v>94</v>
      </c>
      <c r="C1" s="101">
        <v>43466</v>
      </c>
    </row>
    <row r="2" spans="1:5">
      <c r="A2" s="23"/>
      <c r="B2" s="24" t="s">
        <v>49</v>
      </c>
      <c r="C2" s="24" t="s">
        <v>69</v>
      </c>
      <c r="D2" s="24" t="s">
        <v>70</v>
      </c>
      <c r="E2" s="24" t="s">
        <v>71</v>
      </c>
    </row>
    <row r="3" spans="1:5">
      <c r="A3" s="25" t="s">
        <v>50</v>
      </c>
      <c r="B3" s="72">
        <f>C3+D3+E3</f>
        <v>677385</v>
      </c>
      <c r="C3" s="58">
        <v>110695</v>
      </c>
      <c r="D3" s="58">
        <v>566690</v>
      </c>
      <c r="E3" s="58"/>
    </row>
    <row r="4" spans="1:5">
      <c r="A4" s="26"/>
      <c r="B4" s="73"/>
      <c r="C4" s="59"/>
      <c r="D4" s="59"/>
      <c r="E4" s="59"/>
    </row>
    <row r="5" spans="1:5">
      <c r="A5" s="28" t="s">
        <v>51</v>
      </c>
      <c r="B5" s="74">
        <f>SUM(B6:B13)</f>
        <v>1599743</v>
      </c>
      <c r="C5" s="60">
        <f>SUM(C6:C13)</f>
        <v>0</v>
      </c>
      <c r="D5" s="60">
        <f>SUM(D6:D13)</f>
        <v>0</v>
      </c>
      <c r="E5" s="60">
        <f>SUM(E6:E13)</f>
        <v>1599743</v>
      </c>
    </row>
    <row r="6" spans="1:5">
      <c r="A6" s="29" t="s">
        <v>72</v>
      </c>
      <c r="B6" s="75">
        <f>SUM(E6:Z6)</f>
        <v>1599743</v>
      </c>
      <c r="C6" s="61"/>
      <c r="D6" s="62"/>
      <c r="E6" s="60">
        <v>1599743</v>
      </c>
    </row>
    <row r="7" spans="1:5">
      <c r="A7" s="29" t="s">
        <v>73</v>
      </c>
      <c r="B7" s="74">
        <f>SUM(E7:Z7)</f>
        <v>0</v>
      </c>
      <c r="C7" s="61"/>
      <c r="D7" s="62"/>
      <c r="E7" s="62"/>
    </row>
    <row r="8" spans="1:5">
      <c r="A8" s="29" t="s">
        <v>74</v>
      </c>
      <c r="B8" s="74">
        <f t="shared" ref="B8" si="0">SUM(E8:Z8)</f>
        <v>0</v>
      </c>
      <c r="C8" s="61"/>
      <c r="D8" s="62"/>
      <c r="E8" s="62"/>
    </row>
    <row r="9" spans="1:5">
      <c r="A9" s="29" t="s">
        <v>75</v>
      </c>
      <c r="B9" s="74">
        <f>SUM(E9:Z9)</f>
        <v>0</v>
      </c>
      <c r="C9" s="61"/>
      <c r="D9" s="62"/>
      <c r="E9" s="62"/>
    </row>
    <row r="10" spans="1:5">
      <c r="A10" s="29"/>
      <c r="B10" s="74">
        <f t="shared" ref="B10:B13" si="1">SUM(E10:Z10)</f>
        <v>0</v>
      </c>
      <c r="C10" s="61"/>
      <c r="D10" s="62"/>
      <c r="E10" s="62"/>
    </row>
    <row r="11" spans="1:5" ht="15.75">
      <c r="A11" s="30" t="s">
        <v>110</v>
      </c>
      <c r="B11" s="76"/>
      <c r="C11" s="63"/>
      <c r="D11" s="64"/>
      <c r="E11" s="64"/>
    </row>
    <row r="12" spans="1:5" ht="15.75">
      <c r="A12" s="30" t="s">
        <v>111</v>
      </c>
      <c r="B12" s="76"/>
      <c r="C12" s="63"/>
      <c r="D12" s="64"/>
      <c r="E12" s="64"/>
    </row>
    <row r="13" spans="1:5">
      <c r="A13" s="29" t="s">
        <v>103</v>
      </c>
      <c r="B13" s="74">
        <f t="shared" si="1"/>
        <v>0</v>
      </c>
      <c r="C13" s="61"/>
      <c r="D13" s="62"/>
      <c r="E13" s="62"/>
    </row>
    <row r="14" spans="1:5">
      <c r="A14" s="31"/>
      <c r="B14" s="77"/>
      <c r="C14" s="65"/>
      <c r="D14" s="65"/>
      <c r="E14" s="65"/>
    </row>
    <row r="15" spans="1:5">
      <c r="A15" s="32" t="s">
        <v>52</v>
      </c>
      <c r="B15" s="33"/>
      <c r="C15" s="66"/>
      <c r="D15" s="66"/>
      <c r="E15" s="66"/>
    </row>
    <row r="16" spans="1:5">
      <c r="A16" s="34" t="s">
        <v>20</v>
      </c>
      <c r="B16" s="35"/>
      <c r="C16" s="67"/>
      <c r="D16" s="67"/>
      <c r="E16" s="67"/>
    </row>
    <row r="17" spans="1:5" ht="14.1" customHeight="1">
      <c r="A17" s="36" t="s">
        <v>95</v>
      </c>
      <c r="B17" s="78">
        <f t="shared" ref="B17:B23" si="2">SUM(E17:Z17)</f>
        <v>1902283</v>
      </c>
      <c r="C17" s="68"/>
      <c r="D17" s="68"/>
      <c r="E17" s="68">
        <v>1902283</v>
      </c>
    </row>
    <row r="18" spans="1:5">
      <c r="A18" s="36" t="s">
        <v>105</v>
      </c>
      <c r="B18" s="78">
        <f>SUM(E18:Z18)</f>
        <v>0</v>
      </c>
      <c r="C18" s="68"/>
      <c r="D18" s="68"/>
      <c r="E18" s="68"/>
    </row>
    <row r="19" spans="1:5">
      <c r="A19" s="36" t="s">
        <v>96</v>
      </c>
      <c r="B19" s="78">
        <f t="shared" si="2"/>
        <v>0</v>
      </c>
      <c r="C19" s="69"/>
      <c r="D19" s="69"/>
      <c r="E19" s="69"/>
    </row>
    <row r="20" spans="1:5">
      <c r="A20" s="36" t="s">
        <v>106</v>
      </c>
      <c r="B20" s="78">
        <f t="shared" si="2"/>
        <v>0</v>
      </c>
      <c r="C20" s="69"/>
      <c r="D20" s="69"/>
      <c r="E20" s="69"/>
    </row>
    <row r="21" spans="1:5">
      <c r="A21" s="36" t="s">
        <v>97</v>
      </c>
      <c r="B21" s="78">
        <f>SUM(E21:Z21)</f>
        <v>0</v>
      </c>
      <c r="C21" s="69"/>
      <c r="D21" s="69"/>
      <c r="E21" s="69"/>
    </row>
    <row r="22" spans="1:5">
      <c r="A22" s="36" t="s">
        <v>107</v>
      </c>
      <c r="B22" s="78">
        <f>SUM(E22:Z22)</f>
        <v>0</v>
      </c>
      <c r="C22" s="69"/>
      <c r="D22" s="69"/>
      <c r="E22" s="69"/>
    </row>
    <row r="23" spans="1:5">
      <c r="A23" s="36" t="s">
        <v>98</v>
      </c>
      <c r="B23" s="78">
        <f t="shared" si="2"/>
        <v>0</v>
      </c>
      <c r="C23" s="69"/>
      <c r="D23" s="69"/>
      <c r="E23" s="69"/>
    </row>
    <row r="24" spans="1:5">
      <c r="A24" s="36" t="s">
        <v>99</v>
      </c>
      <c r="B24" s="78">
        <f>SUM(E24:Z24)</f>
        <v>0</v>
      </c>
      <c r="C24" s="68"/>
      <c r="D24" s="68"/>
      <c r="E24" s="68"/>
    </row>
    <row r="25" spans="1:5">
      <c r="A25" s="36" t="s">
        <v>108</v>
      </c>
      <c r="B25" s="78">
        <f t="shared" ref="B25:B26" si="3">SUM(E25:Z25)</f>
        <v>0</v>
      </c>
      <c r="C25" s="69"/>
      <c r="D25" s="69"/>
      <c r="E25" s="69"/>
    </row>
    <row r="26" spans="1:5">
      <c r="A26" s="38"/>
      <c r="B26" s="78">
        <f t="shared" si="3"/>
        <v>0</v>
      </c>
      <c r="C26" s="69"/>
      <c r="D26" s="69"/>
      <c r="E26" s="69"/>
    </row>
    <row r="27" spans="1:5">
      <c r="A27" s="37" t="s">
        <v>53</v>
      </c>
      <c r="B27" s="78">
        <f>SUM(B17:B26)</f>
        <v>1902283</v>
      </c>
      <c r="C27" s="78">
        <f>SUM(C17:C26)</f>
        <v>0</v>
      </c>
      <c r="D27" s="78">
        <f>SUM(D17:D26)</f>
        <v>0</v>
      </c>
      <c r="E27" s="78">
        <f>SUM(E17:E26)</f>
        <v>1902283</v>
      </c>
    </row>
    <row r="28" spans="1:5">
      <c r="A28" s="39"/>
      <c r="B28" s="40"/>
      <c r="C28" s="70"/>
      <c r="D28" s="70"/>
      <c r="E28" s="70"/>
    </row>
    <row r="29" spans="1:5">
      <c r="A29" s="34" t="s">
        <v>22</v>
      </c>
      <c r="B29" s="35"/>
      <c r="C29" s="67"/>
      <c r="D29" s="67"/>
      <c r="E29" s="67"/>
    </row>
    <row r="30" spans="1:5">
      <c r="A30" s="41" t="s">
        <v>54</v>
      </c>
      <c r="B30" s="79">
        <f t="shared" ref="B30:B36" si="4">SUM(E30:Z30)</f>
        <v>0</v>
      </c>
      <c r="C30" s="71"/>
      <c r="D30" s="71"/>
      <c r="E30" s="71"/>
    </row>
    <row r="31" spans="1:5">
      <c r="A31" s="41" t="s">
        <v>55</v>
      </c>
      <c r="B31" s="79">
        <f t="shared" si="4"/>
        <v>0</v>
      </c>
      <c r="C31" s="71"/>
      <c r="D31" s="71"/>
      <c r="E31" s="71"/>
    </row>
    <row r="32" spans="1:5">
      <c r="A32" s="41" t="s">
        <v>56</v>
      </c>
      <c r="B32" s="79">
        <f t="shared" si="4"/>
        <v>0</v>
      </c>
      <c r="C32" s="71"/>
      <c r="D32" s="71"/>
      <c r="E32" s="71"/>
    </row>
    <row r="33" spans="1:5">
      <c r="A33" s="41" t="s">
        <v>57</v>
      </c>
      <c r="B33" s="79">
        <f t="shared" si="4"/>
        <v>0</v>
      </c>
      <c r="C33" s="71"/>
      <c r="D33" s="71"/>
      <c r="E33" s="71"/>
    </row>
    <row r="34" spans="1:5">
      <c r="A34" s="41" t="s">
        <v>58</v>
      </c>
      <c r="B34" s="79">
        <f t="shared" si="4"/>
        <v>0</v>
      </c>
      <c r="C34" s="71"/>
      <c r="D34" s="71"/>
      <c r="E34" s="71"/>
    </row>
    <row r="35" spans="1:5">
      <c r="A35" s="41" t="s">
        <v>59</v>
      </c>
      <c r="B35" s="79">
        <f t="shared" si="4"/>
        <v>0</v>
      </c>
      <c r="C35" s="71"/>
      <c r="D35" s="71"/>
      <c r="E35" s="71"/>
    </row>
    <row r="36" spans="1:5">
      <c r="A36" s="41" t="s">
        <v>102</v>
      </c>
      <c r="B36" s="79">
        <f t="shared" si="4"/>
        <v>0</v>
      </c>
      <c r="C36" s="71"/>
      <c r="D36" s="71"/>
      <c r="E36" s="71"/>
    </row>
    <row r="37" spans="1:5">
      <c r="A37" s="41" t="s">
        <v>8</v>
      </c>
      <c r="B37" s="79">
        <f t="shared" ref="B37:B44" si="5">SUM(E37:Z37)</f>
        <v>0</v>
      </c>
      <c r="C37" s="71"/>
      <c r="D37" s="71"/>
      <c r="E37" s="71"/>
    </row>
    <row r="38" spans="1:5">
      <c r="A38" s="41" t="s">
        <v>112</v>
      </c>
      <c r="B38" s="79">
        <f t="shared" si="5"/>
        <v>0</v>
      </c>
      <c r="C38" s="71"/>
      <c r="D38" s="71"/>
      <c r="E38" s="71"/>
    </row>
    <row r="39" spans="1:5">
      <c r="A39" s="41" t="s">
        <v>92</v>
      </c>
      <c r="B39" s="79">
        <f t="shared" si="5"/>
        <v>0</v>
      </c>
      <c r="C39" s="71"/>
      <c r="D39" s="71"/>
      <c r="E39" s="71"/>
    </row>
    <row r="40" spans="1:5">
      <c r="A40" s="41"/>
      <c r="B40" s="79">
        <f t="shared" si="5"/>
        <v>0</v>
      </c>
      <c r="C40" s="71"/>
      <c r="D40" s="71"/>
      <c r="E40" s="71"/>
    </row>
    <row r="41" spans="1:5">
      <c r="A41" s="41"/>
      <c r="B41" s="79">
        <f t="shared" si="5"/>
        <v>0</v>
      </c>
      <c r="C41" s="71"/>
      <c r="D41" s="71"/>
      <c r="E41" s="71"/>
    </row>
    <row r="42" spans="1:5">
      <c r="A42" s="41"/>
      <c r="B42" s="79">
        <f t="shared" si="5"/>
        <v>0</v>
      </c>
      <c r="C42" s="71"/>
      <c r="D42" s="71"/>
      <c r="E42" s="71"/>
    </row>
    <row r="43" spans="1:5">
      <c r="A43" s="41"/>
      <c r="B43" s="79">
        <f t="shared" si="5"/>
        <v>0</v>
      </c>
      <c r="C43" s="71"/>
      <c r="D43" s="71"/>
      <c r="E43" s="71"/>
    </row>
    <row r="44" spans="1:5">
      <c r="A44" s="41"/>
      <c r="B44" s="79">
        <f t="shared" si="5"/>
        <v>0</v>
      </c>
      <c r="C44" s="71"/>
      <c r="D44" s="71"/>
      <c r="E44" s="71"/>
    </row>
    <row r="45" spans="1:5">
      <c r="A45" s="37" t="s">
        <v>60</v>
      </c>
      <c r="B45" s="79">
        <f>SUM(B30:B44)</f>
        <v>0</v>
      </c>
      <c r="C45" s="79">
        <f>SUM(C30:C44)</f>
        <v>0</v>
      </c>
      <c r="D45" s="79">
        <f>SUM(D30:D44)</f>
        <v>0</v>
      </c>
      <c r="E45" s="79">
        <f>SUM(E30:E44)</f>
        <v>0</v>
      </c>
    </row>
    <row r="46" spans="1:5">
      <c r="A46" s="42"/>
      <c r="B46" s="43"/>
      <c r="C46" s="53"/>
      <c r="D46" s="53"/>
      <c r="E46" s="53"/>
    </row>
    <row r="47" spans="1:5">
      <c r="A47" s="44" t="s">
        <v>61</v>
      </c>
      <c r="B47" s="27"/>
      <c r="C47" s="54"/>
      <c r="D47" s="54"/>
      <c r="E47" s="54"/>
    </row>
    <row r="48" spans="1:5">
      <c r="A48" s="36" t="s">
        <v>62</v>
      </c>
      <c r="B48" s="79">
        <f>SUM(E48:Z48)</f>
        <v>0</v>
      </c>
      <c r="C48" s="68"/>
      <c r="D48" s="68"/>
      <c r="E48" s="68"/>
    </row>
    <row r="49" spans="1:5">
      <c r="A49" s="36" t="s">
        <v>63</v>
      </c>
      <c r="B49" s="79">
        <f>SUM(E49:Z49)</f>
        <v>0</v>
      </c>
      <c r="C49" s="68"/>
      <c r="D49" s="68"/>
      <c r="E49" s="68"/>
    </row>
    <row r="50" spans="1:5">
      <c r="A50" s="37" t="s">
        <v>64</v>
      </c>
      <c r="B50" s="80">
        <f>SUM(B48:B49)</f>
        <v>0</v>
      </c>
      <c r="C50" s="80">
        <f t="shared" ref="C50:E50" si="6">SUM(C48:C49)</f>
        <v>0</v>
      </c>
      <c r="D50" s="80">
        <f t="shared" si="6"/>
        <v>0</v>
      </c>
      <c r="E50" s="80">
        <f t="shared" si="6"/>
        <v>0</v>
      </c>
    </row>
    <row r="51" spans="1:5">
      <c r="A51" s="45" t="s">
        <v>115</v>
      </c>
      <c r="B51" s="40"/>
      <c r="C51" s="55"/>
      <c r="D51" s="55"/>
      <c r="E51" s="55"/>
    </row>
    <row r="52" spans="1:5">
      <c r="A52" s="36" t="s">
        <v>100</v>
      </c>
      <c r="B52" s="79">
        <f>SUM(E52:Z52)</f>
        <v>0</v>
      </c>
      <c r="C52" s="68"/>
      <c r="D52" s="68"/>
      <c r="E52" s="68"/>
    </row>
    <row r="53" spans="1:5">
      <c r="A53" s="36" t="s">
        <v>101</v>
      </c>
      <c r="B53" s="79">
        <f>SUM(E53:Z53)</f>
        <v>0</v>
      </c>
      <c r="C53" s="68"/>
      <c r="D53" s="68"/>
      <c r="E53" s="68"/>
    </row>
    <row r="54" spans="1:5">
      <c r="A54" s="36" t="s">
        <v>113</v>
      </c>
      <c r="B54" s="79">
        <f>SUM(E54:Z54)</f>
        <v>0</v>
      </c>
      <c r="C54" s="68"/>
      <c r="D54" s="68"/>
      <c r="E54" s="68"/>
    </row>
    <row r="55" spans="1:5">
      <c r="A55" s="37" t="s">
        <v>114</v>
      </c>
      <c r="B55" s="80">
        <f>SUM(B52:B54)</f>
        <v>0</v>
      </c>
      <c r="C55" s="80">
        <f t="shared" ref="C55:E55" si="7">SUM(C52:C54)</f>
        <v>0</v>
      </c>
      <c r="D55" s="80">
        <f t="shared" si="7"/>
        <v>0</v>
      </c>
      <c r="E55" s="80">
        <f t="shared" si="7"/>
        <v>0</v>
      </c>
    </row>
    <row r="56" spans="1:5">
      <c r="A56" s="47"/>
      <c r="B56" s="40"/>
      <c r="C56" s="33"/>
      <c r="D56" s="33"/>
      <c r="E56" s="33"/>
    </row>
    <row r="57" spans="1:5">
      <c r="A57" s="34" t="s">
        <v>65</v>
      </c>
      <c r="B57" s="33"/>
      <c r="C57" s="56"/>
      <c r="D57" s="56"/>
      <c r="E57" s="56"/>
    </row>
    <row r="58" spans="1:5">
      <c r="A58" s="41" t="s">
        <v>28</v>
      </c>
      <c r="B58" s="79">
        <f>SUM(E58:Z58)</f>
        <v>0</v>
      </c>
      <c r="C58" s="71"/>
      <c r="D58" s="71"/>
      <c r="E58" s="71"/>
    </row>
    <row r="59" spans="1:5">
      <c r="A59" s="37" t="s">
        <v>66</v>
      </c>
      <c r="B59" s="79">
        <f>SUM(B58)</f>
        <v>0</v>
      </c>
      <c r="C59" s="79">
        <f t="shared" ref="C59:E59" si="8">SUM(C58)</f>
        <v>0</v>
      </c>
      <c r="D59" s="79">
        <f t="shared" si="8"/>
        <v>0</v>
      </c>
      <c r="E59" s="79">
        <f t="shared" si="8"/>
        <v>0</v>
      </c>
    </row>
    <row r="60" spans="1:5">
      <c r="A60" s="48"/>
      <c r="B60" s="49"/>
      <c r="C60" s="57"/>
      <c r="D60" s="57"/>
      <c r="E60" s="57"/>
    </row>
    <row r="61" spans="1:5">
      <c r="A61" s="28" t="s">
        <v>67</v>
      </c>
      <c r="B61" s="81">
        <f>SUM(B27,B45,B50,B55,B59)</f>
        <v>1902283</v>
      </c>
      <c r="C61" s="60">
        <f>SUM(C27,C45,C50,C55,C59)</f>
        <v>0</v>
      </c>
      <c r="D61" s="60">
        <f>SUM(D27,D45,D50,D55,D59)</f>
        <v>0</v>
      </c>
      <c r="E61" s="60">
        <f>SUM(E27,E45,E50,E55,E59)</f>
        <v>1902283</v>
      </c>
    </row>
    <row r="62" spans="1:5">
      <c r="A62" s="39"/>
      <c r="B62" s="46"/>
      <c r="C62" s="70"/>
      <c r="D62" s="70"/>
      <c r="E62" s="70"/>
    </row>
    <row r="63" spans="1:5">
      <c r="A63" s="28" t="s">
        <v>68</v>
      </c>
      <c r="B63" s="81">
        <f>C63+D63+E63</f>
        <v>374845</v>
      </c>
      <c r="C63" s="60">
        <f>C3+C5-C61</f>
        <v>110695</v>
      </c>
      <c r="D63" s="60">
        <f>D3+D5-D61</f>
        <v>566690</v>
      </c>
      <c r="E63" s="60">
        <f>E3+E5-E61</f>
        <v>-302540</v>
      </c>
    </row>
    <row r="64" spans="1:5">
      <c r="A64" s="50"/>
      <c r="B64" s="51"/>
      <c r="C64" s="52"/>
      <c r="D64" s="52"/>
      <c r="E64" s="52"/>
    </row>
  </sheetData>
  <protectedRanges>
    <protectedRange sqref="B5 C17:E18 C3:E3 C24:E24 B50:E50 A17:A25 A53:A54 C53:E54" name="Диапазон1_1"/>
  </protectedRange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50"/>
  <sheetViews>
    <sheetView zoomScale="80" zoomScaleNormal="80" workbookViewId="0">
      <selection activeCell="G77" sqref="G77"/>
    </sheetView>
  </sheetViews>
  <sheetFormatPr defaultColWidth="8.7109375" defaultRowHeight="11.25" outlineLevelRow="2"/>
  <cols>
    <col min="1" max="1" width="15.28515625" style="264" customWidth="1"/>
    <col min="2" max="2" width="0.28515625" style="264" customWidth="1"/>
    <col min="3" max="3" width="13.140625" style="264" customWidth="1"/>
    <col min="4" max="4" width="31.42578125" style="264" customWidth="1"/>
    <col min="5" max="5" width="14.5703125" style="264" customWidth="1"/>
    <col min="6" max="6" width="17" style="264" customWidth="1"/>
    <col min="7" max="7" width="15.28515625" style="264" customWidth="1"/>
    <col min="8" max="8" width="3.42578125" style="264" customWidth="1"/>
    <col min="9" max="9" width="2.42578125" style="264" customWidth="1"/>
    <col min="10" max="10" width="9.42578125" style="264" customWidth="1"/>
    <col min="11" max="11" width="5.140625" style="264" customWidth="1"/>
    <col min="12" max="12" width="2.42578125" style="264" customWidth="1"/>
    <col min="13" max="13" width="7.7109375" style="264" customWidth="1"/>
    <col min="14" max="14" width="15.28515625" style="264" customWidth="1"/>
    <col min="15" max="15" width="3.85546875" style="264" customWidth="1"/>
    <col min="16" max="16" width="11.28515625" style="264" customWidth="1"/>
    <col min="17" max="17" width="1.140625" style="264" customWidth="1"/>
    <col min="18" max="18" width="0.28515625" style="264" customWidth="1"/>
    <col min="19" max="19" width="13.85546875" style="264" customWidth="1"/>
    <col min="20" max="258" width="8.7109375" style="264"/>
    <col min="259" max="259" width="15.28515625" style="264" customWidth="1"/>
    <col min="260" max="260" width="0.28515625" style="264" customWidth="1"/>
    <col min="261" max="261" width="13.140625" style="264" customWidth="1"/>
    <col min="262" max="262" width="31.42578125" style="264" customWidth="1"/>
    <col min="263" max="263" width="15.28515625" style="264" customWidth="1"/>
    <col min="264" max="264" width="3.42578125" style="264" customWidth="1"/>
    <col min="265" max="265" width="2.42578125" style="264" customWidth="1"/>
    <col min="266" max="266" width="9.42578125" style="264" customWidth="1"/>
    <col min="267" max="267" width="5.140625" style="264" customWidth="1"/>
    <col min="268" max="268" width="2.42578125" style="264" customWidth="1"/>
    <col min="269" max="269" width="7.7109375" style="264" customWidth="1"/>
    <col min="270" max="270" width="15.28515625" style="264" customWidth="1"/>
    <col min="271" max="271" width="3.85546875" style="264" customWidth="1"/>
    <col min="272" max="272" width="11.28515625" style="264" customWidth="1"/>
    <col min="273" max="273" width="1.140625" style="264" customWidth="1"/>
    <col min="274" max="274" width="0.28515625" style="264" customWidth="1"/>
    <col min="275" max="275" width="13.85546875" style="264" customWidth="1"/>
    <col min="276" max="514" width="8.7109375" style="264"/>
    <col min="515" max="515" width="15.28515625" style="264" customWidth="1"/>
    <col min="516" max="516" width="0.28515625" style="264" customWidth="1"/>
    <col min="517" max="517" width="13.140625" style="264" customWidth="1"/>
    <col min="518" max="518" width="31.42578125" style="264" customWidth="1"/>
    <col min="519" max="519" width="15.28515625" style="264" customWidth="1"/>
    <col min="520" max="520" width="3.42578125" style="264" customWidth="1"/>
    <col min="521" max="521" width="2.42578125" style="264" customWidth="1"/>
    <col min="522" max="522" width="9.42578125" style="264" customWidth="1"/>
    <col min="523" max="523" width="5.140625" style="264" customWidth="1"/>
    <col min="524" max="524" width="2.42578125" style="264" customWidth="1"/>
    <col min="525" max="525" width="7.7109375" style="264" customWidth="1"/>
    <col min="526" max="526" width="15.28515625" style="264" customWidth="1"/>
    <col min="527" max="527" width="3.85546875" style="264" customWidth="1"/>
    <col min="528" max="528" width="11.28515625" style="264" customWidth="1"/>
    <col min="529" max="529" width="1.140625" style="264" customWidth="1"/>
    <col min="530" max="530" width="0.28515625" style="264" customWidth="1"/>
    <col min="531" max="531" width="13.85546875" style="264" customWidth="1"/>
    <col min="532" max="770" width="8.7109375" style="264"/>
    <col min="771" max="771" width="15.28515625" style="264" customWidth="1"/>
    <col min="772" max="772" width="0.28515625" style="264" customWidth="1"/>
    <col min="773" max="773" width="13.140625" style="264" customWidth="1"/>
    <col min="774" max="774" width="31.42578125" style="264" customWidth="1"/>
    <col min="775" max="775" width="15.28515625" style="264" customWidth="1"/>
    <col min="776" max="776" width="3.42578125" style="264" customWidth="1"/>
    <col min="777" max="777" width="2.42578125" style="264" customWidth="1"/>
    <col min="778" max="778" width="9.42578125" style="264" customWidth="1"/>
    <col min="779" max="779" width="5.140625" style="264" customWidth="1"/>
    <col min="780" max="780" width="2.42578125" style="264" customWidth="1"/>
    <col min="781" max="781" width="7.7109375" style="264" customWidth="1"/>
    <col min="782" max="782" width="15.28515625" style="264" customWidth="1"/>
    <col min="783" max="783" width="3.85546875" style="264" customWidth="1"/>
    <col min="784" max="784" width="11.28515625" style="264" customWidth="1"/>
    <col min="785" max="785" width="1.140625" style="264" customWidth="1"/>
    <col min="786" max="786" width="0.28515625" style="264" customWidth="1"/>
    <col min="787" max="787" width="13.85546875" style="264" customWidth="1"/>
    <col min="788" max="1026" width="8.7109375" style="264"/>
    <col min="1027" max="1027" width="15.28515625" style="264" customWidth="1"/>
    <col min="1028" max="1028" width="0.28515625" style="264" customWidth="1"/>
    <col min="1029" max="1029" width="13.140625" style="264" customWidth="1"/>
    <col min="1030" max="1030" width="31.42578125" style="264" customWidth="1"/>
    <col min="1031" max="1031" width="15.28515625" style="264" customWidth="1"/>
    <col min="1032" max="1032" width="3.42578125" style="264" customWidth="1"/>
    <col min="1033" max="1033" width="2.42578125" style="264" customWidth="1"/>
    <col min="1034" max="1034" width="9.42578125" style="264" customWidth="1"/>
    <col min="1035" max="1035" width="5.140625" style="264" customWidth="1"/>
    <col min="1036" max="1036" width="2.42578125" style="264" customWidth="1"/>
    <col min="1037" max="1037" width="7.7109375" style="264" customWidth="1"/>
    <col min="1038" max="1038" width="15.28515625" style="264" customWidth="1"/>
    <col min="1039" max="1039" width="3.85546875" style="264" customWidth="1"/>
    <col min="1040" max="1040" width="11.28515625" style="264" customWidth="1"/>
    <col min="1041" max="1041" width="1.140625" style="264" customWidth="1"/>
    <col min="1042" max="1042" width="0.28515625" style="264" customWidth="1"/>
    <col min="1043" max="1043" width="13.85546875" style="264" customWidth="1"/>
    <col min="1044" max="1282" width="8.7109375" style="264"/>
    <col min="1283" max="1283" width="15.28515625" style="264" customWidth="1"/>
    <col min="1284" max="1284" width="0.28515625" style="264" customWidth="1"/>
    <col min="1285" max="1285" width="13.140625" style="264" customWidth="1"/>
    <col min="1286" max="1286" width="31.42578125" style="264" customWidth="1"/>
    <col min="1287" max="1287" width="15.28515625" style="264" customWidth="1"/>
    <col min="1288" max="1288" width="3.42578125" style="264" customWidth="1"/>
    <col min="1289" max="1289" width="2.42578125" style="264" customWidth="1"/>
    <col min="1290" max="1290" width="9.42578125" style="264" customWidth="1"/>
    <col min="1291" max="1291" width="5.140625" style="264" customWidth="1"/>
    <col min="1292" max="1292" width="2.42578125" style="264" customWidth="1"/>
    <col min="1293" max="1293" width="7.7109375" style="264" customWidth="1"/>
    <col min="1294" max="1294" width="15.28515625" style="264" customWidth="1"/>
    <col min="1295" max="1295" width="3.85546875" style="264" customWidth="1"/>
    <col min="1296" max="1296" width="11.28515625" style="264" customWidth="1"/>
    <col min="1297" max="1297" width="1.140625" style="264" customWidth="1"/>
    <col min="1298" max="1298" width="0.28515625" style="264" customWidth="1"/>
    <col min="1299" max="1299" width="13.85546875" style="264" customWidth="1"/>
    <col min="1300" max="1538" width="8.7109375" style="264"/>
    <col min="1539" max="1539" width="15.28515625" style="264" customWidth="1"/>
    <col min="1540" max="1540" width="0.28515625" style="264" customWidth="1"/>
    <col min="1541" max="1541" width="13.140625" style="264" customWidth="1"/>
    <col min="1542" max="1542" width="31.42578125" style="264" customWidth="1"/>
    <col min="1543" max="1543" width="15.28515625" style="264" customWidth="1"/>
    <col min="1544" max="1544" width="3.42578125" style="264" customWidth="1"/>
    <col min="1545" max="1545" width="2.42578125" style="264" customWidth="1"/>
    <col min="1546" max="1546" width="9.42578125" style="264" customWidth="1"/>
    <col min="1547" max="1547" width="5.140625" style="264" customWidth="1"/>
    <col min="1548" max="1548" width="2.42578125" style="264" customWidth="1"/>
    <col min="1549" max="1549" width="7.7109375" style="264" customWidth="1"/>
    <col min="1550" max="1550" width="15.28515625" style="264" customWidth="1"/>
    <col min="1551" max="1551" width="3.85546875" style="264" customWidth="1"/>
    <col min="1552" max="1552" width="11.28515625" style="264" customWidth="1"/>
    <col min="1553" max="1553" width="1.140625" style="264" customWidth="1"/>
    <col min="1554" max="1554" width="0.28515625" style="264" customWidth="1"/>
    <col min="1555" max="1555" width="13.85546875" style="264" customWidth="1"/>
    <col min="1556" max="1794" width="8.7109375" style="264"/>
    <col min="1795" max="1795" width="15.28515625" style="264" customWidth="1"/>
    <col min="1796" max="1796" width="0.28515625" style="264" customWidth="1"/>
    <col min="1797" max="1797" width="13.140625" style="264" customWidth="1"/>
    <col min="1798" max="1798" width="31.42578125" style="264" customWidth="1"/>
    <col min="1799" max="1799" width="15.28515625" style="264" customWidth="1"/>
    <col min="1800" max="1800" width="3.42578125" style="264" customWidth="1"/>
    <col min="1801" max="1801" width="2.42578125" style="264" customWidth="1"/>
    <col min="1802" max="1802" width="9.42578125" style="264" customWidth="1"/>
    <col min="1803" max="1803" width="5.140625" style="264" customWidth="1"/>
    <col min="1804" max="1804" width="2.42578125" style="264" customWidth="1"/>
    <col min="1805" max="1805" width="7.7109375" style="264" customWidth="1"/>
    <col min="1806" max="1806" width="15.28515625" style="264" customWidth="1"/>
    <col min="1807" max="1807" width="3.85546875" style="264" customWidth="1"/>
    <col min="1808" max="1808" width="11.28515625" style="264" customWidth="1"/>
    <col min="1809" max="1809" width="1.140625" style="264" customWidth="1"/>
    <col min="1810" max="1810" width="0.28515625" style="264" customWidth="1"/>
    <col min="1811" max="1811" width="13.85546875" style="264" customWidth="1"/>
    <col min="1812" max="2050" width="8.7109375" style="264"/>
    <col min="2051" max="2051" width="15.28515625" style="264" customWidth="1"/>
    <col min="2052" max="2052" width="0.28515625" style="264" customWidth="1"/>
    <col min="2053" max="2053" width="13.140625" style="264" customWidth="1"/>
    <col min="2054" max="2054" width="31.42578125" style="264" customWidth="1"/>
    <col min="2055" max="2055" width="15.28515625" style="264" customWidth="1"/>
    <col min="2056" max="2056" width="3.42578125" style="264" customWidth="1"/>
    <col min="2057" max="2057" width="2.42578125" style="264" customWidth="1"/>
    <col min="2058" max="2058" width="9.42578125" style="264" customWidth="1"/>
    <col min="2059" max="2059" width="5.140625" style="264" customWidth="1"/>
    <col min="2060" max="2060" width="2.42578125" style="264" customWidth="1"/>
    <col min="2061" max="2061" width="7.7109375" style="264" customWidth="1"/>
    <col min="2062" max="2062" width="15.28515625" style="264" customWidth="1"/>
    <col min="2063" max="2063" width="3.85546875" style="264" customWidth="1"/>
    <col min="2064" max="2064" width="11.28515625" style="264" customWidth="1"/>
    <col min="2065" max="2065" width="1.140625" style="264" customWidth="1"/>
    <col min="2066" max="2066" width="0.28515625" style="264" customWidth="1"/>
    <col min="2067" max="2067" width="13.85546875" style="264" customWidth="1"/>
    <col min="2068" max="2306" width="8.7109375" style="264"/>
    <col min="2307" max="2307" width="15.28515625" style="264" customWidth="1"/>
    <col min="2308" max="2308" width="0.28515625" style="264" customWidth="1"/>
    <col min="2309" max="2309" width="13.140625" style="264" customWidth="1"/>
    <col min="2310" max="2310" width="31.42578125" style="264" customWidth="1"/>
    <col min="2311" max="2311" width="15.28515625" style="264" customWidth="1"/>
    <col min="2312" max="2312" width="3.42578125" style="264" customWidth="1"/>
    <col min="2313" max="2313" width="2.42578125" style="264" customWidth="1"/>
    <col min="2314" max="2314" width="9.42578125" style="264" customWidth="1"/>
    <col min="2315" max="2315" width="5.140625" style="264" customWidth="1"/>
    <col min="2316" max="2316" width="2.42578125" style="264" customWidth="1"/>
    <col min="2317" max="2317" width="7.7109375" style="264" customWidth="1"/>
    <col min="2318" max="2318" width="15.28515625" style="264" customWidth="1"/>
    <col min="2319" max="2319" width="3.85546875" style="264" customWidth="1"/>
    <col min="2320" max="2320" width="11.28515625" style="264" customWidth="1"/>
    <col min="2321" max="2321" width="1.140625" style="264" customWidth="1"/>
    <col min="2322" max="2322" width="0.28515625" style="264" customWidth="1"/>
    <col min="2323" max="2323" width="13.85546875" style="264" customWidth="1"/>
    <col min="2324" max="2562" width="8.7109375" style="264"/>
    <col min="2563" max="2563" width="15.28515625" style="264" customWidth="1"/>
    <col min="2564" max="2564" width="0.28515625" style="264" customWidth="1"/>
    <col min="2565" max="2565" width="13.140625" style="264" customWidth="1"/>
    <col min="2566" max="2566" width="31.42578125" style="264" customWidth="1"/>
    <col min="2567" max="2567" width="15.28515625" style="264" customWidth="1"/>
    <col min="2568" max="2568" width="3.42578125" style="264" customWidth="1"/>
    <col min="2569" max="2569" width="2.42578125" style="264" customWidth="1"/>
    <col min="2570" max="2570" width="9.42578125" style="264" customWidth="1"/>
    <col min="2571" max="2571" width="5.140625" style="264" customWidth="1"/>
    <col min="2572" max="2572" width="2.42578125" style="264" customWidth="1"/>
    <col min="2573" max="2573" width="7.7109375" style="264" customWidth="1"/>
    <col min="2574" max="2574" width="15.28515625" style="264" customWidth="1"/>
    <col min="2575" max="2575" width="3.85546875" style="264" customWidth="1"/>
    <col min="2576" max="2576" width="11.28515625" style="264" customWidth="1"/>
    <col min="2577" max="2577" width="1.140625" style="264" customWidth="1"/>
    <col min="2578" max="2578" width="0.28515625" style="264" customWidth="1"/>
    <col min="2579" max="2579" width="13.85546875" style="264" customWidth="1"/>
    <col min="2580" max="2818" width="8.7109375" style="264"/>
    <col min="2819" max="2819" width="15.28515625" style="264" customWidth="1"/>
    <col min="2820" max="2820" width="0.28515625" style="264" customWidth="1"/>
    <col min="2821" max="2821" width="13.140625" style="264" customWidth="1"/>
    <col min="2822" max="2822" width="31.42578125" style="264" customWidth="1"/>
    <col min="2823" max="2823" width="15.28515625" style="264" customWidth="1"/>
    <col min="2824" max="2824" width="3.42578125" style="264" customWidth="1"/>
    <col min="2825" max="2825" width="2.42578125" style="264" customWidth="1"/>
    <col min="2826" max="2826" width="9.42578125" style="264" customWidth="1"/>
    <col min="2827" max="2827" width="5.140625" style="264" customWidth="1"/>
    <col min="2828" max="2828" width="2.42578125" style="264" customWidth="1"/>
    <col min="2829" max="2829" width="7.7109375" style="264" customWidth="1"/>
    <col min="2830" max="2830" width="15.28515625" style="264" customWidth="1"/>
    <col min="2831" max="2831" width="3.85546875" style="264" customWidth="1"/>
    <col min="2832" max="2832" width="11.28515625" style="264" customWidth="1"/>
    <col min="2833" max="2833" width="1.140625" style="264" customWidth="1"/>
    <col min="2834" max="2834" width="0.28515625" style="264" customWidth="1"/>
    <col min="2835" max="2835" width="13.85546875" style="264" customWidth="1"/>
    <col min="2836" max="3074" width="8.7109375" style="264"/>
    <col min="3075" max="3075" width="15.28515625" style="264" customWidth="1"/>
    <col min="3076" max="3076" width="0.28515625" style="264" customWidth="1"/>
    <col min="3077" max="3077" width="13.140625" style="264" customWidth="1"/>
    <col min="3078" max="3078" width="31.42578125" style="264" customWidth="1"/>
    <col min="3079" max="3079" width="15.28515625" style="264" customWidth="1"/>
    <col min="3080" max="3080" width="3.42578125" style="264" customWidth="1"/>
    <col min="3081" max="3081" width="2.42578125" style="264" customWidth="1"/>
    <col min="3082" max="3082" width="9.42578125" style="264" customWidth="1"/>
    <col min="3083" max="3083" width="5.140625" style="264" customWidth="1"/>
    <col min="3084" max="3084" width="2.42578125" style="264" customWidth="1"/>
    <col min="3085" max="3085" width="7.7109375" style="264" customWidth="1"/>
    <col min="3086" max="3086" width="15.28515625" style="264" customWidth="1"/>
    <col min="3087" max="3087" width="3.85546875" style="264" customWidth="1"/>
    <col min="3088" max="3088" width="11.28515625" style="264" customWidth="1"/>
    <col min="3089" max="3089" width="1.140625" style="264" customWidth="1"/>
    <col min="3090" max="3090" width="0.28515625" style="264" customWidth="1"/>
    <col min="3091" max="3091" width="13.85546875" style="264" customWidth="1"/>
    <col min="3092" max="3330" width="8.7109375" style="264"/>
    <col min="3331" max="3331" width="15.28515625" style="264" customWidth="1"/>
    <col min="3332" max="3332" width="0.28515625" style="264" customWidth="1"/>
    <col min="3333" max="3333" width="13.140625" style="264" customWidth="1"/>
    <col min="3334" max="3334" width="31.42578125" style="264" customWidth="1"/>
    <col min="3335" max="3335" width="15.28515625" style="264" customWidth="1"/>
    <col min="3336" max="3336" width="3.42578125" style="264" customWidth="1"/>
    <col min="3337" max="3337" width="2.42578125" style="264" customWidth="1"/>
    <col min="3338" max="3338" width="9.42578125" style="264" customWidth="1"/>
    <col min="3339" max="3339" width="5.140625" style="264" customWidth="1"/>
    <col min="3340" max="3340" width="2.42578125" style="264" customWidth="1"/>
    <col min="3341" max="3341" width="7.7109375" style="264" customWidth="1"/>
    <col min="3342" max="3342" width="15.28515625" style="264" customWidth="1"/>
    <col min="3343" max="3343" width="3.85546875" style="264" customWidth="1"/>
    <col min="3344" max="3344" width="11.28515625" style="264" customWidth="1"/>
    <col min="3345" max="3345" width="1.140625" style="264" customWidth="1"/>
    <col min="3346" max="3346" width="0.28515625" style="264" customWidth="1"/>
    <col min="3347" max="3347" width="13.85546875" style="264" customWidth="1"/>
    <col min="3348" max="3586" width="8.7109375" style="264"/>
    <col min="3587" max="3587" width="15.28515625" style="264" customWidth="1"/>
    <col min="3588" max="3588" width="0.28515625" style="264" customWidth="1"/>
    <col min="3589" max="3589" width="13.140625" style="264" customWidth="1"/>
    <col min="3590" max="3590" width="31.42578125" style="264" customWidth="1"/>
    <col min="3591" max="3591" width="15.28515625" style="264" customWidth="1"/>
    <col min="3592" max="3592" width="3.42578125" style="264" customWidth="1"/>
    <col min="3593" max="3593" width="2.42578125" style="264" customWidth="1"/>
    <col min="3594" max="3594" width="9.42578125" style="264" customWidth="1"/>
    <col min="3595" max="3595" width="5.140625" style="264" customWidth="1"/>
    <col min="3596" max="3596" width="2.42578125" style="264" customWidth="1"/>
    <col min="3597" max="3597" width="7.7109375" style="264" customWidth="1"/>
    <col min="3598" max="3598" width="15.28515625" style="264" customWidth="1"/>
    <col min="3599" max="3599" width="3.85546875" style="264" customWidth="1"/>
    <col min="3600" max="3600" width="11.28515625" style="264" customWidth="1"/>
    <col min="3601" max="3601" width="1.140625" style="264" customWidth="1"/>
    <col min="3602" max="3602" width="0.28515625" style="264" customWidth="1"/>
    <col min="3603" max="3603" width="13.85546875" style="264" customWidth="1"/>
    <col min="3604" max="3842" width="8.7109375" style="264"/>
    <col min="3843" max="3843" width="15.28515625" style="264" customWidth="1"/>
    <col min="3844" max="3844" width="0.28515625" style="264" customWidth="1"/>
    <col min="3845" max="3845" width="13.140625" style="264" customWidth="1"/>
    <col min="3846" max="3846" width="31.42578125" style="264" customWidth="1"/>
    <col min="3847" max="3847" width="15.28515625" style="264" customWidth="1"/>
    <col min="3848" max="3848" width="3.42578125" style="264" customWidth="1"/>
    <col min="3849" max="3849" width="2.42578125" style="264" customWidth="1"/>
    <col min="3850" max="3850" width="9.42578125" style="264" customWidth="1"/>
    <col min="3851" max="3851" width="5.140625" style="264" customWidth="1"/>
    <col min="3852" max="3852" width="2.42578125" style="264" customWidth="1"/>
    <col min="3853" max="3853" width="7.7109375" style="264" customWidth="1"/>
    <col min="3854" max="3854" width="15.28515625" style="264" customWidth="1"/>
    <col min="3855" max="3855" width="3.85546875" style="264" customWidth="1"/>
    <col min="3856" max="3856" width="11.28515625" style="264" customWidth="1"/>
    <col min="3857" max="3857" width="1.140625" style="264" customWidth="1"/>
    <col min="3858" max="3858" width="0.28515625" style="264" customWidth="1"/>
    <col min="3859" max="3859" width="13.85546875" style="264" customWidth="1"/>
    <col min="3860" max="4098" width="8.7109375" style="264"/>
    <col min="4099" max="4099" width="15.28515625" style="264" customWidth="1"/>
    <col min="4100" max="4100" width="0.28515625" style="264" customWidth="1"/>
    <col min="4101" max="4101" width="13.140625" style="264" customWidth="1"/>
    <col min="4102" max="4102" width="31.42578125" style="264" customWidth="1"/>
    <col min="4103" max="4103" width="15.28515625" style="264" customWidth="1"/>
    <col min="4104" max="4104" width="3.42578125" style="264" customWidth="1"/>
    <col min="4105" max="4105" width="2.42578125" style="264" customWidth="1"/>
    <col min="4106" max="4106" width="9.42578125" style="264" customWidth="1"/>
    <col min="4107" max="4107" width="5.140625" style="264" customWidth="1"/>
    <col min="4108" max="4108" width="2.42578125" style="264" customWidth="1"/>
    <col min="4109" max="4109" width="7.7109375" style="264" customWidth="1"/>
    <col min="4110" max="4110" width="15.28515625" style="264" customWidth="1"/>
    <col min="4111" max="4111" width="3.85546875" style="264" customWidth="1"/>
    <col min="4112" max="4112" width="11.28515625" style="264" customWidth="1"/>
    <col min="4113" max="4113" width="1.140625" style="264" customWidth="1"/>
    <col min="4114" max="4114" width="0.28515625" style="264" customWidth="1"/>
    <col min="4115" max="4115" width="13.85546875" style="264" customWidth="1"/>
    <col min="4116" max="4354" width="8.7109375" style="264"/>
    <col min="4355" max="4355" width="15.28515625" style="264" customWidth="1"/>
    <col min="4356" max="4356" width="0.28515625" style="264" customWidth="1"/>
    <col min="4357" max="4357" width="13.140625" style="264" customWidth="1"/>
    <col min="4358" max="4358" width="31.42578125" style="264" customWidth="1"/>
    <col min="4359" max="4359" width="15.28515625" style="264" customWidth="1"/>
    <col min="4360" max="4360" width="3.42578125" style="264" customWidth="1"/>
    <col min="4361" max="4361" width="2.42578125" style="264" customWidth="1"/>
    <col min="4362" max="4362" width="9.42578125" style="264" customWidth="1"/>
    <col min="4363" max="4363" width="5.140625" style="264" customWidth="1"/>
    <col min="4364" max="4364" width="2.42578125" style="264" customWidth="1"/>
    <col min="4365" max="4365" width="7.7109375" style="264" customWidth="1"/>
    <col min="4366" max="4366" width="15.28515625" style="264" customWidth="1"/>
    <col min="4367" max="4367" width="3.85546875" style="264" customWidth="1"/>
    <col min="4368" max="4368" width="11.28515625" style="264" customWidth="1"/>
    <col min="4369" max="4369" width="1.140625" style="264" customWidth="1"/>
    <col min="4370" max="4370" width="0.28515625" style="264" customWidth="1"/>
    <col min="4371" max="4371" width="13.85546875" style="264" customWidth="1"/>
    <col min="4372" max="4610" width="8.7109375" style="264"/>
    <col min="4611" max="4611" width="15.28515625" style="264" customWidth="1"/>
    <col min="4612" max="4612" width="0.28515625" style="264" customWidth="1"/>
    <col min="4613" max="4613" width="13.140625" style="264" customWidth="1"/>
    <col min="4614" max="4614" width="31.42578125" style="264" customWidth="1"/>
    <col min="4615" max="4615" width="15.28515625" style="264" customWidth="1"/>
    <col min="4616" max="4616" width="3.42578125" style="264" customWidth="1"/>
    <col min="4617" max="4617" width="2.42578125" style="264" customWidth="1"/>
    <col min="4618" max="4618" width="9.42578125" style="264" customWidth="1"/>
    <col min="4619" max="4619" width="5.140625" style="264" customWidth="1"/>
    <col min="4620" max="4620" width="2.42578125" style="264" customWidth="1"/>
    <col min="4621" max="4621" width="7.7109375" style="264" customWidth="1"/>
    <col min="4622" max="4622" width="15.28515625" style="264" customWidth="1"/>
    <col min="4623" max="4623" width="3.85546875" style="264" customWidth="1"/>
    <col min="4624" max="4624" width="11.28515625" style="264" customWidth="1"/>
    <col min="4625" max="4625" width="1.140625" style="264" customWidth="1"/>
    <col min="4626" max="4626" width="0.28515625" style="264" customWidth="1"/>
    <col min="4627" max="4627" width="13.85546875" style="264" customWidth="1"/>
    <col min="4628" max="4866" width="8.7109375" style="264"/>
    <col min="4867" max="4867" width="15.28515625" style="264" customWidth="1"/>
    <col min="4868" max="4868" width="0.28515625" style="264" customWidth="1"/>
    <col min="4869" max="4869" width="13.140625" style="264" customWidth="1"/>
    <col min="4870" max="4870" width="31.42578125" style="264" customWidth="1"/>
    <col min="4871" max="4871" width="15.28515625" style="264" customWidth="1"/>
    <col min="4872" max="4872" width="3.42578125" style="264" customWidth="1"/>
    <col min="4873" max="4873" width="2.42578125" style="264" customWidth="1"/>
    <col min="4874" max="4874" width="9.42578125" style="264" customWidth="1"/>
    <col min="4875" max="4875" width="5.140625" style="264" customWidth="1"/>
    <col min="4876" max="4876" width="2.42578125" style="264" customWidth="1"/>
    <col min="4877" max="4877" width="7.7109375" style="264" customWidth="1"/>
    <col min="4878" max="4878" width="15.28515625" style="264" customWidth="1"/>
    <col min="4879" max="4879" width="3.85546875" style="264" customWidth="1"/>
    <col min="4880" max="4880" width="11.28515625" style="264" customWidth="1"/>
    <col min="4881" max="4881" width="1.140625" style="264" customWidth="1"/>
    <col min="4882" max="4882" width="0.28515625" style="264" customWidth="1"/>
    <col min="4883" max="4883" width="13.85546875" style="264" customWidth="1"/>
    <col min="4884" max="5122" width="8.7109375" style="264"/>
    <col min="5123" max="5123" width="15.28515625" style="264" customWidth="1"/>
    <col min="5124" max="5124" width="0.28515625" style="264" customWidth="1"/>
    <col min="5125" max="5125" width="13.140625" style="264" customWidth="1"/>
    <col min="5126" max="5126" width="31.42578125" style="264" customWidth="1"/>
    <col min="5127" max="5127" width="15.28515625" style="264" customWidth="1"/>
    <col min="5128" max="5128" width="3.42578125" style="264" customWidth="1"/>
    <col min="5129" max="5129" width="2.42578125" style="264" customWidth="1"/>
    <col min="5130" max="5130" width="9.42578125" style="264" customWidth="1"/>
    <col min="5131" max="5131" width="5.140625" style="264" customWidth="1"/>
    <col min="5132" max="5132" width="2.42578125" style="264" customWidth="1"/>
    <col min="5133" max="5133" width="7.7109375" style="264" customWidth="1"/>
    <col min="5134" max="5134" width="15.28515625" style="264" customWidth="1"/>
    <col min="5135" max="5135" width="3.85546875" style="264" customWidth="1"/>
    <col min="5136" max="5136" width="11.28515625" style="264" customWidth="1"/>
    <col min="5137" max="5137" width="1.140625" style="264" customWidth="1"/>
    <col min="5138" max="5138" width="0.28515625" style="264" customWidth="1"/>
    <col min="5139" max="5139" width="13.85546875" style="264" customWidth="1"/>
    <col min="5140" max="5378" width="8.7109375" style="264"/>
    <col min="5379" max="5379" width="15.28515625" style="264" customWidth="1"/>
    <col min="5380" max="5380" width="0.28515625" style="264" customWidth="1"/>
    <col min="5381" max="5381" width="13.140625" style="264" customWidth="1"/>
    <col min="5382" max="5382" width="31.42578125" style="264" customWidth="1"/>
    <col min="5383" max="5383" width="15.28515625" style="264" customWidth="1"/>
    <col min="5384" max="5384" width="3.42578125" style="264" customWidth="1"/>
    <col min="5385" max="5385" width="2.42578125" style="264" customWidth="1"/>
    <col min="5386" max="5386" width="9.42578125" style="264" customWidth="1"/>
    <col min="5387" max="5387" width="5.140625" style="264" customWidth="1"/>
    <col min="5388" max="5388" width="2.42578125" style="264" customWidth="1"/>
    <col min="5389" max="5389" width="7.7109375" style="264" customWidth="1"/>
    <col min="5390" max="5390" width="15.28515625" style="264" customWidth="1"/>
    <col min="5391" max="5391" width="3.85546875" style="264" customWidth="1"/>
    <col min="5392" max="5392" width="11.28515625" style="264" customWidth="1"/>
    <col min="5393" max="5393" width="1.140625" style="264" customWidth="1"/>
    <col min="5394" max="5394" width="0.28515625" style="264" customWidth="1"/>
    <col min="5395" max="5395" width="13.85546875" style="264" customWidth="1"/>
    <col min="5396" max="5634" width="8.7109375" style="264"/>
    <col min="5635" max="5635" width="15.28515625" style="264" customWidth="1"/>
    <col min="5636" max="5636" width="0.28515625" style="264" customWidth="1"/>
    <col min="5637" max="5637" width="13.140625" style="264" customWidth="1"/>
    <col min="5638" max="5638" width="31.42578125" style="264" customWidth="1"/>
    <col min="5639" max="5639" width="15.28515625" style="264" customWidth="1"/>
    <col min="5640" max="5640" width="3.42578125" style="264" customWidth="1"/>
    <col min="5641" max="5641" width="2.42578125" style="264" customWidth="1"/>
    <col min="5642" max="5642" width="9.42578125" style="264" customWidth="1"/>
    <col min="5643" max="5643" width="5.140625" style="264" customWidth="1"/>
    <col min="5644" max="5644" width="2.42578125" style="264" customWidth="1"/>
    <col min="5645" max="5645" width="7.7109375" style="264" customWidth="1"/>
    <col min="5646" max="5646" width="15.28515625" style="264" customWidth="1"/>
    <col min="5647" max="5647" width="3.85546875" style="264" customWidth="1"/>
    <col min="5648" max="5648" width="11.28515625" style="264" customWidth="1"/>
    <col min="5649" max="5649" width="1.140625" style="264" customWidth="1"/>
    <col min="5650" max="5650" width="0.28515625" style="264" customWidth="1"/>
    <col min="5651" max="5651" width="13.85546875" style="264" customWidth="1"/>
    <col min="5652" max="5890" width="8.7109375" style="264"/>
    <col min="5891" max="5891" width="15.28515625" style="264" customWidth="1"/>
    <col min="5892" max="5892" width="0.28515625" style="264" customWidth="1"/>
    <col min="5893" max="5893" width="13.140625" style="264" customWidth="1"/>
    <col min="5894" max="5894" width="31.42578125" style="264" customWidth="1"/>
    <col min="5895" max="5895" width="15.28515625" style="264" customWidth="1"/>
    <col min="5896" max="5896" width="3.42578125" style="264" customWidth="1"/>
    <col min="5897" max="5897" width="2.42578125" style="264" customWidth="1"/>
    <col min="5898" max="5898" width="9.42578125" style="264" customWidth="1"/>
    <col min="5899" max="5899" width="5.140625" style="264" customWidth="1"/>
    <col min="5900" max="5900" width="2.42578125" style="264" customWidth="1"/>
    <col min="5901" max="5901" width="7.7109375" style="264" customWidth="1"/>
    <col min="5902" max="5902" width="15.28515625" style="264" customWidth="1"/>
    <col min="5903" max="5903" width="3.85546875" style="264" customWidth="1"/>
    <col min="5904" max="5904" width="11.28515625" style="264" customWidth="1"/>
    <col min="5905" max="5905" width="1.140625" style="264" customWidth="1"/>
    <col min="5906" max="5906" width="0.28515625" style="264" customWidth="1"/>
    <col min="5907" max="5907" width="13.85546875" style="264" customWidth="1"/>
    <col min="5908" max="6146" width="8.7109375" style="264"/>
    <col min="6147" max="6147" width="15.28515625" style="264" customWidth="1"/>
    <col min="6148" max="6148" width="0.28515625" style="264" customWidth="1"/>
    <col min="6149" max="6149" width="13.140625" style="264" customWidth="1"/>
    <col min="6150" max="6150" width="31.42578125" style="264" customWidth="1"/>
    <col min="6151" max="6151" width="15.28515625" style="264" customWidth="1"/>
    <col min="6152" max="6152" width="3.42578125" style="264" customWidth="1"/>
    <col min="6153" max="6153" width="2.42578125" style="264" customWidth="1"/>
    <col min="6154" max="6154" width="9.42578125" style="264" customWidth="1"/>
    <col min="6155" max="6155" width="5.140625" style="264" customWidth="1"/>
    <col min="6156" max="6156" width="2.42578125" style="264" customWidth="1"/>
    <col min="6157" max="6157" width="7.7109375" style="264" customWidth="1"/>
    <col min="6158" max="6158" width="15.28515625" style="264" customWidth="1"/>
    <col min="6159" max="6159" width="3.85546875" style="264" customWidth="1"/>
    <col min="6160" max="6160" width="11.28515625" style="264" customWidth="1"/>
    <col min="6161" max="6161" width="1.140625" style="264" customWidth="1"/>
    <col min="6162" max="6162" width="0.28515625" style="264" customWidth="1"/>
    <col min="6163" max="6163" width="13.85546875" style="264" customWidth="1"/>
    <col min="6164" max="6402" width="8.7109375" style="264"/>
    <col min="6403" max="6403" width="15.28515625" style="264" customWidth="1"/>
    <col min="6404" max="6404" width="0.28515625" style="264" customWidth="1"/>
    <col min="6405" max="6405" width="13.140625" style="264" customWidth="1"/>
    <col min="6406" max="6406" width="31.42578125" style="264" customWidth="1"/>
    <col min="6407" max="6407" width="15.28515625" style="264" customWidth="1"/>
    <col min="6408" max="6408" width="3.42578125" style="264" customWidth="1"/>
    <col min="6409" max="6409" width="2.42578125" style="264" customWidth="1"/>
    <col min="6410" max="6410" width="9.42578125" style="264" customWidth="1"/>
    <col min="6411" max="6411" width="5.140625" style="264" customWidth="1"/>
    <col min="6412" max="6412" width="2.42578125" style="264" customWidth="1"/>
    <col min="6413" max="6413" width="7.7109375" style="264" customWidth="1"/>
    <col min="6414" max="6414" width="15.28515625" style="264" customWidth="1"/>
    <col min="6415" max="6415" width="3.85546875" style="264" customWidth="1"/>
    <col min="6416" max="6416" width="11.28515625" style="264" customWidth="1"/>
    <col min="6417" max="6417" width="1.140625" style="264" customWidth="1"/>
    <col min="6418" max="6418" width="0.28515625" style="264" customWidth="1"/>
    <col min="6419" max="6419" width="13.85546875" style="264" customWidth="1"/>
    <col min="6420" max="6658" width="8.7109375" style="264"/>
    <col min="6659" max="6659" width="15.28515625" style="264" customWidth="1"/>
    <col min="6660" max="6660" width="0.28515625" style="264" customWidth="1"/>
    <col min="6661" max="6661" width="13.140625" style="264" customWidth="1"/>
    <col min="6662" max="6662" width="31.42578125" style="264" customWidth="1"/>
    <col min="6663" max="6663" width="15.28515625" style="264" customWidth="1"/>
    <col min="6664" max="6664" width="3.42578125" style="264" customWidth="1"/>
    <col min="6665" max="6665" width="2.42578125" style="264" customWidth="1"/>
    <col min="6666" max="6666" width="9.42578125" style="264" customWidth="1"/>
    <col min="6667" max="6667" width="5.140625" style="264" customWidth="1"/>
    <col min="6668" max="6668" width="2.42578125" style="264" customWidth="1"/>
    <col min="6669" max="6669" width="7.7109375" style="264" customWidth="1"/>
    <col min="6670" max="6670" width="15.28515625" style="264" customWidth="1"/>
    <col min="6671" max="6671" width="3.85546875" style="264" customWidth="1"/>
    <col min="6672" max="6672" width="11.28515625" style="264" customWidth="1"/>
    <col min="6673" max="6673" width="1.140625" style="264" customWidth="1"/>
    <col min="6674" max="6674" width="0.28515625" style="264" customWidth="1"/>
    <col min="6675" max="6675" width="13.85546875" style="264" customWidth="1"/>
    <col min="6676" max="6914" width="8.7109375" style="264"/>
    <col min="6915" max="6915" width="15.28515625" style="264" customWidth="1"/>
    <col min="6916" max="6916" width="0.28515625" style="264" customWidth="1"/>
    <col min="6917" max="6917" width="13.140625" style="264" customWidth="1"/>
    <col min="6918" max="6918" width="31.42578125" style="264" customWidth="1"/>
    <col min="6919" max="6919" width="15.28515625" style="264" customWidth="1"/>
    <col min="6920" max="6920" width="3.42578125" style="264" customWidth="1"/>
    <col min="6921" max="6921" width="2.42578125" style="264" customWidth="1"/>
    <col min="6922" max="6922" width="9.42578125" style="264" customWidth="1"/>
    <col min="6923" max="6923" width="5.140625" style="264" customWidth="1"/>
    <col min="6924" max="6924" width="2.42578125" style="264" customWidth="1"/>
    <col min="6925" max="6925" width="7.7109375" style="264" customWidth="1"/>
    <col min="6926" max="6926" width="15.28515625" style="264" customWidth="1"/>
    <col min="6927" max="6927" width="3.85546875" style="264" customWidth="1"/>
    <col min="6928" max="6928" width="11.28515625" style="264" customWidth="1"/>
    <col min="6929" max="6929" width="1.140625" style="264" customWidth="1"/>
    <col min="6930" max="6930" width="0.28515625" style="264" customWidth="1"/>
    <col min="6931" max="6931" width="13.85546875" style="264" customWidth="1"/>
    <col min="6932" max="7170" width="8.7109375" style="264"/>
    <col min="7171" max="7171" width="15.28515625" style="264" customWidth="1"/>
    <col min="7172" max="7172" width="0.28515625" style="264" customWidth="1"/>
    <col min="7173" max="7173" width="13.140625" style="264" customWidth="1"/>
    <col min="7174" max="7174" width="31.42578125" style="264" customWidth="1"/>
    <col min="7175" max="7175" width="15.28515625" style="264" customWidth="1"/>
    <col min="7176" max="7176" width="3.42578125" style="264" customWidth="1"/>
    <col min="7177" max="7177" width="2.42578125" style="264" customWidth="1"/>
    <col min="7178" max="7178" width="9.42578125" style="264" customWidth="1"/>
    <col min="7179" max="7179" width="5.140625" style="264" customWidth="1"/>
    <col min="7180" max="7180" width="2.42578125" style="264" customWidth="1"/>
    <col min="7181" max="7181" width="7.7109375" style="264" customWidth="1"/>
    <col min="7182" max="7182" width="15.28515625" style="264" customWidth="1"/>
    <col min="7183" max="7183" width="3.85546875" style="264" customWidth="1"/>
    <col min="7184" max="7184" width="11.28515625" style="264" customWidth="1"/>
    <col min="7185" max="7185" width="1.140625" style="264" customWidth="1"/>
    <col min="7186" max="7186" width="0.28515625" style="264" customWidth="1"/>
    <col min="7187" max="7187" width="13.85546875" style="264" customWidth="1"/>
    <col min="7188" max="7426" width="8.7109375" style="264"/>
    <col min="7427" max="7427" width="15.28515625" style="264" customWidth="1"/>
    <col min="7428" max="7428" width="0.28515625" style="264" customWidth="1"/>
    <col min="7429" max="7429" width="13.140625" style="264" customWidth="1"/>
    <col min="7430" max="7430" width="31.42578125" style="264" customWidth="1"/>
    <col min="7431" max="7431" width="15.28515625" style="264" customWidth="1"/>
    <col min="7432" max="7432" width="3.42578125" style="264" customWidth="1"/>
    <col min="7433" max="7433" width="2.42578125" style="264" customWidth="1"/>
    <col min="7434" max="7434" width="9.42578125" style="264" customWidth="1"/>
    <col min="7435" max="7435" width="5.140625" style="264" customWidth="1"/>
    <col min="7436" max="7436" width="2.42578125" style="264" customWidth="1"/>
    <col min="7437" max="7437" width="7.7109375" style="264" customWidth="1"/>
    <col min="7438" max="7438" width="15.28515625" style="264" customWidth="1"/>
    <col min="7439" max="7439" width="3.85546875" style="264" customWidth="1"/>
    <col min="7440" max="7440" width="11.28515625" style="264" customWidth="1"/>
    <col min="7441" max="7441" width="1.140625" style="264" customWidth="1"/>
    <col min="7442" max="7442" width="0.28515625" style="264" customWidth="1"/>
    <col min="7443" max="7443" width="13.85546875" style="264" customWidth="1"/>
    <col min="7444" max="7682" width="8.7109375" style="264"/>
    <col min="7683" max="7683" width="15.28515625" style="264" customWidth="1"/>
    <col min="7684" max="7684" width="0.28515625" style="264" customWidth="1"/>
    <col min="7685" max="7685" width="13.140625" style="264" customWidth="1"/>
    <col min="7686" max="7686" width="31.42578125" style="264" customWidth="1"/>
    <col min="7687" max="7687" width="15.28515625" style="264" customWidth="1"/>
    <col min="7688" max="7688" width="3.42578125" style="264" customWidth="1"/>
    <col min="7689" max="7689" width="2.42578125" style="264" customWidth="1"/>
    <col min="7690" max="7690" width="9.42578125" style="264" customWidth="1"/>
    <col min="7691" max="7691" width="5.140625" style="264" customWidth="1"/>
    <col min="7692" max="7692" width="2.42578125" style="264" customWidth="1"/>
    <col min="7693" max="7693" width="7.7109375" style="264" customWidth="1"/>
    <col min="7694" max="7694" width="15.28515625" style="264" customWidth="1"/>
    <col min="7695" max="7695" width="3.85546875" style="264" customWidth="1"/>
    <col min="7696" max="7696" width="11.28515625" style="264" customWidth="1"/>
    <col min="7697" max="7697" width="1.140625" style="264" customWidth="1"/>
    <col min="7698" max="7698" width="0.28515625" style="264" customWidth="1"/>
    <col min="7699" max="7699" width="13.85546875" style="264" customWidth="1"/>
    <col min="7700" max="7938" width="8.7109375" style="264"/>
    <col min="7939" max="7939" width="15.28515625" style="264" customWidth="1"/>
    <col min="7940" max="7940" width="0.28515625" style="264" customWidth="1"/>
    <col min="7941" max="7941" width="13.140625" style="264" customWidth="1"/>
    <col min="7942" max="7942" width="31.42578125" style="264" customWidth="1"/>
    <col min="7943" max="7943" width="15.28515625" style="264" customWidth="1"/>
    <col min="7944" max="7944" width="3.42578125" style="264" customWidth="1"/>
    <col min="7945" max="7945" width="2.42578125" style="264" customWidth="1"/>
    <col min="7946" max="7946" width="9.42578125" style="264" customWidth="1"/>
    <col min="7947" max="7947" width="5.140625" style="264" customWidth="1"/>
    <col min="7948" max="7948" width="2.42578125" style="264" customWidth="1"/>
    <col min="7949" max="7949" width="7.7109375" style="264" customWidth="1"/>
    <col min="7950" max="7950" width="15.28515625" style="264" customWidth="1"/>
    <col min="7951" max="7951" width="3.85546875" style="264" customWidth="1"/>
    <col min="7952" max="7952" width="11.28515625" style="264" customWidth="1"/>
    <col min="7953" max="7953" width="1.140625" style="264" customWidth="1"/>
    <col min="7954" max="7954" width="0.28515625" style="264" customWidth="1"/>
    <col min="7955" max="7955" width="13.85546875" style="264" customWidth="1"/>
    <col min="7956" max="8194" width="8.7109375" style="264"/>
    <col min="8195" max="8195" width="15.28515625" style="264" customWidth="1"/>
    <col min="8196" max="8196" width="0.28515625" style="264" customWidth="1"/>
    <col min="8197" max="8197" width="13.140625" style="264" customWidth="1"/>
    <col min="8198" max="8198" width="31.42578125" style="264" customWidth="1"/>
    <col min="8199" max="8199" width="15.28515625" style="264" customWidth="1"/>
    <col min="8200" max="8200" width="3.42578125" style="264" customWidth="1"/>
    <col min="8201" max="8201" width="2.42578125" style="264" customWidth="1"/>
    <col min="8202" max="8202" width="9.42578125" style="264" customWidth="1"/>
    <col min="8203" max="8203" width="5.140625" style="264" customWidth="1"/>
    <col min="8204" max="8204" width="2.42578125" style="264" customWidth="1"/>
    <col min="8205" max="8205" width="7.7109375" style="264" customWidth="1"/>
    <col min="8206" max="8206" width="15.28515625" style="264" customWidth="1"/>
    <col min="8207" max="8207" width="3.85546875" style="264" customWidth="1"/>
    <col min="8208" max="8208" width="11.28515625" style="264" customWidth="1"/>
    <col min="8209" max="8209" width="1.140625" style="264" customWidth="1"/>
    <col min="8210" max="8210" width="0.28515625" style="264" customWidth="1"/>
    <col min="8211" max="8211" width="13.85546875" style="264" customWidth="1"/>
    <col min="8212" max="8450" width="8.7109375" style="264"/>
    <col min="8451" max="8451" width="15.28515625" style="264" customWidth="1"/>
    <col min="8452" max="8452" width="0.28515625" style="264" customWidth="1"/>
    <col min="8453" max="8453" width="13.140625" style="264" customWidth="1"/>
    <col min="8454" max="8454" width="31.42578125" style="264" customWidth="1"/>
    <col min="8455" max="8455" width="15.28515625" style="264" customWidth="1"/>
    <col min="8456" max="8456" width="3.42578125" style="264" customWidth="1"/>
    <col min="8457" max="8457" width="2.42578125" style="264" customWidth="1"/>
    <col min="8458" max="8458" width="9.42578125" style="264" customWidth="1"/>
    <col min="8459" max="8459" width="5.140625" style="264" customWidth="1"/>
    <col min="8460" max="8460" width="2.42578125" style="264" customWidth="1"/>
    <col min="8461" max="8461" width="7.7109375" style="264" customWidth="1"/>
    <col min="8462" max="8462" width="15.28515625" style="264" customWidth="1"/>
    <col min="8463" max="8463" width="3.85546875" style="264" customWidth="1"/>
    <col min="8464" max="8464" width="11.28515625" style="264" customWidth="1"/>
    <col min="8465" max="8465" width="1.140625" style="264" customWidth="1"/>
    <col min="8466" max="8466" width="0.28515625" style="264" customWidth="1"/>
    <col min="8467" max="8467" width="13.85546875" style="264" customWidth="1"/>
    <col min="8468" max="8706" width="8.7109375" style="264"/>
    <col min="8707" max="8707" width="15.28515625" style="264" customWidth="1"/>
    <col min="8708" max="8708" width="0.28515625" style="264" customWidth="1"/>
    <col min="8709" max="8709" width="13.140625" style="264" customWidth="1"/>
    <col min="8710" max="8710" width="31.42578125" style="264" customWidth="1"/>
    <col min="8711" max="8711" width="15.28515625" style="264" customWidth="1"/>
    <col min="8712" max="8712" width="3.42578125" style="264" customWidth="1"/>
    <col min="8713" max="8713" width="2.42578125" style="264" customWidth="1"/>
    <col min="8714" max="8714" width="9.42578125" style="264" customWidth="1"/>
    <col min="8715" max="8715" width="5.140625" style="264" customWidth="1"/>
    <col min="8716" max="8716" width="2.42578125" style="264" customWidth="1"/>
    <col min="8717" max="8717" width="7.7109375" style="264" customWidth="1"/>
    <col min="8718" max="8718" width="15.28515625" style="264" customWidth="1"/>
    <col min="8719" max="8719" width="3.85546875" style="264" customWidth="1"/>
    <col min="8720" max="8720" width="11.28515625" style="264" customWidth="1"/>
    <col min="8721" max="8721" width="1.140625" style="264" customWidth="1"/>
    <col min="8722" max="8722" width="0.28515625" style="264" customWidth="1"/>
    <col min="8723" max="8723" width="13.85546875" style="264" customWidth="1"/>
    <col min="8724" max="8962" width="8.7109375" style="264"/>
    <col min="8963" max="8963" width="15.28515625" style="264" customWidth="1"/>
    <col min="8964" max="8964" width="0.28515625" style="264" customWidth="1"/>
    <col min="8965" max="8965" width="13.140625" style="264" customWidth="1"/>
    <col min="8966" max="8966" width="31.42578125" style="264" customWidth="1"/>
    <col min="8967" max="8967" width="15.28515625" style="264" customWidth="1"/>
    <col min="8968" max="8968" width="3.42578125" style="264" customWidth="1"/>
    <col min="8969" max="8969" width="2.42578125" style="264" customWidth="1"/>
    <col min="8970" max="8970" width="9.42578125" style="264" customWidth="1"/>
    <col min="8971" max="8971" width="5.140625" style="264" customWidth="1"/>
    <col min="8972" max="8972" width="2.42578125" style="264" customWidth="1"/>
    <col min="8973" max="8973" width="7.7109375" style="264" customWidth="1"/>
    <col min="8974" max="8974" width="15.28515625" style="264" customWidth="1"/>
    <col min="8975" max="8975" width="3.85546875" style="264" customWidth="1"/>
    <col min="8976" max="8976" width="11.28515625" style="264" customWidth="1"/>
    <col min="8977" max="8977" width="1.140625" style="264" customWidth="1"/>
    <col min="8978" max="8978" width="0.28515625" style="264" customWidth="1"/>
    <col min="8979" max="8979" width="13.85546875" style="264" customWidth="1"/>
    <col min="8980" max="9218" width="8.7109375" style="264"/>
    <col min="9219" max="9219" width="15.28515625" style="264" customWidth="1"/>
    <col min="9220" max="9220" width="0.28515625" style="264" customWidth="1"/>
    <col min="9221" max="9221" width="13.140625" style="264" customWidth="1"/>
    <col min="9222" max="9222" width="31.42578125" style="264" customWidth="1"/>
    <col min="9223" max="9223" width="15.28515625" style="264" customWidth="1"/>
    <col min="9224" max="9224" width="3.42578125" style="264" customWidth="1"/>
    <col min="9225" max="9225" width="2.42578125" style="264" customWidth="1"/>
    <col min="9226" max="9226" width="9.42578125" style="264" customWidth="1"/>
    <col min="9227" max="9227" width="5.140625" style="264" customWidth="1"/>
    <col min="9228" max="9228" width="2.42578125" style="264" customWidth="1"/>
    <col min="9229" max="9229" width="7.7109375" style="264" customWidth="1"/>
    <col min="9230" max="9230" width="15.28515625" style="264" customWidth="1"/>
    <col min="9231" max="9231" width="3.85546875" style="264" customWidth="1"/>
    <col min="9232" max="9232" width="11.28515625" style="264" customWidth="1"/>
    <col min="9233" max="9233" width="1.140625" style="264" customWidth="1"/>
    <col min="9234" max="9234" width="0.28515625" style="264" customWidth="1"/>
    <col min="9235" max="9235" width="13.85546875" style="264" customWidth="1"/>
    <col min="9236" max="9474" width="8.7109375" style="264"/>
    <col min="9475" max="9475" width="15.28515625" style="264" customWidth="1"/>
    <col min="9476" max="9476" width="0.28515625" style="264" customWidth="1"/>
    <col min="9477" max="9477" width="13.140625" style="264" customWidth="1"/>
    <col min="9478" max="9478" width="31.42578125" style="264" customWidth="1"/>
    <col min="9479" max="9479" width="15.28515625" style="264" customWidth="1"/>
    <col min="9480" max="9480" width="3.42578125" style="264" customWidth="1"/>
    <col min="9481" max="9481" width="2.42578125" style="264" customWidth="1"/>
    <col min="9482" max="9482" width="9.42578125" style="264" customWidth="1"/>
    <col min="9483" max="9483" width="5.140625" style="264" customWidth="1"/>
    <col min="9484" max="9484" width="2.42578125" style="264" customWidth="1"/>
    <col min="9485" max="9485" width="7.7109375" style="264" customWidth="1"/>
    <col min="9486" max="9486" width="15.28515625" style="264" customWidth="1"/>
    <col min="9487" max="9487" width="3.85546875" style="264" customWidth="1"/>
    <col min="9488" max="9488" width="11.28515625" style="264" customWidth="1"/>
    <col min="9489" max="9489" width="1.140625" style="264" customWidth="1"/>
    <col min="9490" max="9490" width="0.28515625" style="264" customWidth="1"/>
    <col min="9491" max="9491" width="13.85546875" style="264" customWidth="1"/>
    <col min="9492" max="9730" width="8.7109375" style="264"/>
    <col min="9731" max="9731" width="15.28515625" style="264" customWidth="1"/>
    <col min="9732" max="9732" width="0.28515625" style="264" customWidth="1"/>
    <col min="9733" max="9733" width="13.140625" style="264" customWidth="1"/>
    <col min="9734" max="9734" width="31.42578125" style="264" customWidth="1"/>
    <col min="9735" max="9735" width="15.28515625" style="264" customWidth="1"/>
    <col min="9736" max="9736" width="3.42578125" style="264" customWidth="1"/>
    <col min="9737" max="9737" width="2.42578125" style="264" customWidth="1"/>
    <col min="9738" max="9738" width="9.42578125" style="264" customWidth="1"/>
    <col min="9739" max="9739" width="5.140625" style="264" customWidth="1"/>
    <col min="9740" max="9740" width="2.42578125" style="264" customWidth="1"/>
    <col min="9741" max="9741" width="7.7109375" style="264" customWidth="1"/>
    <col min="9742" max="9742" width="15.28515625" style="264" customWidth="1"/>
    <col min="9743" max="9743" width="3.85546875" style="264" customWidth="1"/>
    <col min="9744" max="9744" width="11.28515625" style="264" customWidth="1"/>
    <col min="9745" max="9745" width="1.140625" style="264" customWidth="1"/>
    <col min="9746" max="9746" width="0.28515625" style="264" customWidth="1"/>
    <col min="9747" max="9747" width="13.85546875" style="264" customWidth="1"/>
    <col min="9748" max="9986" width="8.7109375" style="264"/>
    <col min="9987" max="9987" width="15.28515625" style="264" customWidth="1"/>
    <col min="9988" max="9988" width="0.28515625" style="264" customWidth="1"/>
    <col min="9989" max="9989" width="13.140625" style="264" customWidth="1"/>
    <col min="9990" max="9990" width="31.42578125" style="264" customWidth="1"/>
    <col min="9991" max="9991" width="15.28515625" style="264" customWidth="1"/>
    <col min="9992" max="9992" width="3.42578125" style="264" customWidth="1"/>
    <col min="9993" max="9993" width="2.42578125" style="264" customWidth="1"/>
    <col min="9994" max="9994" width="9.42578125" style="264" customWidth="1"/>
    <col min="9995" max="9995" width="5.140625" style="264" customWidth="1"/>
    <col min="9996" max="9996" width="2.42578125" style="264" customWidth="1"/>
    <col min="9997" max="9997" width="7.7109375" style="264" customWidth="1"/>
    <col min="9998" max="9998" width="15.28515625" style="264" customWidth="1"/>
    <col min="9999" max="9999" width="3.85546875" style="264" customWidth="1"/>
    <col min="10000" max="10000" width="11.28515625" style="264" customWidth="1"/>
    <col min="10001" max="10001" width="1.140625" style="264" customWidth="1"/>
    <col min="10002" max="10002" width="0.28515625" style="264" customWidth="1"/>
    <col min="10003" max="10003" width="13.85546875" style="264" customWidth="1"/>
    <col min="10004" max="10242" width="8.7109375" style="264"/>
    <col min="10243" max="10243" width="15.28515625" style="264" customWidth="1"/>
    <col min="10244" max="10244" width="0.28515625" style="264" customWidth="1"/>
    <col min="10245" max="10245" width="13.140625" style="264" customWidth="1"/>
    <col min="10246" max="10246" width="31.42578125" style="264" customWidth="1"/>
    <col min="10247" max="10247" width="15.28515625" style="264" customWidth="1"/>
    <col min="10248" max="10248" width="3.42578125" style="264" customWidth="1"/>
    <col min="10249" max="10249" width="2.42578125" style="264" customWidth="1"/>
    <col min="10250" max="10250" width="9.42578125" style="264" customWidth="1"/>
    <col min="10251" max="10251" width="5.140625" style="264" customWidth="1"/>
    <col min="10252" max="10252" width="2.42578125" style="264" customWidth="1"/>
    <col min="10253" max="10253" width="7.7109375" style="264" customWidth="1"/>
    <col min="10254" max="10254" width="15.28515625" style="264" customWidth="1"/>
    <col min="10255" max="10255" width="3.85546875" style="264" customWidth="1"/>
    <col min="10256" max="10256" width="11.28515625" style="264" customWidth="1"/>
    <col min="10257" max="10257" width="1.140625" style="264" customWidth="1"/>
    <col min="10258" max="10258" width="0.28515625" style="264" customWidth="1"/>
    <col min="10259" max="10259" width="13.85546875" style="264" customWidth="1"/>
    <col min="10260" max="10498" width="8.7109375" style="264"/>
    <col min="10499" max="10499" width="15.28515625" style="264" customWidth="1"/>
    <col min="10500" max="10500" width="0.28515625" style="264" customWidth="1"/>
    <col min="10501" max="10501" width="13.140625" style="264" customWidth="1"/>
    <col min="10502" max="10502" width="31.42578125" style="264" customWidth="1"/>
    <col min="10503" max="10503" width="15.28515625" style="264" customWidth="1"/>
    <col min="10504" max="10504" width="3.42578125" style="264" customWidth="1"/>
    <col min="10505" max="10505" width="2.42578125" style="264" customWidth="1"/>
    <col min="10506" max="10506" width="9.42578125" style="264" customWidth="1"/>
    <col min="10507" max="10507" width="5.140625" style="264" customWidth="1"/>
    <col min="10508" max="10508" width="2.42578125" style="264" customWidth="1"/>
    <col min="10509" max="10509" width="7.7109375" style="264" customWidth="1"/>
    <col min="10510" max="10510" width="15.28515625" style="264" customWidth="1"/>
    <col min="10511" max="10511" width="3.85546875" style="264" customWidth="1"/>
    <col min="10512" max="10512" width="11.28515625" style="264" customWidth="1"/>
    <col min="10513" max="10513" width="1.140625" style="264" customWidth="1"/>
    <col min="10514" max="10514" width="0.28515625" style="264" customWidth="1"/>
    <col min="10515" max="10515" width="13.85546875" style="264" customWidth="1"/>
    <col min="10516" max="10754" width="8.7109375" style="264"/>
    <col min="10755" max="10755" width="15.28515625" style="264" customWidth="1"/>
    <col min="10756" max="10756" width="0.28515625" style="264" customWidth="1"/>
    <col min="10757" max="10757" width="13.140625" style="264" customWidth="1"/>
    <col min="10758" max="10758" width="31.42578125" style="264" customWidth="1"/>
    <col min="10759" max="10759" width="15.28515625" style="264" customWidth="1"/>
    <col min="10760" max="10760" width="3.42578125" style="264" customWidth="1"/>
    <col min="10761" max="10761" width="2.42578125" style="264" customWidth="1"/>
    <col min="10762" max="10762" width="9.42578125" style="264" customWidth="1"/>
    <col min="10763" max="10763" width="5.140625" style="264" customWidth="1"/>
    <col min="10764" max="10764" width="2.42578125" style="264" customWidth="1"/>
    <col min="10765" max="10765" width="7.7109375" style="264" customWidth="1"/>
    <col min="10766" max="10766" width="15.28515625" style="264" customWidth="1"/>
    <col min="10767" max="10767" width="3.85546875" style="264" customWidth="1"/>
    <col min="10768" max="10768" width="11.28515625" style="264" customWidth="1"/>
    <col min="10769" max="10769" width="1.140625" style="264" customWidth="1"/>
    <col min="10770" max="10770" width="0.28515625" style="264" customWidth="1"/>
    <col min="10771" max="10771" width="13.85546875" style="264" customWidth="1"/>
    <col min="10772" max="11010" width="8.7109375" style="264"/>
    <col min="11011" max="11011" width="15.28515625" style="264" customWidth="1"/>
    <col min="11012" max="11012" width="0.28515625" style="264" customWidth="1"/>
    <col min="11013" max="11013" width="13.140625" style="264" customWidth="1"/>
    <col min="11014" max="11014" width="31.42578125" style="264" customWidth="1"/>
    <col min="11015" max="11015" width="15.28515625" style="264" customWidth="1"/>
    <col min="11016" max="11016" width="3.42578125" style="264" customWidth="1"/>
    <col min="11017" max="11017" width="2.42578125" style="264" customWidth="1"/>
    <col min="11018" max="11018" width="9.42578125" style="264" customWidth="1"/>
    <col min="11019" max="11019" width="5.140625" style="264" customWidth="1"/>
    <col min="11020" max="11020" width="2.42578125" style="264" customWidth="1"/>
    <col min="11021" max="11021" width="7.7109375" style="264" customWidth="1"/>
    <col min="11022" max="11022" width="15.28515625" style="264" customWidth="1"/>
    <col min="11023" max="11023" width="3.85546875" style="264" customWidth="1"/>
    <col min="11024" max="11024" width="11.28515625" style="264" customWidth="1"/>
    <col min="11025" max="11025" width="1.140625" style="264" customWidth="1"/>
    <col min="11026" max="11026" width="0.28515625" style="264" customWidth="1"/>
    <col min="11027" max="11027" width="13.85546875" style="264" customWidth="1"/>
    <col min="11028" max="11266" width="8.7109375" style="264"/>
    <col min="11267" max="11267" width="15.28515625" style="264" customWidth="1"/>
    <col min="11268" max="11268" width="0.28515625" style="264" customWidth="1"/>
    <col min="11269" max="11269" width="13.140625" style="264" customWidth="1"/>
    <col min="11270" max="11270" width="31.42578125" style="264" customWidth="1"/>
    <col min="11271" max="11271" width="15.28515625" style="264" customWidth="1"/>
    <col min="11272" max="11272" width="3.42578125" style="264" customWidth="1"/>
    <col min="11273" max="11273" width="2.42578125" style="264" customWidth="1"/>
    <col min="11274" max="11274" width="9.42578125" style="264" customWidth="1"/>
    <col min="11275" max="11275" width="5.140625" style="264" customWidth="1"/>
    <col min="11276" max="11276" width="2.42578125" style="264" customWidth="1"/>
    <col min="11277" max="11277" width="7.7109375" style="264" customWidth="1"/>
    <col min="11278" max="11278" width="15.28515625" style="264" customWidth="1"/>
    <col min="11279" max="11279" width="3.85546875" style="264" customWidth="1"/>
    <col min="11280" max="11280" width="11.28515625" style="264" customWidth="1"/>
    <col min="11281" max="11281" width="1.140625" style="264" customWidth="1"/>
    <col min="11282" max="11282" width="0.28515625" style="264" customWidth="1"/>
    <col min="11283" max="11283" width="13.85546875" style="264" customWidth="1"/>
    <col min="11284" max="11522" width="8.7109375" style="264"/>
    <col min="11523" max="11523" width="15.28515625" style="264" customWidth="1"/>
    <col min="11524" max="11524" width="0.28515625" style="264" customWidth="1"/>
    <col min="11525" max="11525" width="13.140625" style="264" customWidth="1"/>
    <col min="11526" max="11526" width="31.42578125" style="264" customWidth="1"/>
    <col min="11527" max="11527" width="15.28515625" style="264" customWidth="1"/>
    <col min="11528" max="11528" width="3.42578125" style="264" customWidth="1"/>
    <col min="11529" max="11529" width="2.42578125" style="264" customWidth="1"/>
    <col min="11530" max="11530" width="9.42578125" style="264" customWidth="1"/>
    <col min="11531" max="11531" width="5.140625" style="264" customWidth="1"/>
    <col min="11532" max="11532" width="2.42578125" style="264" customWidth="1"/>
    <col min="11533" max="11533" width="7.7109375" style="264" customWidth="1"/>
    <col min="11534" max="11534" width="15.28515625" style="264" customWidth="1"/>
    <col min="11535" max="11535" width="3.85546875" style="264" customWidth="1"/>
    <col min="11536" max="11536" width="11.28515625" style="264" customWidth="1"/>
    <col min="11537" max="11537" width="1.140625" style="264" customWidth="1"/>
    <col min="11538" max="11538" width="0.28515625" style="264" customWidth="1"/>
    <col min="11539" max="11539" width="13.85546875" style="264" customWidth="1"/>
    <col min="11540" max="11778" width="8.7109375" style="264"/>
    <col min="11779" max="11779" width="15.28515625" style="264" customWidth="1"/>
    <col min="11780" max="11780" width="0.28515625" style="264" customWidth="1"/>
    <col min="11781" max="11781" width="13.140625" style="264" customWidth="1"/>
    <col min="11782" max="11782" width="31.42578125" style="264" customWidth="1"/>
    <col min="11783" max="11783" width="15.28515625" style="264" customWidth="1"/>
    <col min="11784" max="11784" width="3.42578125" style="264" customWidth="1"/>
    <col min="11785" max="11785" width="2.42578125" style="264" customWidth="1"/>
    <col min="11786" max="11786" width="9.42578125" style="264" customWidth="1"/>
    <col min="11787" max="11787" width="5.140625" style="264" customWidth="1"/>
    <col min="11788" max="11788" width="2.42578125" style="264" customWidth="1"/>
    <col min="11789" max="11789" width="7.7109375" style="264" customWidth="1"/>
    <col min="11790" max="11790" width="15.28515625" style="264" customWidth="1"/>
    <col min="11791" max="11791" width="3.85546875" style="264" customWidth="1"/>
    <col min="11792" max="11792" width="11.28515625" style="264" customWidth="1"/>
    <col min="11793" max="11793" width="1.140625" style="264" customWidth="1"/>
    <col min="11794" max="11794" width="0.28515625" style="264" customWidth="1"/>
    <col min="11795" max="11795" width="13.85546875" style="264" customWidth="1"/>
    <col min="11796" max="12034" width="8.7109375" style="264"/>
    <col min="12035" max="12035" width="15.28515625" style="264" customWidth="1"/>
    <col min="12036" max="12036" width="0.28515625" style="264" customWidth="1"/>
    <col min="12037" max="12037" width="13.140625" style="264" customWidth="1"/>
    <col min="12038" max="12038" width="31.42578125" style="264" customWidth="1"/>
    <col min="12039" max="12039" width="15.28515625" style="264" customWidth="1"/>
    <col min="12040" max="12040" width="3.42578125" style="264" customWidth="1"/>
    <col min="12041" max="12041" width="2.42578125" style="264" customWidth="1"/>
    <col min="12042" max="12042" width="9.42578125" style="264" customWidth="1"/>
    <col min="12043" max="12043" width="5.140625" style="264" customWidth="1"/>
    <col min="12044" max="12044" width="2.42578125" style="264" customWidth="1"/>
    <col min="12045" max="12045" width="7.7109375" style="264" customWidth="1"/>
    <col min="12046" max="12046" width="15.28515625" style="264" customWidth="1"/>
    <col min="12047" max="12047" width="3.85546875" style="264" customWidth="1"/>
    <col min="12048" max="12048" width="11.28515625" style="264" customWidth="1"/>
    <col min="12049" max="12049" width="1.140625" style="264" customWidth="1"/>
    <col min="12050" max="12050" width="0.28515625" style="264" customWidth="1"/>
    <col min="12051" max="12051" width="13.85546875" style="264" customWidth="1"/>
    <col min="12052" max="12290" width="8.7109375" style="264"/>
    <col min="12291" max="12291" width="15.28515625" style="264" customWidth="1"/>
    <col min="12292" max="12292" width="0.28515625" style="264" customWidth="1"/>
    <col min="12293" max="12293" width="13.140625" style="264" customWidth="1"/>
    <col min="12294" max="12294" width="31.42578125" style="264" customWidth="1"/>
    <col min="12295" max="12295" width="15.28515625" style="264" customWidth="1"/>
    <col min="12296" max="12296" width="3.42578125" style="264" customWidth="1"/>
    <col min="12297" max="12297" width="2.42578125" style="264" customWidth="1"/>
    <col min="12298" max="12298" width="9.42578125" style="264" customWidth="1"/>
    <col min="12299" max="12299" width="5.140625" style="264" customWidth="1"/>
    <col min="12300" max="12300" width="2.42578125" style="264" customWidth="1"/>
    <col min="12301" max="12301" width="7.7109375" style="264" customWidth="1"/>
    <col min="12302" max="12302" width="15.28515625" style="264" customWidth="1"/>
    <col min="12303" max="12303" width="3.85546875" style="264" customWidth="1"/>
    <col min="12304" max="12304" width="11.28515625" style="264" customWidth="1"/>
    <col min="12305" max="12305" width="1.140625" style="264" customWidth="1"/>
    <col min="12306" max="12306" width="0.28515625" style="264" customWidth="1"/>
    <col min="12307" max="12307" width="13.85546875" style="264" customWidth="1"/>
    <col min="12308" max="12546" width="8.7109375" style="264"/>
    <col min="12547" max="12547" width="15.28515625" style="264" customWidth="1"/>
    <col min="12548" max="12548" width="0.28515625" style="264" customWidth="1"/>
    <col min="12549" max="12549" width="13.140625" style="264" customWidth="1"/>
    <col min="12550" max="12550" width="31.42578125" style="264" customWidth="1"/>
    <col min="12551" max="12551" width="15.28515625" style="264" customWidth="1"/>
    <col min="12552" max="12552" width="3.42578125" style="264" customWidth="1"/>
    <col min="12553" max="12553" width="2.42578125" style="264" customWidth="1"/>
    <col min="12554" max="12554" width="9.42578125" style="264" customWidth="1"/>
    <col min="12555" max="12555" width="5.140625" style="264" customWidth="1"/>
    <col min="12556" max="12556" width="2.42578125" style="264" customWidth="1"/>
    <col min="12557" max="12557" width="7.7109375" style="264" customWidth="1"/>
    <col min="12558" max="12558" width="15.28515625" style="264" customWidth="1"/>
    <col min="12559" max="12559" width="3.85546875" style="264" customWidth="1"/>
    <col min="12560" max="12560" width="11.28515625" style="264" customWidth="1"/>
    <col min="12561" max="12561" width="1.140625" style="264" customWidth="1"/>
    <col min="12562" max="12562" width="0.28515625" style="264" customWidth="1"/>
    <col min="12563" max="12563" width="13.85546875" style="264" customWidth="1"/>
    <col min="12564" max="12802" width="8.7109375" style="264"/>
    <col min="12803" max="12803" width="15.28515625" style="264" customWidth="1"/>
    <col min="12804" max="12804" width="0.28515625" style="264" customWidth="1"/>
    <col min="12805" max="12805" width="13.140625" style="264" customWidth="1"/>
    <col min="12806" max="12806" width="31.42578125" style="264" customWidth="1"/>
    <col min="12807" max="12807" width="15.28515625" style="264" customWidth="1"/>
    <col min="12808" max="12808" width="3.42578125" style="264" customWidth="1"/>
    <col min="12809" max="12809" width="2.42578125" style="264" customWidth="1"/>
    <col min="12810" max="12810" width="9.42578125" style="264" customWidth="1"/>
    <col min="12811" max="12811" width="5.140625" style="264" customWidth="1"/>
    <col min="12812" max="12812" width="2.42578125" style="264" customWidth="1"/>
    <col min="12813" max="12813" width="7.7109375" style="264" customWidth="1"/>
    <col min="12814" max="12814" width="15.28515625" style="264" customWidth="1"/>
    <col min="12815" max="12815" width="3.85546875" style="264" customWidth="1"/>
    <col min="12816" max="12816" width="11.28515625" style="264" customWidth="1"/>
    <col min="12817" max="12817" width="1.140625" style="264" customWidth="1"/>
    <col min="12818" max="12818" width="0.28515625" style="264" customWidth="1"/>
    <col min="12819" max="12819" width="13.85546875" style="264" customWidth="1"/>
    <col min="12820" max="13058" width="8.7109375" style="264"/>
    <col min="13059" max="13059" width="15.28515625" style="264" customWidth="1"/>
    <col min="13060" max="13060" width="0.28515625" style="264" customWidth="1"/>
    <col min="13061" max="13061" width="13.140625" style="264" customWidth="1"/>
    <col min="13062" max="13062" width="31.42578125" style="264" customWidth="1"/>
    <col min="13063" max="13063" width="15.28515625" style="264" customWidth="1"/>
    <col min="13064" max="13064" width="3.42578125" style="264" customWidth="1"/>
    <col min="13065" max="13065" width="2.42578125" style="264" customWidth="1"/>
    <col min="13066" max="13066" width="9.42578125" style="264" customWidth="1"/>
    <col min="13067" max="13067" width="5.140625" style="264" customWidth="1"/>
    <col min="13068" max="13068" width="2.42578125" style="264" customWidth="1"/>
    <col min="13069" max="13069" width="7.7109375" style="264" customWidth="1"/>
    <col min="13070" max="13070" width="15.28515625" style="264" customWidth="1"/>
    <col min="13071" max="13071" width="3.85546875" style="264" customWidth="1"/>
    <col min="13072" max="13072" width="11.28515625" style="264" customWidth="1"/>
    <col min="13073" max="13073" width="1.140625" style="264" customWidth="1"/>
    <col min="13074" max="13074" width="0.28515625" style="264" customWidth="1"/>
    <col min="13075" max="13075" width="13.85546875" style="264" customWidth="1"/>
    <col min="13076" max="13314" width="8.7109375" style="264"/>
    <col min="13315" max="13315" width="15.28515625" style="264" customWidth="1"/>
    <col min="13316" max="13316" width="0.28515625" style="264" customWidth="1"/>
    <col min="13317" max="13317" width="13.140625" style="264" customWidth="1"/>
    <col min="13318" max="13318" width="31.42578125" style="264" customWidth="1"/>
    <col min="13319" max="13319" width="15.28515625" style="264" customWidth="1"/>
    <col min="13320" max="13320" width="3.42578125" style="264" customWidth="1"/>
    <col min="13321" max="13321" width="2.42578125" style="264" customWidth="1"/>
    <col min="13322" max="13322" width="9.42578125" style="264" customWidth="1"/>
    <col min="13323" max="13323" width="5.140625" style="264" customWidth="1"/>
    <col min="13324" max="13324" width="2.42578125" style="264" customWidth="1"/>
    <col min="13325" max="13325" width="7.7109375" style="264" customWidth="1"/>
    <col min="13326" max="13326" width="15.28515625" style="264" customWidth="1"/>
    <col min="13327" max="13327" width="3.85546875" style="264" customWidth="1"/>
    <col min="13328" max="13328" width="11.28515625" style="264" customWidth="1"/>
    <col min="13329" max="13329" width="1.140625" style="264" customWidth="1"/>
    <col min="13330" max="13330" width="0.28515625" style="264" customWidth="1"/>
    <col min="13331" max="13331" width="13.85546875" style="264" customWidth="1"/>
    <col min="13332" max="13570" width="8.7109375" style="264"/>
    <col min="13571" max="13571" width="15.28515625" style="264" customWidth="1"/>
    <col min="13572" max="13572" width="0.28515625" style="264" customWidth="1"/>
    <col min="13573" max="13573" width="13.140625" style="264" customWidth="1"/>
    <col min="13574" max="13574" width="31.42578125" style="264" customWidth="1"/>
    <col min="13575" max="13575" width="15.28515625" style="264" customWidth="1"/>
    <col min="13576" max="13576" width="3.42578125" style="264" customWidth="1"/>
    <col min="13577" max="13577" width="2.42578125" style="264" customWidth="1"/>
    <col min="13578" max="13578" width="9.42578125" style="264" customWidth="1"/>
    <col min="13579" max="13579" width="5.140625" style="264" customWidth="1"/>
    <col min="13580" max="13580" width="2.42578125" style="264" customWidth="1"/>
    <col min="13581" max="13581" width="7.7109375" style="264" customWidth="1"/>
    <col min="13582" max="13582" width="15.28515625" style="264" customWidth="1"/>
    <col min="13583" max="13583" width="3.85546875" style="264" customWidth="1"/>
    <col min="13584" max="13584" width="11.28515625" style="264" customWidth="1"/>
    <col min="13585" max="13585" width="1.140625" style="264" customWidth="1"/>
    <col min="13586" max="13586" width="0.28515625" style="264" customWidth="1"/>
    <col min="13587" max="13587" width="13.85546875" style="264" customWidth="1"/>
    <col min="13588" max="13826" width="8.7109375" style="264"/>
    <col min="13827" max="13827" width="15.28515625" style="264" customWidth="1"/>
    <col min="13828" max="13828" width="0.28515625" style="264" customWidth="1"/>
    <col min="13829" max="13829" width="13.140625" style="264" customWidth="1"/>
    <col min="13830" max="13830" width="31.42578125" style="264" customWidth="1"/>
    <col min="13831" max="13831" width="15.28515625" style="264" customWidth="1"/>
    <col min="13832" max="13832" width="3.42578125" style="264" customWidth="1"/>
    <col min="13833" max="13833" width="2.42578125" style="264" customWidth="1"/>
    <col min="13834" max="13834" width="9.42578125" style="264" customWidth="1"/>
    <col min="13835" max="13835" width="5.140625" style="264" customWidth="1"/>
    <col min="13836" max="13836" width="2.42578125" style="264" customWidth="1"/>
    <col min="13837" max="13837" width="7.7109375" style="264" customWidth="1"/>
    <col min="13838" max="13838" width="15.28515625" style="264" customWidth="1"/>
    <col min="13839" max="13839" width="3.85546875" style="264" customWidth="1"/>
    <col min="13840" max="13840" width="11.28515625" style="264" customWidth="1"/>
    <col min="13841" max="13841" width="1.140625" style="264" customWidth="1"/>
    <col min="13842" max="13842" width="0.28515625" style="264" customWidth="1"/>
    <col min="13843" max="13843" width="13.85546875" style="264" customWidth="1"/>
    <col min="13844" max="14082" width="8.7109375" style="264"/>
    <col min="14083" max="14083" width="15.28515625" style="264" customWidth="1"/>
    <col min="14084" max="14084" width="0.28515625" style="264" customWidth="1"/>
    <col min="14085" max="14085" width="13.140625" style="264" customWidth="1"/>
    <col min="14086" max="14086" width="31.42578125" style="264" customWidth="1"/>
    <col min="14087" max="14087" width="15.28515625" style="264" customWidth="1"/>
    <col min="14088" max="14088" width="3.42578125" style="264" customWidth="1"/>
    <col min="14089" max="14089" width="2.42578125" style="264" customWidth="1"/>
    <col min="14090" max="14090" width="9.42578125" style="264" customWidth="1"/>
    <col min="14091" max="14091" width="5.140625" style="264" customWidth="1"/>
    <col min="14092" max="14092" width="2.42578125" style="264" customWidth="1"/>
    <col min="14093" max="14093" width="7.7109375" style="264" customWidth="1"/>
    <col min="14094" max="14094" width="15.28515625" style="264" customWidth="1"/>
    <col min="14095" max="14095" width="3.85546875" style="264" customWidth="1"/>
    <col min="14096" max="14096" width="11.28515625" style="264" customWidth="1"/>
    <col min="14097" max="14097" width="1.140625" style="264" customWidth="1"/>
    <col min="14098" max="14098" width="0.28515625" style="264" customWidth="1"/>
    <col min="14099" max="14099" width="13.85546875" style="264" customWidth="1"/>
    <col min="14100" max="14338" width="8.7109375" style="264"/>
    <col min="14339" max="14339" width="15.28515625" style="264" customWidth="1"/>
    <col min="14340" max="14340" width="0.28515625" style="264" customWidth="1"/>
    <col min="14341" max="14341" width="13.140625" style="264" customWidth="1"/>
    <col min="14342" max="14342" width="31.42578125" style="264" customWidth="1"/>
    <col min="14343" max="14343" width="15.28515625" style="264" customWidth="1"/>
    <col min="14344" max="14344" width="3.42578125" style="264" customWidth="1"/>
    <col min="14345" max="14345" width="2.42578125" style="264" customWidth="1"/>
    <col min="14346" max="14346" width="9.42578125" style="264" customWidth="1"/>
    <col min="14347" max="14347" width="5.140625" style="264" customWidth="1"/>
    <col min="14348" max="14348" width="2.42578125" style="264" customWidth="1"/>
    <col min="14349" max="14349" width="7.7109375" style="264" customWidth="1"/>
    <col min="14350" max="14350" width="15.28515625" style="264" customWidth="1"/>
    <col min="14351" max="14351" width="3.85546875" style="264" customWidth="1"/>
    <col min="14352" max="14352" width="11.28515625" style="264" customWidth="1"/>
    <col min="14353" max="14353" width="1.140625" style="264" customWidth="1"/>
    <col min="14354" max="14354" width="0.28515625" style="264" customWidth="1"/>
    <col min="14355" max="14355" width="13.85546875" style="264" customWidth="1"/>
    <col min="14356" max="14594" width="8.7109375" style="264"/>
    <col min="14595" max="14595" width="15.28515625" style="264" customWidth="1"/>
    <col min="14596" max="14596" width="0.28515625" style="264" customWidth="1"/>
    <col min="14597" max="14597" width="13.140625" style="264" customWidth="1"/>
    <col min="14598" max="14598" width="31.42578125" style="264" customWidth="1"/>
    <col min="14599" max="14599" width="15.28515625" style="264" customWidth="1"/>
    <col min="14600" max="14600" width="3.42578125" style="264" customWidth="1"/>
    <col min="14601" max="14601" width="2.42578125" style="264" customWidth="1"/>
    <col min="14602" max="14602" width="9.42578125" style="264" customWidth="1"/>
    <col min="14603" max="14603" width="5.140625" style="264" customWidth="1"/>
    <col min="14604" max="14604" width="2.42578125" style="264" customWidth="1"/>
    <col min="14605" max="14605" width="7.7109375" style="264" customWidth="1"/>
    <col min="14606" max="14606" width="15.28515625" style="264" customWidth="1"/>
    <col min="14607" max="14607" width="3.85546875" style="264" customWidth="1"/>
    <col min="14608" max="14608" width="11.28515625" style="264" customWidth="1"/>
    <col min="14609" max="14609" width="1.140625" style="264" customWidth="1"/>
    <col min="14610" max="14610" width="0.28515625" style="264" customWidth="1"/>
    <col min="14611" max="14611" width="13.85546875" style="264" customWidth="1"/>
    <col min="14612" max="14850" width="8.7109375" style="264"/>
    <col min="14851" max="14851" width="15.28515625" style="264" customWidth="1"/>
    <col min="14852" max="14852" width="0.28515625" style="264" customWidth="1"/>
    <col min="14853" max="14853" width="13.140625" style="264" customWidth="1"/>
    <col min="14854" max="14854" width="31.42578125" style="264" customWidth="1"/>
    <col min="14855" max="14855" width="15.28515625" style="264" customWidth="1"/>
    <col min="14856" max="14856" width="3.42578125" style="264" customWidth="1"/>
    <col min="14857" max="14857" width="2.42578125" style="264" customWidth="1"/>
    <col min="14858" max="14858" width="9.42578125" style="264" customWidth="1"/>
    <col min="14859" max="14859" width="5.140625" style="264" customWidth="1"/>
    <col min="14860" max="14860" width="2.42578125" style="264" customWidth="1"/>
    <col min="14861" max="14861" width="7.7109375" style="264" customWidth="1"/>
    <col min="14862" max="14862" width="15.28515625" style="264" customWidth="1"/>
    <col min="14863" max="14863" width="3.85546875" style="264" customWidth="1"/>
    <col min="14864" max="14864" width="11.28515625" style="264" customWidth="1"/>
    <col min="14865" max="14865" width="1.140625" style="264" customWidth="1"/>
    <col min="14866" max="14866" width="0.28515625" style="264" customWidth="1"/>
    <col min="14867" max="14867" width="13.85546875" style="264" customWidth="1"/>
    <col min="14868" max="15106" width="8.7109375" style="264"/>
    <col min="15107" max="15107" width="15.28515625" style="264" customWidth="1"/>
    <col min="15108" max="15108" width="0.28515625" style="264" customWidth="1"/>
    <col min="15109" max="15109" width="13.140625" style="264" customWidth="1"/>
    <col min="15110" max="15110" width="31.42578125" style="264" customWidth="1"/>
    <col min="15111" max="15111" width="15.28515625" style="264" customWidth="1"/>
    <col min="15112" max="15112" width="3.42578125" style="264" customWidth="1"/>
    <col min="15113" max="15113" width="2.42578125" style="264" customWidth="1"/>
    <col min="15114" max="15114" width="9.42578125" style="264" customWidth="1"/>
    <col min="15115" max="15115" width="5.140625" style="264" customWidth="1"/>
    <col min="15116" max="15116" width="2.42578125" style="264" customWidth="1"/>
    <col min="15117" max="15117" width="7.7109375" style="264" customWidth="1"/>
    <col min="15118" max="15118" width="15.28515625" style="264" customWidth="1"/>
    <col min="15119" max="15119" width="3.85546875" style="264" customWidth="1"/>
    <col min="15120" max="15120" width="11.28515625" style="264" customWidth="1"/>
    <col min="15121" max="15121" width="1.140625" style="264" customWidth="1"/>
    <col min="15122" max="15122" width="0.28515625" style="264" customWidth="1"/>
    <col min="15123" max="15123" width="13.85546875" style="264" customWidth="1"/>
    <col min="15124" max="15362" width="8.7109375" style="264"/>
    <col min="15363" max="15363" width="15.28515625" style="264" customWidth="1"/>
    <col min="15364" max="15364" width="0.28515625" style="264" customWidth="1"/>
    <col min="15365" max="15365" width="13.140625" style="264" customWidth="1"/>
    <col min="15366" max="15366" width="31.42578125" style="264" customWidth="1"/>
    <col min="15367" max="15367" width="15.28515625" style="264" customWidth="1"/>
    <col min="15368" max="15368" width="3.42578125" style="264" customWidth="1"/>
    <col min="15369" max="15369" width="2.42578125" style="264" customWidth="1"/>
    <col min="15370" max="15370" width="9.42578125" style="264" customWidth="1"/>
    <col min="15371" max="15371" width="5.140625" style="264" customWidth="1"/>
    <col min="15372" max="15372" width="2.42578125" style="264" customWidth="1"/>
    <col min="15373" max="15373" width="7.7109375" style="264" customWidth="1"/>
    <col min="15374" max="15374" width="15.28515625" style="264" customWidth="1"/>
    <col min="15375" max="15375" width="3.85546875" style="264" customWidth="1"/>
    <col min="15376" max="15376" width="11.28515625" style="264" customWidth="1"/>
    <col min="15377" max="15377" width="1.140625" style="264" customWidth="1"/>
    <col min="15378" max="15378" width="0.28515625" style="264" customWidth="1"/>
    <col min="15379" max="15379" width="13.85546875" style="264" customWidth="1"/>
    <col min="15380" max="15618" width="8.7109375" style="264"/>
    <col min="15619" max="15619" width="15.28515625" style="264" customWidth="1"/>
    <col min="15620" max="15620" width="0.28515625" style="264" customWidth="1"/>
    <col min="15621" max="15621" width="13.140625" style="264" customWidth="1"/>
    <col min="15622" max="15622" width="31.42578125" style="264" customWidth="1"/>
    <col min="15623" max="15623" width="15.28515625" style="264" customWidth="1"/>
    <col min="15624" max="15624" width="3.42578125" style="264" customWidth="1"/>
    <col min="15625" max="15625" width="2.42578125" style="264" customWidth="1"/>
    <col min="15626" max="15626" width="9.42578125" style="264" customWidth="1"/>
    <col min="15627" max="15627" width="5.140625" style="264" customWidth="1"/>
    <col min="15628" max="15628" width="2.42578125" style="264" customWidth="1"/>
    <col min="15629" max="15629" width="7.7109375" style="264" customWidth="1"/>
    <col min="15630" max="15630" width="15.28515625" style="264" customWidth="1"/>
    <col min="15631" max="15631" width="3.85546875" style="264" customWidth="1"/>
    <col min="15632" max="15632" width="11.28515625" style="264" customWidth="1"/>
    <col min="15633" max="15633" width="1.140625" style="264" customWidth="1"/>
    <col min="15634" max="15634" width="0.28515625" style="264" customWidth="1"/>
    <col min="15635" max="15635" width="13.85546875" style="264" customWidth="1"/>
    <col min="15636" max="15874" width="8.7109375" style="264"/>
    <col min="15875" max="15875" width="15.28515625" style="264" customWidth="1"/>
    <col min="15876" max="15876" width="0.28515625" style="264" customWidth="1"/>
    <col min="15877" max="15877" width="13.140625" style="264" customWidth="1"/>
    <col min="15878" max="15878" width="31.42578125" style="264" customWidth="1"/>
    <col min="15879" max="15879" width="15.28515625" style="264" customWidth="1"/>
    <col min="15880" max="15880" width="3.42578125" style="264" customWidth="1"/>
    <col min="15881" max="15881" width="2.42578125" style="264" customWidth="1"/>
    <col min="15882" max="15882" width="9.42578125" style="264" customWidth="1"/>
    <col min="15883" max="15883" width="5.140625" style="264" customWidth="1"/>
    <col min="15884" max="15884" width="2.42578125" style="264" customWidth="1"/>
    <col min="15885" max="15885" width="7.7109375" style="264" customWidth="1"/>
    <col min="15886" max="15886" width="15.28515625" style="264" customWidth="1"/>
    <col min="15887" max="15887" width="3.85546875" style="264" customWidth="1"/>
    <col min="15888" max="15888" width="11.28515625" style="264" customWidth="1"/>
    <col min="15889" max="15889" width="1.140625" style="264" customWidth="1"/>
    <col min="15890" max="15890" width="0.28515625" style="264" customWidth="1"/>
    <col min="15891" max="15891" width="13.85546875" style="264" customWidth="1"/>
    <col min="15892" max="16130" width="8.7109375" style="264"/>
    <col min="16131" max="16131" width="15.28515625" style="264" customWidth="1"/>
    <col min="16132" max="16132" width="0.28515625" style="264" customWidth="1"/>
    <col min="16133" max="16133" width="13.140625" style="264" customWidth="1"/>
    <col min="16134" max="16134" width="31.42578125" style="264" customWidth="1"/>
    <col min="16135" max="16135" width="15.28515625" style="264" customWidth="1"/>
    <col min="16136" max="16136" width="3.42578125" style="264" customWidth="1"/>
    <col min="16137" max="16137" width="2.42578125" style="264" customWidth="1"/>
    <col min="16138" max="16138" width="9.42578125" style="264" customWidth="1"/>
    <col min="16139" max="16139" width="5.140625" style="264" customWidth="1"/>
    <col min="16140" max="16140" width="2.42578125" style="264" customWidth="1"/>
    <col min="16141" max="16141" width="7.7109375" style="264" customWidth="1"/>
    <col min="16142" max="16142" width="15.28515625" style="264" customWidth="1"/>
    <col min="16143" max="16143" width="3.85546875" style="264" customWidth="1"/>
    <col min="16144" max="16144" width="11.28515625" style="264" customWidth="1"/>
    <col min="16145" max="16145" width="1.140625" style="264" customWidth="1"/>
    <col min="16146" max="16146" width="0.28515625" style="264" customWidth="1"/>
    <col min="16147" max="16147" width="13.85546875" style="264" customWidth="1"/>
    <col min="16148" max="16384" width="8.7109375" style="264"/>
  </cols>
  <sheetData>
    <row r="1" spans="1:19" ht="12.75" customHeight="1">
      <c r="A1" s="313" t="s">
        <v>129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</row>
    <row r="2" spans="1:19" ht="15.75" customHeight="1">
      <c r="A2" s="314" t="s">
        <v>184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</row>
    <row r="3" spans="1:19" ht="2.1" customHeight="1"/>
    <row r="4" spans="1:19" ht="11.25" customHeight="1">
      <c r="A4" s="265" t="s">
        <v>185</v>
      </c>
      <c r="B4" s="315" t="s">
        <v>186</v>
      </c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</row>
    <row r="5" spans="1:19" ht="2.1" customHeight="1"/>
    <row r="6" spans="1:19" ht="11.25" customHeight="1">
      <c r="A6" s="265" t="s">
        <v>203</v>
      </c>
      <c r="B6" s="315" t="s">
        <v>204</v>
      </c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</row>
    <row r="7" spans="1:19" ht="2.1" customHeight="1"/>
    <row r="8" spans="1:19" ht="12.75" customHeight="1">
      <c r="A8" s="307" t="s">
        <v>187</v>
      </c>
      <c r="B8" s="307"/>
      <c r="C8" s="307"/>
      <c r="D8" s="266"/>
      <c r="E8" s="266"/>
      <c r="F8" s="266"/>
      <c r="G8" s="316" t="s">
        <v>188</v>
      </c>
      <c r="H8" s="316"/>
      <c r="I8" s="316"/>
      <c r="J8" s="316"/>
      <c r="K8" s="316" t="s">
        <v>189</v>
      </c>
      <c r="L8" s="316"/>
      <c r="M8" s="316"/>
      <c r="N8" s="316"/>
      <c r="O8" s="316" t="s">
        <v>190</v>
      </c>
      <c r="P8" s="316"/>
      <c r="Q8" s="316"/>
      <c r="R8" s="316"/>
      <c r="S8" s="316"/>
    </row>
    <row r="9" spans="1:19" ht="12.75" customHeight="1">
      <c r="A9" s="307" t="s">
        <v>191</v>
      </c>
      <c r="B9" s="307"/>
      <c r="C9" s="307"/>
      <c r="D9" s="310" t="s">
        <v>205</v>
      </c>
      <c r="E9" s="267"/>
      <c r="F9" s="267"/>
      <c r="G9" s="303" t="s">
        <v>192</v>
      </c>
      <c r="H9" s="303" t="s">
        <v>193</v>
      </c>
      <c r="I9" s="303"/>
      <c r="J9" s="303"/>
      <c r="K9" s="303" t="s">
        <v>192</v>
      </c>
      <c r="L9" s="303"/>
      <c r="M9" s="303"/>
      <c r="N9" s="303" t="s">
        <v>193</v>
      </c>
      <c r="O9" s="303" t="s">
        <v>192</v>
      </c>
      <c r="P9" s="303"/>
      <c r="Q9" s="303" t="s">
        <v>193</v>
      </c>
      <c r="R9" s="303"/>
      <c r="S9" s="303"/>
    </row>
    <row r="10" spans="1:19" ht="12.75" customHeight="1">
      <c r="A10" s="307" t="s">
        <v>194</v>
      </c>
      <c r="B10" s="307"/>
      <c r="C10" s="307"/>
      <c r="D10" s="311"/>
      <c r="E10" s="268"/>
      <c r="F10" s="268"/>
      <c r="G10" s="312"/>
      <c r="H10" s="304"/>
      <c r="I10" s="306"/>
      <c r="J10" s="305"/>
      <c r="K10" s="304"/>
      <c r="L10" s="306"/>
      <c r="M10" s="305"/>
      <c r="N10" s="312"/>
      <c r="O10" s="304"/>
      <c r="P10" s="305"/>
      <c r="Q10" s="304"/>
      <c r="R10" s="306"/>
      <c r="S10" s="305"/>
    </row>
    <row r="11" spans="1:19" ht="12.75" customHeight="1">
      <c r="A11" s="308">
        <v>60</v>
      </c>
      <c r="B11" s="308"/>
      <c r="C11" s="308"/>
      <c r="D11" s="269"/>
      <c r="E11" s="269"/>
      <c r="F11" s="269"/>
      <c r="G11" s="270"/>
      <c r="H11" s="309">
        <v>558541.46</v>
      </c>
      <c r="I11" s="309"/>
      <c r="J11" s="309"/>
      <c r="K11" s="309">
        <v>1150123.21</v>
      </c>
      <c r="L11" s="309"/>
      <c r="M11" s="309"/>
      <c r="N11" s="271">
        <v>1192112.58</v>
      </c>
      <c r="O11" s="272"/>
      <c r="P11" s="273"/>
      <c r="Q11" s="309">
        <v>600530.82999999996</v>
      </c>
      <c r="R11" s="309"/>
      <c r="S11" s="309"/>
    </row>
    <row r="12" spans="1:19" ht="12" customHeight="1" outlineLevel="1">
      <c r="A12" s="301" t="s">
        <v>129</v>
      </c>
      <c r="B12" s="301"/>
      <c r="C12" s="301"/>
      <c r="D12" s="274"/>
      <c r="E12" s="274"/>
      <c r="F12" s="274"/>
      <c r="G12" s="275"/>
      <c r="H12" s="302">
        <v>558541.46</v>
      </c>
      <c r="I12" s="302"/>
      <c r="J12" s="302"/>
      <c r="K12" s="302">
        <v>1143780.04</v>
      </c>
      <c r="L12" s="302"/>
      <c r="M12" s="302"/>
      <c r="N12" s="276">
        <v>1185769.4099999999</v>
      </c>
      <c r="O12" s="277"/>
      <c r="P12" s="278"/>
      <c r="Q12" s="302">
        <v>600530.82999999996</v>
      </c>
      <c r="R12" s="302"/>
      <c r="S12" s="302"/>
    </row>
    <row r="13" spans="1:19" ht="15" customHeight="1" outlineLevel="2">
      <c r="A13" s="298" t="s">
        <v>206</v>
      </c>
      <c r="B13" s="298"/>
      <c r="C13" s="298"/>
      <c r="D13" s="279" t="s">
        <v>207</v>
      </c>
      <c r="E13" s="279" t="s">
        <v>173</v>
      </c>
      <c r="F13" s="279" t="s">
        <v>208</v>
      </c>
      <c r="G13" s="280"/>
      <c r="H13" s="299">
        <v>1745</v>
      </c>
      <c r="I13" s="299"/>
      <c r="J13" s="299"/>
      <c r="K13" s="281"/>
      <c r="L13" s="282"/>
      <c r="M13" s="283"/>
      <c r="N13" s="284">
        <v>200</v>
      </c>
      <c r="O13" s="281"/>
      <c r="P13" s="283"/>
      <c r="Q13" s="299">
        <v>1945</v>
      </c>
      <c r="R13" s="299"/>
      <c r="S13" s="299"/>
    </row>
    <row r="14" spans="1:19" ht="14.25" customHeight="1" outlineLevel="2">
      <c r="A14" s="298" t="s">
        <v>209</v>
      </c>
      <c r="B14" s="298"/>
      <c r="C14" s="298"/>
      <c r="D14" s="279" t="s">
        <v>210</v>
      </c>
      <c r="E14" s="279" t="s">
        <v>211</v>
      </c>
      <c r="F14" s="279" t="s">
        <v>212</v>
      </c>
      <c r="G14" s="280"/>
      <c r="H14" s="299">
        <v>24840</v>
      </c>
      <c r="I14" s="299"/>
      <c r="J14" s="299"/>
      <c r="K14" s="299">
        <v>24840</v>
      </c>
      <c r="L14" s="299"/>
      <c r="M14" s="299"/>
      <c r="N14" s="285">
        <v>24840</v>
      </c>
      <c r="O14" s="281"/>
      <c r="P14" s="283"/>
      <c r="Q14" s="299">
        <v>24840</v>
      </c>
      <c r="R14" s="299"/>
      <c r="S14" s="299"/>
    </row>
    <row r="15" spans="1:19" ht="15.75" customHeight="1" outlineLevel="2">
      <c r="A15" s="298" t="s">
        <v>213</v>
      </c>
      <c r="B15" s="298"/>
      <c r="C15" s="298"/>
      <c r="D15" s="279" t="s">
        <v>214</v>
      </c>
      <c r="E15" s="279" t="s">
        <v>211</v>
      </c>
      <c r="F15" s="279" t="s">
        <v>212</v>
      </c>
      <c r="G15" s="280"/>
      <c r="H15" s="299">
        <v>241706.46</v>
      </c>
      <c r="I15" s="299"/>
      <c r="J15" s="299"/>
      <c r="K15" s="299">
        <v>203236.6</v>
      </c>
      <c r="L15" s="299"/>
      <c r="M15" s="299"/>
      <c r="N15" s="285">
        <v>213236.6</v>
      </c>
      <c r="O15" s="281"/>
      <c r="P15" s="283"/>
      <c r="Q15" s="299">
        <v>251706.46</v>
      </c>
      <c r="R15" s="299"/>
      <c r="S15" s="299"/>
    </row>
    <row r="16" spans="1:19" ht="12" customHeight="1" outlineLevel="2">
      <c r="A16" s="298" t="s">
        <v>215</v>
      </c>
      <c r="B16" s="298"/>
      <c r="C16" s="298"/>
      <c r="D16" s="279" t="s">
        <v>216</v>
      </c>
      <c r="E16" s="279" t="s">
        <v>211</v>
      </c>
      <c r="F16" s="279" t="s">
        <v>212</v>
      </c>
      <c r="G16" s="280"/>
      <c r="H16" s="299">
        <v>76073</v>
      </c>
      <c r="I16" s="299"/>
      <c r="J16" s="299"/>
      <c r="K16" s="299">
        <v>43210.63</v>
      </c>
      <c r="L16" s="299"/>
      <c r="M16" s="299"/>
      <c r="N16" s="285">
        <v>45000</v>
      </c>
      <c r="O16" s="281"/>
      <c r="P16" s="283"/>
      <c r="Q16" s="299">
        <v>77862.37</v>
      </c>
      <c r="R16" s="299"/>
      <c r="S16" s="299"/>
    </row>
    <row r="17" spans="1:19" ht="12" customHeight="1" outlineLevel="2">
      <c r="A17" s="298" t="s">
        <v>217</v>
      </c>
      <c r="B17" s="298"/>
      <c r="C17" s="298"/>
      <c r="D17" s="279" t="s">
        <v>218</v>
      </c>
      <c r="E17" s="279" t="s">
        <v>16</v>
      </c>
      <c r="F17" s="279" t="s">
        <v>219</v>
      </c>
      <c r="G17" s="280"/>
      <c r="H17" s="281"/>
      <c r="I17" s="282"/>
      <c r="J17" s="283"/>
      <c r="K17" s="299">
        <v>7981.58</v>
      </c>
      <c r="L17" s="299"/>
      <c r="M17" s="299"/>
      <c r="N17" s="286">
        <v>7981.58</v>
      </c>
      <c r="O17" s="281"/>
      <c r="P17" s="283"/>
      <c r="Q17" s="281"/>
      <c r="R17" s="282"/>
      <c r="S17" s="283"/>
    </row>
    <row r="18" spans="1:19" ht="12" customHeight="1" outlineLevel="2">
      <c r="A18" s="298" t="s">
        <v>195</v>
      </c>
      <c r="B18" s="298"/>
      <c r="C18" s="298"/>
      <c r="D18" s="279"/>
      <c r="E18" s="279"/>
      <c r="F18" s="279"/>
      <c r="G18" s="280"/>
      <c r="H18" s="281"/>
      <c r="I18" s="282"/>
      <c r="J18" s="283"/>
      <c r="K18" s="299">
        <v>533663.88</v>
      </c>
      <c r="L18" s="299"/>
      <c r="M18" s="299"/>
      <c r="N18" s="287">
        <v>540090.88</v>
      </c>
      <c r="O18" s="281"/>
      <c r="P18" s="283"/>
      <c r="Q18" s="281"/>
      <c r="R18" s="282"/>
      <c r="S18" s="283"/>
    </row>
    <row r="19" spans="1:19" ht="12" customHeight="1" outlineLevel="2">
      <c r="A19" s="298" t="s">
        <v>220</v>
      </c>
      <c r="B19" s="298"/>
      <c r="C19" s="298"/>
      <c r="D19" s="279" t="s">
        <v>221</v>
      </c>
      <c r="E19" s="279" t="s">
        <v>173</v>
      </c>
      <c r="F19" s="279"/>
      <c r="G19" s="280"/>
      <c r="H19" s="299">
        <v>9226</v>
      </c>
      <c r="I19" s="299"/>
      <c r="J19" s="299"/>
      <c r="K19" s="299">
        <v>87176</v>
      </c>
      <c r="L19" s="299"/>
      <c r="M19" s="299"/>
      <c r="N19" s="285">
        <v>86910</v>
      </c>
      <c r="O19" s="281"/>
      <c r="P19" s="283"/>
      <c r="Q19" s="299">
        <v>8960</v>
      </c>
      <c r="R19" s="299"/>
      <c r="S19" s="299"/>
    </row>
    <row r="20" spans="1:19" ht="23.25" customHeight="1" outlineLevel="2">
      <c r="A20" s="298" t="s">
        <v>222</v>
      </c>
      <c r="B20" s="298"/>
      <c r="C20" s="298"/>
      <c r="D20" s="279" t="s">
        <v>223</v>
      </c>
      <c r="E20" s="279" t="s">
        <v>173</v>
      </c>
      <c r="F20" s="279" t="s">
        <v>208</v>
      </c>
      <c r="G20" s="280"/>
      <c r="H20" s="299">
        <v>4500</v>
      </c>
      <c r="I20" s="299"/>
      <c r="J20" s="299"/>
      <c r="K20" s="281"/>
      <c r="L20" s="282"/>
      <c r="M20" s="283"/>
      <c r="N20" s="285">
        <v>9000</v>
      </c>
      <c r="O20" s="281"/>
      <c r="P20" s="283"/>
      <c r="Q20" s="299">
        <v>13500</v>
      </c>
      <c r="R20" s="299"/>
      <c r="S20" s="299"/>
    </row>
    <row r="21" spans="1:19" ht="12" customHeight="1" outlineLevel="2">
      <c r="A21" s="298" t="s">
        <v>224</v>
      </c>
      <c r="B21" s="298"/>
      <c r="C21" s="298"/>
      <c r="D21" s="279" t="s">
        <v>225</v>
      </c>
      <c r="E21" s="279" t="s">
        <v>16</v>
      </c>
      <c r="F21" s="279" t="s">
        <v>219</v>
      </c>
      <c r="G21" s="280"/>
      <c r="H21" s="281"/>
      <c r="I21" s="282"/>
      <c r="J21" s="283"/>
      <c r="K21" s="281"/>
      <c r="L21" s="282"/>
      <c r="M21" s="283"/>
      <c r="N21" s="288">
        <v>4780</v>
      </c>
      <c r="O21" s="281"/>
      <c r="P21" s="283"/>
      <c r="Q21" s="299">
        <v>4780</v>
      </c>
      <c r="R21" s="299"/>
      <c r="S21" s="299"/>
    </row>
    <row r="22" spans="1:19" ht="12" customHeight="1" outlineLevel="2">
      <c r="A22" s="298" t="s">
        <v>226</v>
      </c>
      <c r="B22" s="298"/>
      <c r="C22" s="298"/>
      <c r="D22" s="279" t="s">
        <v>227</v>
      </c>
      <c r="E22" s="279" t="s">
        <v>16</v>
      </c>
      <c r="F22" s="279" t="s">
        <v>219</v>
      </c>
      <c r="G22" s="280"/>
      <c r="H22" s="281"/>
      <c r="I22" s="282"/>
      <c r="J22" s="283"/>
      <c r="K22" s="299">
        <v>1230</v>
      </c>
      <c r="L22" s="299"/>
      <c r="M22" s="299"/>
      <c r="N22" s="288">
        <v>1230</v>
      </c>
      <c r="O22" s="281"/>
      <c r="P22" s="283"/>
      <c r="Q22" s="281"/>
      <c r="R22" s="282"/>
      <c r="S22" s="283"/>
    </row>
    <row r="23" spans="1:19" ht="12" customHeight="1" outlineLevel="2">
      <c r="A23" s="298" t="s">
        <v>228</v>
      </c>
      <c r="B23" s="298"/>
      <c r="C23" s="298"/>
      <c r="D23" s="279" t="s">
        <v>229</v>
      </c>
      <c r="E23" s="279" t="s">
        <v>211</v>
      </c>
      <c r="F23" s="279" t="s">
        <v>212</v>
      </c>
      <c r="G23" s="280"/>
      <c r="H23" s="299">
        <v>192150</v>
      </c>
      <c r="I23" s="299"/>
      <c r="J23" s="299"/>
      <c r="K23" s="299">
        <v>151136</v>
      </c>
      <c r="L23" s="299"/>
      <c r="M23" s="299"/>
      <c r="N23" s="285">
        <v>150077</v>
      </c>
      <c r="O23" s="281"/>
      <c r="P23" s="283"/>
      <c r="Q23" s="299">
        <v>191091</v>
      </c>
      <c r="R23" s="299"/>
      <c r="S23" s="299"/>
    </row>
    <row r="24" spans="1:19" ht="12" customHeight="1" outlineLevel="2">
      <c r="A24" s="298" t="s">
        <v>230</v>
      </c>
      <c r="B24" s="298"/>
      <c r="C24" s="298"/>
      <c r="D24" s="279" t="s">
        <v>231</v>
      </c>
      <c r="E24" s="279" t="s">
        <v>16</v>
      </c>
      <c r="F24" s="279" t="s">
        <v>212</v>
      </c>
      <c r="G24" s="280"/>
      <c r="H24" s="281"/>
      <c r="I24" s="282"/>
      <c r="J24" s="283"/>
      <c r="K24" s="299">
        <v>3000</v>
      </c>
      <c r="L24" s="299"/>
      <c r="M24" s="299"/>
      <c r="N24" s="285">
        <v>3000</v>
      </c>
      <c r="O24" s="281"/>
      <c r="P24" s="283"/>
      <c r="Q24" s="281"/>
      <c r="R24" s="282"/>
      <c r="S24" s="283"/>
    </row>
    <row r="25" spans="1:19" ht="12" customHeight="1" outlineLevel="2">
      <c r="A25" s="298" t="s">
        <v>232</v>
      </c>
      <c r="B25" s="298"/>
      <c r="C25" s="298"/>
      <c r="D25" s="279" t="s">
        <v>233</v>
      </c>
      <c r="E25" s="279" t="s">
        <v>211</v>
      </c>
      <c r="F25" s="279" t="s">
        <v>212</v>
      </c>
      <c r="G25" s="280"/>
      <c r="H25" s="299">
        <v>1000</v>
      </c>
      <c r="I25" s="299"/>
      <c r="J25" s="299"/>
      <c r="K25" s="299">
        <v>1000</v>
      </c>
      <c r="L25" s="299"/>
      <c r="M25" s="299"/>
      <c r="N25" s="285">
        <v>1000</v>
      </c>
      <c r="O25" s="281"/>
      <c r="P25" s="283"/>
      <c r="Q25" s="299">
        <v>1000</v>
      </c>
      <c r="R25" s="299"/>
      <c r="S25" s="299"/>
    </row>
    <row r="26" spans="1:19" ht="12" customHeight="1" outlineLevel="2">
      <c r="A26" s="298" t="s">
        <v>234</v>
      </c>
      <c r="B26" s="298"/>
      <c r="C26" s="298"/>
      <c r="D26" s="279" t="s">
        <v>225</v>
      </c>
      <c r="E26" s="279" t="s">
        <v>16</v>
      </c>
      <c r="F26" s="279" t="s">
        <v>219</v>
      </c>
      <c r="G26" s="280"/>
      <c r="H26" s="281"/>
      <c r="I26" s="282"/>
      <c r="J26" s="283"/>
      <c r="K26" s="281"/>
      <c r="L26" s="282"/>
      <c r="M26" s="283"/>
      <c r="N26" s="288">
        <v>3645</v>
      </c>
      <c r="O26" s="281"/>
      <c r="P26" s="283"/>
      <c r="Q26" s="299">
        <v>3645</v>
      </c>
      <c r="R26" s="299"/>
      <c r="S26" s="299"/>
    </row>
    <row r="27" spans="1:19" ht="12" customHeight="1" outlineLevel="2">
      <c r="A27" s="298" t="s">
        <v>235</v>
      </c>
      <c r="B27" s="298"/>
      <c r="C27" s="298"/>
      <c r="D27" s="279" t="s">
        <v>236</v>
      </c>
      <c r="E27" s="279" t="s">
        <v>237</v>
      </c>
      <c r="F27" s="279" t="s">
        <v>208</v>
      </c>
      <c r="G27" s="280"/>
      <c r="H27" s="299">
        <v>7301</v>
      </c>
      <c r="I27" s="299"/>
      <c r="J27" s="299"/>
      <c r="K27" s="281"/>
      <c r="L27" s="282"/>
      <c r="M27" s="283"/>
      <c r="N27" s="285">
        <v>9400</v>
      </c>
      <c r="O27" s="281"/>
      <c r="P27" s="283"/>
      <c r="Q27" s="299">
        <v>16701</v>
      </c>
      <c r="R27" s="299"/>
      <c r="S27" s="299"/>
    </row>
    <row r="28" spans="1:19" ht="23.25" customHeight="1" outlineLevel="2">
      <c r="A28" s="298" t="s">
        <v>238</v>
      </c>
      <c r="B28" s="298"/>
      <c r="C28" s="298"/>
      <c r="D28" s="279" t="s">
        <v>239</v>
      </c>
      <c r="E28" s="279" t="s">
        <v>16</v>
      </c>
      <c r="F28" s="279" t="s">
        <v>240</v>
      </c>
      <c r="G28" s="280"/>
      <c r="H28" s="281"/>
      <c r="I28" s="282"/>
      <c r="J28" s="283"/>
      <c r="K28" s="299">
        <v>13750</v>
      </c>
      <c r="L28" s="299"/>
      <c r="M28" s="299"/>
      <c r="N28" s="288">
        <v>17000</v>
      </c>
      <c r="O28" s="281"/>
      <c r="P28" s="283"/>
      <c r="Q28" s="299">
        <v>4000</v>
      </c>
      <c r="R28" s="299"/>
      <c r="S28" s="299"/>
    </row>
    <row r="29" spans="1:19" ht="12" customHeight="1" outlineLevel="2">
      <c r="A29" s="298" t="s">
        <v>241</v>
      </c>
      <c r="B29" s="298"/>
      <c r="C29" s="298"/>
      <c r="D29" s="279" t="s">
        <v>242</v>
      </c>
      <c r="E29" s="279" t="s">
        <v>16</v>
      </c>
      <c r="F29" s="279" t="s">
        <v>212</v>
      </c>
      <c r="G29" s="280"/>
      <c r="H29" s="281"/>
      <c r="I29" s="282"/>
      <c r="J29" s="283"/>
      <c r="K29" s="299">
        <v>71555.350000000006</v>
      </c>
      <c r="L29" s="299"/>
      <c r="M29" s="299"/>
      <c r="N29" s="285">
        <v>71555.350000000006</v>
      </c>
      <c r="O29" s="281"/>
      <c r="P29" s="283"/>
      <c r="Q29" s="281"/>
      <c r="R29" s="282"/>
      <c r="S29" s="283"/>
    </row>
    <row r="30" spans="1:19" ht="12" customHeight="1" outlineLevel="2">
      <c r="A30" s="298" t="s">
        <v>243</v>
      </c>
      <c r="B30" s="298"/>
      <c r="C30" s="298"/>
      <c r="D30" s="279" t="s">
        <v>244</v>
      </c>
      <c r="E30" s="279" t="s">
        <v>211</v>
      </c>
      <c r="F30" s="279" t="s">
        <v>219</v>
      </c>
      <c r="G30" s="280"/>
      <c r="H30" s="281"/>
      <c r="I30" s="282"/>
      <c r="J30" s="283"/>
      <c r="K30" s="299">
        <v>2000</v>
      </c>
      <c r="L30" s="299"/>
      <c r="M30" s="299"/>
      <c r="N30" s="285">
        <v>2500</v>
      </c>
      <c r="O30" s="281"/>
      <c r="P30" s="283"/>
      <c r="Q30" s="300">
        <v>500</v>
      </c>
      <c r="R30" s="300"/>
      <c r="S30" s="300"/>
    </row>
    <row r="31" spans="1:19" ht="12" customHeight="1" outlineLevel="1">
      <c r="A31" s="301" t="s">
        <v>245</v>
      </c>
      <c r="B31" s="301"/>
      <c r="C31" s="301"/>
      <c r="D31" s="274"/>
      <c r="E31" s="274"/>
      <c r="F31" s="274"/>
      <c r="G31" s="275"/>
      <c r="H31" s="277"/>
      <c r="I31" s="289"/>
      <c r="J31" s="278"/>
      <c r="K31" s="302">
        <v>6343.17</v>
      </c>
      <c r="L31" s="302"/>
      <c r="M31" s="302"/>
      <c r="N31" s="276">
        <v>6343.17</v>
      </c>
      <c r="O31" s="277"/>
      <c r="P31" s="278"/>
      <c r="Q31" s="277"/>
      <c r="R31" s="289"/>
      <c r="S31" s="278"/>
    </row>
    <row r="32" spans="1:19" ht="45.75" customHeight="1" outlineLevel="2">
      <c r="A32" s="298" t="s">
        <v>246</v>
      </c>
      <c r="B32" s="298"/>
      <c r="C32" s="298"/>
      <c r="D32" s="279" t="s">
        <v>247</v>
      </c>
      <c r="E32" s="279" t="s">
        <v>211</v>
      </c>
      <c r="F32" s="279"/>
      <c r="G32" s="280"/>
      <c r="H32" s="281"/>
      <c r="I32" s="282"/>
      <c r="J32" s="283"/>
      <c r="K32" s="299">
        <v>5333.17</v>
      </c>
      <c r="L32" s="299"/>
      <c r="M32" s="299"/>
      <c r="N32" s="285">
        <v>5333.17</v>
      </c>
      <c r="O32" s="281"/>
      <c r="P32" s="283"/>
      <c r="Q32" s="281"/>
      <c r="R32" s="282"/>
      <c r="S32" s="283"/>
    </row>
    <row r="33" spans="1:19" ht="12" customHeight="1" outlineLevel="2">
      <c r="A33" s="298" t="s">
        <v>248</v>
      </c>
      <c r="B33" s="298"/>
      <c r="C33" s="298"/>
      <c r="D33" s="279" t="s">
        <v>249</v>
      </c>
      <c r="E33" s="279" t="s">
        <v>211</v>
      </c>
      <c r="F33" s="279" t="s">
        <v>240</v>
      </c>
      <c r="G33" s="280"/>
      <c r="H33" s="281"/>
      <c r="I33" s="282"/>
      <c r="J33" s="283"/>
      <c r="K33" s="299">
        <v>1010</v>
      </c>
      <c r="L33" s="299"/>
      <c r="M33" s="299"/>
      <c r="N33" s="285">
        <v>1010</v>
      </c>
      <c r="O33" s="281"/>
      <c r="P33" s="283"/>
      <c r="Q33" s="281"/>
      <c r="R33" s="282"/>
      <c r="S33" s="283"/>
    </row>
    <row r="34" spans="1:19" ht="24">
      <c r="A34" s="298" t="s">
        <v>250</v>
      </c>
      <c r="B34" s="298"/>
      <c r="C34" s="298"/>
      <c r="D34" s="279"/>
      <c r="E34" s="279" t="s">
        <v>173</v>
      </c>
      <c r="F34" s="279" t="s">
        <v>251</v>
      </c>
      <c r="G34" s="280"/>
      <c r="H34" s="281"/>
      <c r="I34" s="282"/>
      <c r="J34" s="283"/>
      <c r="K34" s="299"/>
      <c r="L34" s="299"/>
      <c r="M34" s="299"/>
      <c r="N34" s="285">
        <v>6340</v>
      </c>
      <c r="O34" s="281"/>
      <c r="P34" s="283"/>
      <c r="Q34" s="281"/>
      <c r="R34" s="282"/>
      <c r="S34" s="283"/>
    </row>
    <row r="35" spans="1:19" ht="12">
      <c r="A35" s="298" t="s">
        <v>252</v>
      </c>
      <c r="B35" s="298"/>
      <c r="C35" s="298"/>
      <c r="D35" s="279"/>
      <c r="E35" s="279" t="s">
        <v>16</v>
      </c>
      <c r="F35" s="279" t="s">
        <v>219</v>
      </c>
      <c r="G35" s="280"/>
      <c r="H35" s="281"/>
      <c r="I35" s="282"/>
      <c r="J35" s="283"/>
      <c r="K35" s="299"/>
      <c r="L35" s="299"/>
      <c r="M35" s="299"/>
      <c r="N35" s="288">
        <v>450</v>
      </c>
      <c r="O35" s="281"/>
      <c r="P35" s="283"/>
      <c r="Q35" s="281"/>
      <c r="R35" s="282"/>
      <c r="S35" s="283"/>
    </row>
    <row r="36" spans="1:19" ht="12">
      <c r="A36" s="298" t="s">
        <v>240</v>
      </c>
      <c r="B36" s="298"/>
      <c r="C36" s="298"/>
      <c r="D36" s="279"/>
      <c r="E36" s="279" t="s">
        <v>16</v>
      </c>
      <c r="F36" s="279" t="s">
        <v>240</v>
      </c>
      <c r="G36" s="280"/>
      <c r="H36" s="281"/>
      <c r="I36" s="282"/>
      <c r="J36" s="283"/>
      <c r="K36" s="299"/>
      <c r="L36" s="299"/>
      <c r="M36" s="299"/>
      <c r="N36" s="288">
        <v>6834</v>
      </c>
      <c r="O36" s="281"/>
      <c r="P36" s="283"/>
      <c r="Q36" s="281"/>
      <c r="R36" s="282"/>
      <c r="S36" s="283"/>
    </row>
    <row r="37" spans="1:19" ht="12">
      <c r="A37" s="298" t="s">
        <v>253</v>
      </c>
      <c r="B37" s="298"/>
      <c r="C37" s="298"/>
      <c r="D37" s="279"/>
      <c r="E37" s="279" t="s">
        <v>16</v>
      </c>
      <c r="F37" s="279" t="s">
        <v>219</v>
      </c>
      <c r="G37" s="280"/>
      <c r="H37" s="281"/>
      <c r="I37" s="282"/>
      <c r="J37" s="283"/>
      <c r="K37" s="299"/>
      <c r="L37" s="299"/>
      <c r="M37" s="299"/>
      <c r="N37" s="288">
        <v>1230</v>
      </c>
      <c r="O37" s="281"/>
      <c r="P37" s="283"/>
      <c r="Q37" s="281"/>
      <c r="R37" s="282"/>
      <c r="S37" s="283"/>
    </row>
    <row r="38" spans="1:19" ht="12">
      <c r="A38" s="298" t="s">
        <v>252</v>
      </c>
      <c r="B38" s="298"/>
      <c r="C38" s="298"/>
      <c r="D38" s="279"/>
      <c r="E38" s="279" t="s">
        <v>16</v>
      </c>
      <c r="F38" s="279" t="s">
        <v>219</v>
      </c>
      <c r="G38" s="280"/>
      <c r="H38" s="281"/>
      <c r="I38" s="282"/>
      <c r="J38" s="283"/>
      <c r="K38" s="299"/>
      <c r="L38" s="299"/>
      <c r="M38" s="299"/>
      <c r="N38" s="288">
        <v>1000</v>
      </c>
      <c r="O38" s="281"/>
      <c r="P38" s="283"/>
      <c r="Q38" s="281"/>
      <c r="R38" s="282"/>
      <c r="S38" s="283"/>
    </row>
    <row r="39" spans="1:19" ht="12">
      <c r="A39" s="298" t="s">
        <v>252</v>
      </c>
      <c r="B39" s="298"/>
      <c r="C39" s="298"/>
      <c r="D39" s="279"/>
      <c r="E39" s="279" t="s">
        <v>16</v>
      </c>
      <c r="F39" s="279" t="s">
        <v>219</v>
      </c>
      <c r="G39" s="280"/>
      <c r="H39" s="281"/>
      <c r="I39" s="282"/>
      <c r="J39" s="283"/>
      <c r="K39" s="299"/>
      <c r="L39" s="299"/>
      <c r="M39" s="299"/>
      <c r="N39" s="288">
        <v>480</v>
      </c>
      <c r="O39" s="281"/>
      <c r="P39" s="283"/>
      <c r="Q39" s="281"/>
      <c r="R39" s="282"/>
      <c r="S39" s="283"/>
    </row>
    <row r="40" spans="1:19" ht="12">
      <c r="A40" s="298" t="s">
        <v>254</v>
      </c>
      <c r="B40" s="298"/>
      <c r="C40" s="298"/>
      <c r="D40" s="279"/>
      <c r="E40" s="279" t="s">
        <v>16</v>
      </c>
      <c r="F40" s="279" t="s">
        <v>208</v>
      </c>
      <c r="G40" s="280"/>
      <c r="H40" s="281"/>
      <c r="I40" s="282"/>
      <c r="J40" s="283"/>
      <c r="K40" s="299"/>
      <c r="L40" s="299"/>
      <c r="M40" s="299"/>
      <c r="N40" s="288">
        <v>1733</v>
      </c>
      <c r="O40" s="281"/>
      <c r="P40" s="283"/>
      <c r="Q40" s="281"/>
      <c r="R40" s="282"/>
      <c r="S40" s="283"/>
    </row>
    <row r="41" spans="1:19" ht="12">
      <c r="A41" s="298" t="s">
        <v>218</v>
      </c>
      <c r="B41" s="298"/>
      <c r="C41" s="298"/>
      <c r="D41" s="279"/>
      <c r="E41" s="279" t="s">
        <v>16</v>
      </c>
      <c r="F41" s="279" t="s">
        <v>219</v>
      </c>
      <c r="G41" s="280"/>
      <c r="H41" s="281"/>
      <c r="I41" s="282"/>
      <c r="J41" s="283"/>
      <c r="K41" s="299"/>
      <c r="L41" s="299"/>
      <c r="M41" s="299"/>
      <c r="N41" s="286">
        <v>1148</v>
      </c>
      <c r="O41" s="281"/>
      <c r="P41" s="283"/>
      <c r="Q41" s="281"/>
      <c r="R41" s="282"/>
      <c r="S41" s="283"/>
    </row>
    <row r="42" spans="1:19" ht="12">
      <c r="A42" s="298" t="s">
        <v>240</v>
      </c>
      <c r="B42" s="298"/>
      <c r="C42" s="298"/>
      <c r="D42" s="279"/>
      <c r="E42" s="279" t="s">
        <v>16</v>
      </c>
      <c r="F42" s="279" t="s">
        <v>240</v>
      </c>
      <c r="G42" s="280"/>
      <c r="H42" s="281"/>
      <c r="I42" s="282"/>
      <c r="J42" s="283"/>
      <c r="K42" s="299"/>
      <c r="L42" s="299"/>
      <c r="M42" s="299"/>
      <c r="N42" s="288">
        <v>2500</v>
      </c>
      <c r="O42" s="281"/>
      <c r="P42" s="283"/>
      <c r="Q42" s="281"/>
      <c r="R42" s="282"/>
      <c r="S42" s="283"/>
    </row>
    <row r="43" spans="1:19" ht="24">
      <c r="A43" s="298" t="s">
        <v>250</v>
      </c>
      <c r="B43" s="298"/>
      <c r="C43" s="298"/>
      <c r="D43" s="279"/>
      <c r="E43" s="279" t="s">
        <v>211</v>
      </c>
      <c r="F43" s="279" t="s">
        <v>251</v>
      </c>
      <c r="G43" s="280"/>
      <c r="H43" s="281"/>
      <c r="I43" s="282"/>
      <c r="J43" s="283"/>
      <c r="K43" s="299"/>
      <c r="L43" s="299"/>
      <c r="M43" s="299"/>
      <c r="N43" s="287">
        <v>1000</v>
      </c>
      <c r="O43" s="281"/>
      <c r="P43" s="283"/>
      <c r="Q43" s="281"/>
      <c r="R43" s="282"/>
      <c r="S43" s="283"/>
    </row>
    <row r="44" spans="1:19" ht="12">
      <c r="A44" s="298" t="s">
        <v>218</v>
      </c>
      <c r="B44" s="298"/>
      <c r="C44" s="298"/>
      <c r="D44" s="279"/>
      <c r="E44" s="279" t="s">
        <v>211</v>
      </c>
      <c r="F44" s="279" t="s">
        <v>219</v>
      </c>
      <c r="G44" s="280"/>
      <c r="H44" s="281"/>
      <c r="I44" s="282"/>
      <c r="J44" s="283"/>
      <c r="K44" s="299"/>
      <c r="L44" s="299"/>
      <c r="M44" s="299"/>
      <c r="N44" s="285">
        <v>1134</v>
      </c>
      <c r="O44" s="281"/>
      <c r="P44" s="283"/>
      <c r="Q44" s="281"/>
      <c r="R44" s="282"/>
      <c r="S44" s="283"/>
    </row>
    <row r="45" spans="1:19" ht="12">
      <c r="A45" s="298" t="s">
        <v>255</v>
      </c>
      <c r="B45" s="298"/>
      <c r="C45" s="298"/>
      <c r="D45" s="279"/>
      <c r="E45" s="279" t="s">
        <v>211</v>
      </c>
      <c r="F45" s="279" t="s">
        <v>256</v>
      </c>
      <c r="G45" s="280"/>
      <c r="H45" s="281"/>
      <c r="I45" s="282"/>
      <c r="J45" s="283"/>
      <c r="K45" s="299"/>
      <c r="L45" s="299"/>
      <c r="M45" s="299"/>
      <c r="N45" s="285">
        <v>49000</v>
      </c>
      <c r="O45" s="281"/>
      <c r="P45" s="283"/>
      <c r="Q45" s="281"/>
      <c r="R45" s="282"/>
      <c r="S45" s="283"/>
    </row>
    <row r="46" spans="1:19" ht="12">
      <c r="A46" s="298" t="s">
        <v>257</v>
      </c>
      <c r="B46" s="298"/>
      <c r="C46" s="298"/>
      <c r="D46" s="279"/>
      <c r="E46" s="279" t="s">
        <v>211</v>
      </c>
      <c r="F46" s="279"/>
      <c r="G46" s="280"/>
      <c r="H46" s="281"/>
      <c r="I46" s="282"/>
      <c r="J46" s="283"/>
      <c r="K46" s="299"/>
      <c r="L46" s="299"/>
      <c r="M46" s="299"/>
      <c r="N46" s="287">
        <v>1010</v>
      </c>
      <c r="O46" s="281"/>
      <c r="P46" s="283"/>
      <c r="Q46" s="281"/>
      <c r="R46" s="282"/>
      <c r="S46" s="283"/>
    </row>
    <row r="47" spans="1:19" ht="24">
      <c r="A47" s="298" t="s">
        <v>240</v>
      </c>
      <c r="B47" s="298"/>
      <c r="C47" s="298"/>
      <c r="D47" s="279"/>
      <c r="E47" s="279" t="s">
        <v>173</v>
      </c>
      <c r="F47" s="279" t="s">
        <v>240</v>
      </c>
      <c r="G47" s="280"/>
      <c r="H47" s="281"/>
      <c r="I47" s="282"/>
      <c r="J47" s="283"/>
      <c r="K47" s="299"/>
      <c r="L47" s="299"/>
      <c r="M47" s="299"/>
      <c r="N47" s="287">
        <v>750</v>
      </c>
      <c r="O47" s="281"/>
      <c r="P47" s="283"/>
      <c r="Q47" s="281"/>
      <c r="R47" s="282"/>
      <c r="S47" s="283"/>
    </row>
    <row r="48" spans="1:19" ht="12">
      <c r="A48" s="298"/>
      <c r="B48" s="298"/>
      <c r="C48" s="298"/>
      <c r="D48" s="279"/>
      <c r="E48" s="279" t="s">
        <v>211</v>
      </c>
      <c r="F48" s="279"/>
      <c r="G48" s="280"/>
      <c r="H48" s="281"/>
      <c r="I48" s="282"/>
      <c r="J48" s="283"/>
      <c r="K48" s="299"/>
      <c r="L48" s="299"/>
      <c r="M48" s="299"/>
      <c r="N48" s="287"/>
      <c r="O48" s="281"/>
      <c r="P48" s="283"/>
      <c r="Q48" s="281"/>
      <c r="R48" s="282"/>
      <c r="S48" s="283"/>
    </row>
    <row r="49" spans="1:19" ht="12">
      <c r="A49" s="298"/>
      <c r="B49" s="298"/>
      <c r="C49" s="298"/>
      <c r="D49" s="279"/>
      <c r="E49" s="279" t="s">
        <v>211</v>
      </c>
      <c r="F49" s="279"/>
      <c r="G49" s="280"/>
      <c r="H49" s="281"/>
      <c r="I49" s="282"/>
      <c r="J49" s="283"/>
      <c r="K49" s="299"/>
      <c r="L49" s="299"/>
      <c r="M49" s="299"/>
      <c r="N49" s="287"/>
      <c r="O49" s="281"/>
      <c r="P49" s="283"/>
      <c r="Q49" s="281"/>
      <c r="R49" s="282"/>
      <c r="S49" s="283"/>
    </row>
    <row r="50" spans="1:19" ht="12">
      <c r="A50" s="298"/>
      <c r="B50" s="298"/>
      <c r="C50" s="298"/>
      <c r="D50" s="279"/>
      <c r="E50" s="279" t="s">
        <v>211</v>
      </c>
      <c r="F50" s="279"/>
      <c r="G50" s="280"/>
      <c r="H50" s="281"/>
      <c r="I50" s="282"/>
      <c r="J50" s="283"/>
      <c r="K50" s="299"/>
      <c r="L50" s="299"/>
      <c r="M50" s="299"/>
      <c r="N50" s="287"/>
      <c r="O50" s="281"/>
      <c r="P50" s="283"/>
      <c r="Q50" s="281"/>
      <c r="R50" s="282"/>
      <c r="S50" s="283"/>
    </row>
  </sheetData>
  <autoFilter ref="A12:S50">
    <filterColumn colId="0" showButton="0"/>
    <filterColumn colId="1" showButton="0"/>
    <filterColumn colId="7" showButton="0"/>
    <filterColumn colId="8" showButton="0"/>
    <filterColumn colId="10" showButton="0"/>
    <filterColumn colId="11" showButton="0"/>
    <filterColumn colId="16" showButton="0"/>
    <filterColumn colId="17" showButton="0"/>
  </autoFilter>
  <mergeCells count="118">
    <mergeCell ref="A1:R1"/>
    <mergeCell ref="A2:R2"/>
    <mergeCell ref="B4:R4"/>
    <mergeCell ref="B6:R6"/>
    <mergeCell ref="A8:C8"/>
    <mergeCell ref="G8:J8"/>
    <mergeCell ref="K8:N8"/>
    <mergeCell ref="O8:S8"/>
    <mergeCell ref="A12:C12"/>
    <mergeCell ref="H12:J12"/>
    <mergeCell ref="K12:M12"/>
    <mergeCell ref="Q12:S12"/>
    <mergeCell ref="A13:C13"/>
    <mergeCell ref="H13:J13"/>
    <mergeCell ref="Q13:S13"/>
    <mergeCell ref="O9:P10"/>
    <mergeCell ref="Q9:S10"/>
    <mergeCell ref="A10:C10"/>
    <mergeCell ref="A11:C11"/>
    <mergeCell ref="H11:J11"/>
    <mergeCell ref="K11:M11"/>
    <mergeCell ref="Q11:S11"/>
    <mergeCell ref="A9:C9"/>
    <mergeCell ref="D9:D10"/>
    <mergeCell ref="G9:G10"/>
    <mergeCell ref="H9:J10"/>
    <mergeCell ref="K9:M10"/>
    <mergeCell ref="N9:N10"/>
    <mergeCell ref="A16:C16"/>
    <mergeCell ref="H16:J16"/>
    <mergeCell ref="K16:M16"/>
    <mergeCell ref="Q16:S16"/>
    <mergeCell ref="A17:C17"/>
    <mergeCell ref="K17:M17"/>
    <mergeCell ref="A14:C14"/>
    <mergeCell ref="H14:J14"/>
    <mergeCell ref="K14:M14"/>
    <mergeCell ref="Q14:S14"/>
    <mergeCell ref="A15:C15"/>
    <mergeCell ref="H15:J15"/>
    <mergeCell ref="K15:M15"/>
    <mergeCell ref="Q15:S15"/>
    <mergeCell ref="A20:C20"/>
    <mergeCell ref="H20:J20"/>
    <mergeCell ref="Q20:S20"/>
    <mergeCell ref="A21:C21"/>
    <mergeCell ref="Q21:S21"/>
    <mergeCell ref="A22:C22"/>
    <mergeCell ref="K22:M22"/>
    <mergeCell ref="A18:C18"/>
    <mergeCell ref="K18:M18"/>
    <mergeCell ref="A19:C19"/>
    <mergeCell ref="H19:J19"/>
    <mergeCell ref="K19:M19"/>
    <mergeCell ref="Q19:S19"/>
    <mergeCell ref="A25:C25"/>
    <mergeCell ref="H25:J25"/>
    <mergeCell ref="K25:M25"/>
    <mergeCell ref="Q25:S25"/>
    <mergeCell ref="A26:C26"/>
    <mergeCell ref="Q26:S26"/>
    <mergeCell ref="A23:C23"/>
    <mergeCell ref="H23:J23"/>
    <mergeCell ref="K23:M23"/>
    <mergeCell ref="Q23:S23"/>
    <mergeCell ref="A24:C24"/>
    <mergeCell ref="K24:M24"/>
    <mergeCell ref="A29:C29"/>
    <mergeCell ref="K29:M29"/>
    <mergeCell ref="A30:C30"/>
    <mergeCell ref="K30:M30"/>
    <mergeCell ref="Q30:S30"/>
    <mergeCell ref="A31:C31"/>
    <mergeCell ref="K31:M31"/>
    <mergeCell ref="A27:C27"/>
    <mergeCell ref="H27:J27"/>
    <mergeCell ref="Q27:S27"/>
    <mergeCell ref="A28:C28"/>
    <mergeCell ref="K28:M28"/>
    <mergeCell ref="Q28:S28"/>
    <mergeCell ref="A35:C35"/>
    <mergeCell ref="K35:M35"/>
    <mergeCell ref="A36:C36"/>
    <mergeCell ref="K36:M36"/>
    <mergeCell ref="A37:C37"/>
    <mergeCell ref="K37:M37"/>
    <mergeCell ref="A32:C32"/>
    <mergeCell ref="K32:M32"/>
    <mergeCell ref="A33:C33"/>
    <mergeCell ref="K33:M33"/>
    <mergeCell ref="A34:C34"/>
    <mergeCell ref="K34:M34"/>
    <mergeCell ref="A41:C41"/>
    <mergeCell ref="K41:M41"/>
    <mergeCell ref="A42:C42"/>
    <mergeCell ref="K42:M42"/>
    <mergeCell ref="A43:C43"/>
    <mergeCell ref="K43:M43"/>
    <mergeCell ref="A38:C38"/>
    <mergeCell ref="K38:M38"/>
    <mergeCell ref="A39:C39"/>
    <mergeCell ref="K39:M39"/>
    <mergeCell ref="A40:C40"/>
    <mergeCell ref="K40:M40"/>
    <mergeCell ref="A50:C50"/>
    <mergeCell ref="K50:M50"/>
    <mergeCell ref="A47:C47"/>
    <mergeCell ref="K47:M47"/>
    <mergeCell ref="A48:C48"/>
    <mergeCell ref="K48:M48"/>
    <mergeCell ref="A49:C49"/>
    <mergeCell ref="K49:M49"/>
    <mergeCell ref="A44:C44"/>
    <mergeCell ref="K44:M44"/>
    <mergeCell ref="A45:C45"/>
    <mergeCell ref="K45:M45"/>
    <mergeCell ref="A46:C46"/>
    <mergeCell ref="K46:M46"/>
  </mergeCells>
  <pageMargins left="0.19685039370078738" right="0.19685039370078738" top="0.39370078740157477" bottom="0.39370078740157477" header="0.39370078740157477" footer="0.39370078740157477"/>
  <pageSetup paperSize="0" scale="0" fitToHeight="0" pageOrder="overThenDown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pageSetUpPr fitToPage="1"/>
  </sheetPr>
  <dimension ref="A1:H229"/>
  <sheetViews>
    <sheetView workbookViewId="0">
      <selection activeCell="B10" sqref="B10"/>
    </sheetView>
  </sheetViews>
  <sheetFormatPr defaultRowHeight="15"/>
  <cols>
    <col min="1" max="1" width="13.140625" style="218" customWidth="1"/>
    <col min="2" max="2" width="26.140625" style="218" customWidth="1"/>
    <col min="3" max="3" width="9.140625" style="229" customWidth="1"/>
    <col min="4" max="4" width="22" customWidth="1"/>
    <col min="5" max="5" width="18.7109375" customWidth="1"/>
    <col min="6" max="6" width="15.28515625" customWidth="1"/>
    <col min="7" max="7" width="19.42578125" customWidth="1"/>
    <col min="8" max="8" width="13.28515625" bestFit="1" customWidth="1"/>
    <col min="10" max="10" width="5.7109375" customWidth="1"/>
    <col min="11" max="11" width="12.140625" bestFit="1" customWidth="1"/>
  </cols>
  <sheetData>
    <row r="1" spans="1:6" s="7" customFormat="1">
      <c r="A1" s="6" t="s">
        <v>168</v>
      </c>
      <c r="B1" s="6"/>
      <c r="C1" s="225"/>
      <c r="D1" s="6" t="s">
        <v>148</v>
      </c>
      <c r="E1" s="209"/>
      <c r="F1" s="210"/>
    </row>
    <row r="2" spans="1:6" s="7" customFormat="1">
      <c r="A2" s="234" t="s">
        <v>167</v>
      </c>
      <c r="B2" s="234" t="s">
        <v>145</v>
      </c>
      <c r="C2" s="234" t="s">
        <v>149</v>
      </c>
      <c r="D2" s="235" t="s">
        <v>146</v>
      </c>
      <c r="E2" s="236" t="s">
        <v>169</v>
      </c>
      <c r="F2" s="237" t="s">
        <v>147</v>
      </c>
    </row>
    <row r="3" spans="1:6" s="214" customFormat="1">
      <c r="A3" s="230" t="s">
        <v>150</v>
      </c>
      <c r="B3" s="231"/>
      <c r="C3" s="231">
        <f>SUM(C4:C1048576)</f>
        <v>369415</v>
      </c>
      <c r="D3" s="211"/>
      <c r="E3" s="212"/>
      <c r="F3" s="213"/>
    </row>
    <row r="4" spans="1:6" s="214" customFormat="1">
      <c r="A4" s="219"/>
      <c r="B4" s="220" t="s">
        <v>170</v>
      </c>
      <c r="C4" s="228"/>
      <c r="D4" s="211"/>
      <c r="E4" s="212"/>
      <c r="F4" s="213"/>
    </row>
    <row r="5" spans="1:6" s="214" customFormat="1">
      <c r="A5" s="219"/>
      <c r="B5" s="220" t="s">
        <v>35</v>
      </c>
      <c r="C5" s="228"/>
      <c r="D5" s="211"/>
      <c r="E5" s="212"/>
      <c r="F5" s="213"/>
    </row>
    <row r="6" spans="1:6" s="214" customFormat="1">
      <c r="A6" s="219"/>
      <c r="B6" s="217" t="s">
        <v>171</v>
      </c>
      <c r="C6" s="228"/>
      <c r="D6" s="211"/>
      <c r="E6" s="212"/>
      <c r="F6" s="213"/>
    </row>
    <row r="7" spans="1:6" s="214" customFormat="1">
      <c r="A7" s="219"/>
      <c r="B7" s="220" t="s">
        <v>172</v>
      </c>
      <c r="C7" s="228"/>
      <c r="D7" s="211"/>
      <c r="E7" s="212"/>
      <c r="F7" s="213"/>
    </row>
    <row r="8" spans="1:6" s="214" customFormat="1">
      <c r="A8" s="219"/>
      <c r="B8" s="220"/>
      <c r="C8" s="228"/>
      <c r="D8" s="211"/>
      <c r="E8" s="212"/>
      <c r="F8" s="213"/>
    </row>
    <row r="9" spans="1:6" s="214" customFormat="1">
      <c r="A9" s="219" t="s">
        <v>17</v>
      </c>
      <c r="B9" s="220" t="s">
        <v>162</v>
      </c>
      <c r="C9" s="228">
        <v>4600</v>
      </c>
      <c r="D9" s="211"/>
      <c r="E9" s="212"/>
      <c r="F9" s="213"/>
    </row>
    <row r="10" spans="1:6" s="214" customFormat="1" ht="15.75" customHeight="1">
      <c r="A10" s="219"/>
      <c r="B10" s="220" t="s">
        <v>163</v>
      </c>
      <c r="C10" s="228">
        <v>47200</v>
      </c>
      <c r="D10" s="211"/>
      <c r="E10" s="212"/>
      <c r="F10" s="213"/>
    </row>
    <row r="11" spans="1:6" s="214" customFormat="1">
      <c r="A11" s="219"/>
      <c r="B11" s="217" t="s">
        <v>164</v>
      </c>
      <c r="C11" s="228">
        <v>317615</v>
      </c>
      <c r="D11" s="211"/>
      <c r="E11" s="212"/>
      <c r="F11" s="213"/>
    </row>
    <row r="12" spans="1:6" s="214" customFormat="1">
      <c r="A12" s="219"/>
      <c r="B12" s="217"/>
      <c r="C12" s="228"/>
      <c r="D12" s="211"/>
      <c r="E12" s="212"/>
      <c r="F12" s="213"/>
    </row>
    <row r="13" spans="1:6" s="214" customFormat="1">
      <c r="A13" s="219"/>
      <c r="B13" s="220"/>
      <c r="C13" s="228"/>
      <c r="D13" s="211"/>
      <c r="E13" s="212"/>
      <c r="F13" s="213"/>
    </row>
    <row r="14" spans="1:6" s="214" customFormat="1">
      <c r="A14" s="219"/>
      <c r="B14" s="220"/>
      <c r="C14" s="227"/>
      <c r="D14" s="211"/>
      <c r="E14" s="212"/>
      <c r="F14" s="213"/>
    </row>
    <row r="15" spans="1:6" s="214" customFormat="1" hidden="1">
      <c r="A15" s="219"/>
      <c r="B15" s="217"/>
      <c r="C15" s="227"/>
      <c r="D15" s="211"/>
      <c r="E15" s="212"/>
      <c r="F15" s="213"/>
    </row>
    <row r="16" spans="1:6" s="214" customFormat="1" ht="15.75" customHeight="1">
      <c r="A16" s="219"/>
      <c r="B16" s="220"/>
      <c r="C16" s="227"/>
      <c r="D16" s="211"/>
      <c r="E16" s="212"/>
      <c r="F16" s="213"/>
    </row>
    <row r="17" spans="1:8" s="214" customFormat="1" ht="15" customHeight="1">
      <c r="A17" s="219"/>
      <c r="B17" s="220"/>
      <c r="C17" s="227"/>
      <c r="D17" s="211"/>
      <c r="E17" s="212"/>
      <c r="F17" s="213"/>
    </row>
    <row r="18" spans="1:8" s="214" customFormat="1">
      <c r="A18" s="219"/>
      <c r="B18" s="217"/>
      <c r="C18" s="227"/>
      <c r="D18" s="211"/>
      <c r="E18" s="212"/>
      <c r="F18" s="213"/>
    </row>
    <row r="19" spans="1:8" s="214" customFormat="1">
      <c r="A19" s="219"/>
      <c r="B19" s="217"/>
      <c r="C19" s="227"/>
      <c r="D19" s="211"/>
      <c r="E19" s="212"/>
      <c r="F19" s="213"/>
    </row>
    <row r="20" spans="1:8" s="214" customFormat="1">
      <c r="A20" s="219"/>
      <c r="B20" s="217"/>
      <c r="C20" s="227"/>
      <c r="D20" s="211"/>
      <c r="E20" s="212"/>
      <c r="F20" s="213"/>
    </row>
    <row r="21" spans="1:8" s="214" customFormat="1" ht="15.75" customHeight="1">
      <c r="A21" s="217"/>
      <c r="B21" s="220"/>
      <c r="C21" s="227"/>
      <c r="D21" s="211"/>
      <c r="E21" s="212"/>
      <c r="F21" s="213"/>
    </row>
    <row r="22" spans="1:8" s="214" customFormat="1">
      <c r="A22" s="219"/>
      <c r="B22" s="217"/>
      <c r="C22" s="227"/>
      <c r="D22" s="211"/>
      <c r="E22" s="212"/>
      <c r="F22" s="213"/>
    </row>
    <row r="23" spans="1:8" s="214" customFormat="1">
      <c r="A23" s="219"/>
      <c r="B23" s="221"/>
      <c r="C23" s="227"/>
      <c r="D23" s="211"/>
      <c r="E23" s="212"/>
      <c r="F23" s="213"/>
    </row>
    <row r="24" spans="1:8" s="214" customFormat="1">
      <c r="A24" s="219"/>
      <c r="B24" s="220"/>
      <c r="C24" s="227"/>
      <c r="D24" s="211"/>
      <c r="E24" s="212"/>
      <c r="F24" s="213"/>
    </row>
    <row r="25" spans="1:8" s="214" customFormat="1">
      <c r="A25" s="219"/>
      <c r="B25" s="220"/>
      <c r="C25" s="227"/>
      <c r="D25" s="211"/>
      <c r="E25" s="212"/>
      <c r="F25" s="213"/>
    </row>
    <row r="26" spans="1:8" s="214" customFormat="1">
      <c r="A26" s="219"/>
      <c r="B26" s="217"/>
      <c r="C26" s="227"/>
      <c r="D26" s="211"/>
      <c r="E26" s="212"/>
      <c r="F26" s="213"/>
    </row>
    <row r="27" spans="1:8" s="214" customFormat="1">
      <c r="A27" s="219"/>
      <c r="B27" s="220"/>
      <c r="C27" s="227"/>
      <c r="D27" s="211"/>
      <c r="E27" s="212"/>
      <c r="F27" s="213"/>
      <c r="G27" s="215"/>
    </row>
    <row r="28" spans="1:8" s="214" customFormat="1">
      <c r="A28" s="219"/>
      <c r="B28" s="220"/>
      <c r="C28" s="227"/>
      <c r="D28" s="211"/>
      <c r="E28" s="216">
        <f>SUM(E3:E27)</f>
        <v>0</v>
      </c>
      <c r="F28" s="213"/>
      <c r="H28" s="215"/>
    </row>
    <row r="29" spans="1:8" s="7" customFormat="1">
      <c r="A29" s="219"/>
      <c r="B29" s="220"/>
      <c r="C29" s="227"/>
    </row>
    <row r="30" spans="1:8" s="7" customFormat="1">
      <c r="A30" s="219"/>
      <c r="B30" s="220"/>
      <c r="C30" s="227"/>
    </row>
    <row r="31" spans="1:8" s="7" customFormat="1">
      <c r="A31" s="219"/>
      <c r="B31" s="220"/>
      <c r="C31" s="227"/>
    </row>
    <row r="32" spans="1:8" s="7" customFormat="1">
      <c r="A32" s="219"/>
      <c r="B32" s="220"/>
      <c r="C32" s="227"/>
    </row>
    <row r="33" spans="1:3" s="7" customFormat="1">
      <c r="A33" s="219"/>
      <c r="B33" s="220"/>
      <c r="C33" s="227"/>
    </row>
    <row r="34" spans="1:3" s="7" customFormat="1">
      <c r="A34" s="219"/>
      <c r="B34" s="220"/>
      <c r="C34" s="227"/>
    </row>
    <row r="35" spans="1:3" s="7" customFormat="1">
      <c r="A35" s="219"/>
      <c r="B35" s="220"/>
      <c r="C35" s="227"/>
    </row>
    <row r="36" spans="1:3">
      <c r="A36" s="219"/>
      <c r="B36" s="220"/>
      <c r="C36" s="227"/>
    </row>
    <row r="37" spans="1:3">
      <c r="A37" s="219"/>
      <c r="B37" s="217"/>
      <c r="C37" s="227"/>
    </row>
    <row r="38" spans="1:3">
      <c r="A38" s="217"/>
      <c r="B38" s="220"/>
      <c r="C38" s="227"/>
    </row>
    <row r="39" spans="1:3">
      <c r="A39" s="219"/>
      <c r="B39" s="217"/>
      <c r="C39" s="227"/>
    </row>
    <row r="40" spans="1:3">
      <c r="A40" s="219"/>
      <c r="B40" s="220"/>
      <c r="C40" s="227"/>
    </row>
    <row r="41" spans="1:3">
      <c r="A41" s="219"/>
      <c r="B41" s="217"/>
      <c r="C41" s="227"/>
    </row>
    <row r="42" spans="1:3">
      <c r="A42" s="219"/>
      <c r="B42" s="217"/>
      <c r="C42" s="227"/>
    </row>
    <row r="43" spans="1:3">
      <c r="A43" s="219"/>
      <c r="B43" s="217"/>
      <c r="C43" s="227"/>
    </row>
    <row r="44" spans="1:3">
      <c r="A44" s="219"/>
      <c r="B44" s="217"/>
      <c r="C44" s="227"/>
    </row>
    <row r="45" spans="1:3">
      <c r="A45" s="219"/>
      <c r="B45" s="217"/>
      <c r="C45" s="227"/>
    </row>
    <row r="46" spans="1:3">
      <c r="A46" s="219"/>
      <c r="B46" s="220"/>
      <c r="C46" s="227"/>
    </row>
    <row r="47" spans="1:3">
      <c r="A47" s="219"/>
      <c r="B47" s="217"/>
      <c r="C47" s="227"/>
    </row>
    <row r="48" spans="1:3">
      <c r="A48" s="219"/>
      <c r="B48" s="217"/>
      <c r="C48" s="227"/>
    </row>
    <row r="49" spans="1:3">
      <c r="A49" s="219"/>
      <c r="B49" s="220"/>
      <c r="C49" s="227"/>
    </row>
    <row r="50" spans="1:3">
      <c r="A50" s="219"/>
      <c r="B50" s="217"/>
      <c r="C50" s="227"/>
    </row>
    <row r="51" spans="1:3">
      <c r="A51" s="219"/>
      <c r="B51" s="217"/>
      <c r="C51" s="227"/>
    </row>
    <row r="52" spans="1:3">
      <c r="A52" s="219"/>
      <c r="B52" s="217"/>
      <c r="C52" s="227"/>
    </row>
    <row r="53" spans="1:3">
      <c r="A53" s="219"/>
      <c r="B53" s="217"/>
      <c r="C53" s="227"/>
    </row>
    <row r="54" spans="1:3">
      <c r="A54" s="219"/>
      <c r="B54" s="217"/>
      <c r="C54" s="227"/>
    </row>
    <row r="55" spans="1:3">
      <c r="A55" s="219"/>
      <c r="B55" s="217"/>
      <c r="C55" s="227"/>
    </row>
    <row r="56" spans="1:3">
      <c r="A56" s="219"/>
      <c r="B56" s="217"/>
      <c r="C56" s="227"/>
    </row>
    <row r="57" spans="1:3">
      <c r="A57" s="219"/>
      <c r="B57" s="217"/>
      <c r="C57" s="227"/>
    </row>
    <row r="58" spans="1:3">
      <c r="A58" s="219"/>
      <c r="B58" s="217"/>
      <c r="C58" s="227"/>
    </row>
    <row r="59" spans="1:3">
      <c r="A59" s="219"/>
      <c r="B59" s="217"/>
      <c r="C59" s="227"/>
    </row>
    <row r="60" spans="1:3">
      <c r="A60" s="219"/>
      <c r="B60" s="217"/>
      <c r="C60" s="227"/>
    </row>
    <row r="61" spans="1:3">
      <c r="A61" s="219"/>
      <c r="B61" s="217"/>
      <c r="C61" s="227"/>
    </row>
    <row r="62" spans="1:3">
      <c r="A62" s="219"/>
      <c r="B62" s="217"/>
      <c r="C62" s="227"/>
    </row>
    <row r="63" spans="1:3">
      <c r="A63" s="219"/>
      <c r="B63" s="217"/>
      <c r="C63" s="227"/>
    </row>
    <row r="64" spans="1:3">
      <c r="A64" s="219"/>
      <c r="B64" s="220"/>
      <c r="C64" s="227"/>
    </row>
    <row r="65" spans="1:3">
      <c r="A65" s="219"/>
      <c r="B65" s="217"/>
      <c r="C65" s="227"/>
    </row>
    <row r="66" spans="1:3">
      <c r="A66" s="219"/>
      <c r="B66" s="217"/>
      <c r="C66" s="227"/>
    </row>
    <row r="67" spans="1:3">
      <c r="A67" s="219"/>
      <c r="B67" s="220"/>
      <c r="C67" s="227"/>
    </row>
    <row r="68" spans="1:3">
      <c r="A68" s="219"/>
      <c r="B68" s="217"/>
      <c r="C68" s="227"/>
    </row>
    <row r="69" spans="1:3">
      <c r="A69" s="219"/>
      <c r="B69" s="217"/>
      <c r="C69" s="227"/>
    </row>
    <row r="70" spans="1:3">
      <c r="A70" s="219"/>
      <c r="B70" s="217"/>
      <c r="C70" s="227"/>
    </row>
    <row r="71" spans="1:3">
      <c r="A71" s="219"/>
      <c r="B71" s="217"/>
      <c r="C71" s="227"/>
    </row>
    <row r="72" spans="1:3">
      <c r="A72" s="219"/>
      <c r="B72" s="220"/>
      <c r="C72" s="227"/>
    </row>
    <row r="73" spans="1:3">
      <c r="A73" s="219"/>
      <c r="B73" s="217"/>
      <c r="C73" s="227"/>
    </row>
    <row r="74" spans="1:3">
      <c r="A74" s="219"/>
      <c r="B74" s="220"/>
      <c r="C74" s="227"/>
    </row>
    <row r="75" spans="1:3">
      <c r="A75" s="219"/>
      <c r="B75" s="217"/>
      <c r="C75" s="227"/>
    </row>
    <row r="76" spans="1:3">
      <c r="A76" s="219"/>
      <c r="B76" s="220"/>
      <c r="C76" s="227"/>
    </row>
    <row r="77" spans="1:3">
      <c r="A77" s="219"/>
      <c r="B77" s="220"/>
      <c r="C77" s="227"/>
    </row>
    <row r="78" spans="1:3">
      <c r="A78" s="219"/>
      <c r="B78" s="220"/>
      <c r="C78" s="227"/>
    </row>
    <row r="79" spans="1:3">
      <c r="A79" s="219"/>
      <c r="B79" s="217"/>
      <c r="C79" s="227"/>
    </row>
    <row r="80" spans="1:3">
      <c r="A80" s="219"/>
      <c r="B80" s="220"/>
      <c r="C80" s="227"/>
    </row>
    <row r="81" spans="1:3">
      <c r="A81" s="219"/>
      <c r="B81" s="220"/>
      <c r="C81" s="227"/>
    </row>
    <row r="82" spans="1:3">
      <c r="A82" s="219"/>
      <c r="B82" s="217"/>
      <c r="C82" s="227"/>
    </row>
    <row r="83" spans="1:3">
      <c r="A83" s="219"/>
      <c r="B83" s="217"/>
      <c r="C83" s="227"/>
    </row>
    <row r="84" spans="1:3">
      <c r="A84" s="219"/>
      <c r="B84" s="217"/>
      <c r="C84" s="227"/>
    </row>
    <row r="85" spans="1:3">
      <c r="A85" s="219"/>
      <c r="B85" s="220"/>
      <c r="C85" s="227"/>
    </row>
    <row r="86" spans="1:3">
      <c r="A86" s="219"/>
      <c r="B86" s="217"/>
      <c r="C86" s="227"/>
    </row>
    <row r="87" spans="1:3">
      <c r="A87" s="219"/>
      <c r="B87" s="220"/>
      <c r="C87" s="227"/>
    </row>
    <row r="88" spans="1:3">
      <c r="A88" s="219"/>
      <c r="B88" s="220"/>
      <c r="C88" s="227"/>
    </row>
    <row r="89" spans="1:3">
      <c r="A89" s="219"/>
      <c r="B89" s="220"/>
      <c r="C89" s="227"/>
    </row>
    <row r="90" spans="1:3">
      <c r="A90" s="219"/>
      <c r="B90" s="220"/>
      <c r="C90" s="227"/>
    </row>
    <row r="91" spans="1:3">
      <c r="A91" s="219"/>
      <c r="B91" s="217"/>
      <c r="C91" s="227"/>
    </row>
    <row r="92" spans="1:3">
      <c r="A92" s="219"/>
      <c r="B92" s="217"/>
      <c r="C92" s="227"/>
    </row>
    <row r="93" spans="1:3">
      <c r="A93" s="219"/>
      <c r="B93" s="217"/>
      <c r="C93" s="227"/>
    </row>
    <row r="94" spans="1:3">
      <c r="A94" s="219"/>
      <c r="B94" s="217"/>
      <c r="C94" s="227"/>
    </row>
    <row r="95" spans="1:3">
      <c r="A95" s="219"/>
      <c r="B95" s="217"/>
      <c r="C95" s="227"/>
    </row>
    <row r="96" spans="1:3">
      <c r="A96" s="219"/>
      <c r="B96" s="217"/>
      <c r="C96" s="227"/>
    </row>
    <row r="97" spans="1:3">
      <c r="A97" s="219"/>
      <c r="B97" s="220"/>
      <c r="C97" s="227"/>
    </row>
    <row r="98" spans="1:3">
      <c r="A98" s="219"/>
      <c r="B98" s="220"/>
      <c r="C98" s="227"/>
    </row>
    <row r="99" spans="1:3">
      <c r="A99" s="219"/>
      <c r="B99" s="220"/>
      <c r="C99" s="227"/>
    </row>
    <row r="100" spans="1:3">
      <c r="A100" s="219"/>
      <c r="B100" s="217"/>
      <c r="C100" s="227"/>
    </row>
    <row r="101" spans="1:3">
      <c r="A101" s="219"/>
      <c r="B101" s="217"/>
      <c r="C101" s="227"/>
    </row>
    <row r="102" spans="1:3">
      <c r="A102" s="219"/>
      <c r="B102" s="217"/>
      <c r="C102" s="227"/>
    </row>
    <row r="103" spans="1:3">
      <c r="A103" s="219"/>
      <c r="B103" s="217"/>
      <c r="C103" s="227"/>
    </row>
    <row r="104" spans="1:3">
      <c r="A104" s="219"/>
      <c r="B104" s="217"/>
      <c r="C104" s="227"/>
    </row>
    <row r="105" spans="1:3">
      <c r="A105" s="219"/>
      <c r="B105" s="220"/>
      <c r="C105" s="227"/>
    </row>
    <row r="106" spans="1:3">
      <c r="A106" s="219"/>
      <c r="B106" s="217"/>
      <c r="C106" s="227"/>
    </row>
    <row r="107" spans="1:3">
      <c r="A107" s="219"/>
      <c r="B107" s="220"/>
      <c r="C107" s="227"/>
    </row>
    <row r="108" spans="1:3">
      <c r="A108" s="219"/>
      <c r="B108" s="217"/>
      <c r="C108" s="227"/>
    </row>
    <row r="109" spans="1:3">
      <c r="A109" s="219"/>
      <c r="B109" s="220"/>
      <c r="C109" s="227"/>
    </row>
    <row r="110" spans="1:3">
      <c r="A110" s="219"/>
      <c r="B110" s="217"/>
      <c r="C110" s="227"/>
    </row>
    <row r="111" spans="1:3">
      <c r="A111" s="219"/>
      <c r="B111" s="217"/>
      <c r="C111" s="227"/>
    </row>
    <row r="112" spans="1:3">
      <c r="A112" s="219"/>
      <c r="B112" s="217"/>
      <c r="C112" s="227"/>
    </row>
    <row r="113" spans="1:3">
      <c r="A113" s="219"/>
      <c r="B113" s="217"/>
      <c r="C113" s="227"/>
    </row>
    <row r="114" spans="1:3">
      <c r="A114" s="219"/>
      <c r="B114" s="217"/>
      <c r="C114" s="227"/>
    </row>
    <row r="115" spans="1:3">
      <c r="A115" s="219"/>
      <c r="B115" s="217"/>
      <c r="C115" s="227"/>
    </row>
    <row r="116" spans="1:3">
      <c r="A116" s="219"/>
      <c r="B116" s="217"/>
      <c r="C116" s="227"/>
    </row>
    <row r="117" spans="1:3">
      <c r="A117" s="219"/>
      <c r="B117" s="217"/>
      <c r="C117" s="227"/>
    </row>
    <row r="118" spans="1:3">
      <c r="A118" s="219"/>
      <c r="B118" s="217"/>
      <c r="C118" s="227"/>
    </row>
    <row r="119" spans="1:3">
      <c r="A119" s="219"/>
      <c r="B119" s="217"/>
      <c r="C119" s="227"/>
    </row>
    <row r="120" spans="1:3">
      <c r="A120" s="219"/>
      <c r="B120" s="217"/>
      <c r="C120" s="227"/>
    </row>
    <row r="121" spans="1:3">
      <c r="A121" s="219"/>
      <c r="B121" s="217"/>
      <c r="C121" s="227"/>
    </row>
    <row r="122" spans="1:3">
      <c r="A122" s="219"/>
      <c r="B122" s="217"/>
      <c r="C122" s="227"/>
    </row>
    <row r="123" spans="1:3">
      <c r="A123" s="219"/>
      <c r="B123" s="220"/>
      <c r="C123" s="227"/>
    </row>
    <row r="124" spans="1:3">
      <c r="A124" s="219"/>
      <c r="B124" s="217"/>
      <c r="C124" s="227"/>
    </row>
    <row r="125" spans="1:3">
      <c r="A125" s="219"/>
      <c r="B125" s="220"/>
      <c r="C125" s="227"/>
    </row>
    <row r="126" spans="1:3">
      <c r="A126" s="219"/>
      <c r="B126" s="217"/>
      <c r="C126" s="227"/>
    </row>
    <row r="127" spans="1:3">
      <c r="A127" s="219"/>
      <c r="B127" s="217"/>
      <c r="C127" s="227"/>
    </row>
    <row r="128" spans="1:3">
      <c r="A128" s="219"/>
      <c r="B128" s="217"/>
      <c r="C128" s="227"/>
    </row>
    <row r="129" spans="1:3">
      <c r="A129" s="219"/>
      <c r="B129" s="220"/>
      <c r="C129" s="227"/>
    </row>
    <row r="130" spans="1:3">
      <c r="A130" s="219"/>
      <c r="B130" s="217"/>
      <c r="C130" s="227"/>
    </row>
    <row r="131" spans="1:3">
      <c r="A131" s="219"/>
      <c r="B131" s="220"/>
      <c r="C131" s="227"/>
    </row>
    <row r="132" spans="1:3">
      <c r="A132" s="219"/>
      <c r="B132" s="217"/>
      <c r="C132" s="227"/>
    </row>
    <row r="133" spans="1:3">
      <c r="A133" s="219"/>
      <c r="B133" s="220"/>
      <c r="C133" s="227"/>
    </row>
    <row r="134" spans="1:3">
      <c r="A134" s="219"/>
      <c r="B134" s="220"/>
      <c r="C134" s="227"/>
    </row>
    <row r="135" spans="1:3">
      <c r="A135" s="219"/>
      <c r="B135" s="220"/>
      <c r="C135" s="227"/>
    </row>
    <row r="136" spans="1:3">
      <c r="A136" s="219"/>
      <c r="B136" s="217"/>
      <c r="C136" s="227"/>
    </row>
    <row r="137" spans="1:3">
      <c r="A137" s="219"/>
      <c r="B137" s="217"/>
      <c r="C137" s="227"/>
    </row>
    <row r="138" spans="1:3">
      <c r="A138" s="219"/>
      <c r="B138" s="220"/>
      <c r="C138" s="227"/>
    </row>
    <row r="139" spans="1:3">
      <c r="A139" s="219"/>
      <c r="B139" s="217"/>
      <c r="C139" s="227"/>
    </row>
    <row r="140" spans="1:3">
      <c r="A140" s="219"/>
      <c r="B140" s="217"/>
      <c r="C140" s="227"/>
    </row>
    <row r="141" spans="1:3">
      <c r="A141" s="219"/>
      <c r="B141" s="217"/>
      <c r="C141" s="227"/>
    </row>
    <row r="142" spans="1:3">
      <c r="A142" s="219"/>
      <c r="B142" s="217"/>
      <c r="C142" s="227"/>
    </row>
    <row r="143" spans="1:3">
      <c r="A143" s="219"/>
      <c r="B143" s="217"/>
      <c r="C143" s="227"/>
    </row>
    <row r="144" spans="1:3">
      <c r="A144" s="219"/>
      <c r="B144" s="220"/>
      <c r="C144" s="227"/>
    </row>
    <row r="145" spans="1:3">
      <c r="A145" s="219"/>
      <c r="B145" s="220"/>
      <c r="C145" s="227"/>
    </row>
    <row r="146" spans="1:3">
      <c r="A146" s="219"/>
      <c r="B146" s="217"/>
      <c r="C146" s="227"/>
    </row>
    <row r="147" spans="1:3">
      <c r="A147" s="219"/>
      <c r="B147" s="220"/>
      <c r="C147" s="227"/>
    </row>
    <row r="148" spans="1:3">
      <c r="A148" s="219"/>
      <c r="B148" s="220"/>
      <c r="C148" s="227"/>
    </row>
    <row r="149" spans="1:3">
      <c r="A149" s="219"/>
      <c r="B149" s="220"/>
      <c r="C149" s="227"/>
    </row>
    <row r="150" spans="1:3">
      <c r="A150" s="219"/>
      <c r="B150" s="220"/>
      <c r="C150" s="227"/>
    </row>
    <row r="151" spans="1:3">
      <c r="A151" s="219"/>
      <c r="B151" s="220"/>
      <c r="C151" s="227"/>
    </row>
    <row r="152" spans="1:3">
      <c r="A152" s="219"/>
      <c r="B152" s="217"/>
      <c r="C152" s="227"/>
    </row>
    <row r="153" spans="1:3">
      <c r="A153" s="219"/>
      <c r="B153" s="220"/>
      <c r="C153" s="227"/>
    </row>
    <row r="154" spans="1:3">
      <c r="A154" s="219"/>
      <c r="B154" s="217"/>
      <c r="C154" s="227"/>
    </row>
    <row r="155" spans="1:3">
      <c r="A155" s="219"/>
      <c r="B155" s="217"/>
      <c r="C155" s="227"/>
    </row>
    <row r="156" spans="1:3">
      <c r="A156" s="223"/>
      <c r="B156" s="220"/>
      <c r="C156" s="227"/>
    </row>
    <row r="157" spans="1:3">
      <c r="A157" s="219"/>
      <c r="B157" s="224"/>
      <c r="C157" s="227"/>
    </row>
    <row r="158" spans="1:3">
      <c r="A158" s="219"/>
      <c r="B158" s="217"/>
      <c r="C158" s="227"/>
    </row>
    <row r="159" spans="1:3">
      <c r="A159" s="219"/>
      <c r="B159" s="217"/>
      <c r="C159" s="227"/>
    </row>
    <row r="160" spans="1:3">
      <c r="A160" s="219"/>
      <c r="B160" s="217"/>
      <c r="C160" s="227"/>
    </row>
    <row r="161" spans="1:3">
      <c r="A161" s="219"/>
      <c r="B161" s="220"/>
      <c r="C161" s="227"/>
    </row>
    <row r="162" spans="1:3">
      <c r="A162" s="219"/>
      <c r="B162" s="217"/>
      <c r="C162" s="227"/>
    </row>
    <row r="163" spans="1:3">
      <c r="A163" s="219"/>
      <c r="B163" s="220"/>
      <c r="C163" s="227"/>
    </row>
    <row r="164" spans="1:3">
      <c r="A164" s="219"/>
      <c r="B164" s="217"/>
      <c r="C164" s="227"/>
    </row>
    <row r="165" spans="1:3">
      <c r="A165" s="219"/>
      <c r="B165" s="220"/>
      <c r="C165" s="227"/>
    </row>
    <row r="166" spans="1:3">
      <c r="A166" s="219"/>
      <c r="B166" s="220"/>
      <c r="C166" s="227"/>
    </row>
    <row r="167" spans="1:3">
      <c r="A167" s="219"/>
      <c r="B167" s="220"/>
      <c r="C167" s="227"/>
    </row>
    <row r="168" spans="1:3">
      <c r="A168" s="219"/>
      <c r="B168" s="220"/>
      <c r="C168" s="227"/>
    </row>
    <row r="169" spans="1:3">
      <c r="A169" s="219"/>
      <c r="B169" s="217"/>
      <c r="C169" s="227"/>
    </row>
    <row r="170" spans="1:3">
      <c r="A170" s="219"/>
      <c r="B170" s="217"/>
      <c r="C170" s="227"/>
    </row>
    <row r="171" spans="1:3">
      <c r="A171" s="219"/>
      <c r="B171" s="217"/>
      <c r="C171" s="227"/>
    </row>
    <row r="172" spans="1:3">
      <c r="A172" s="219"/>
      <c r="B172" s="217"/>
      <c r="C172" s="227"/>
    </row>
    <row r="173" spans="1:3">
      <c r="A173" s="219"/>
      <c r="B173" s="217"/>
      <c r="C173" s="227"/>
    </row>
    <row r="174" spans="1:3">
      <c r="A174" s="219"/>
      <c r="B174" s="217"/>
      <c r="C174" s="227"/>
    </row>
    <row r="175" spans="1:3">
      <c r="A175" s="219"/>
      <c r="B175" s="217"/>
      <c r="C175" s="227"/>
    </row>
    <row r="176" spans="1:3">
      <c r="A176" s="219"/>
      <c r="B176" s="217"/>
      <c r="C176" s="227"/>
    </row>
    <row r="177" spans="1:3">
      <c r="A177" s="219"/>
      <c r="B177" s="217"/>
      <c r="C177" s="227"/>
    </row>
    <row r="178" spans="1:3">
      <c r="A178" s="219"/>
      <c r="B178" s="220"/>
      <c r="C178" s="227"/>
    </row>
    <row r="179" spans="1:3">
      <c r="A179" s="219"/>
      <c r="B179" s="217"/>
      <c r="C179" s="227"/>
    </row>
    <row r="180" spans="1:3">
      <c r="A180" s="219"/>
      <c r="B180" s="220"/>
      <c r="C180" s="227"/>
    </row>
    <row r="181" spans="1:3">
      <c r="A181" s="219"/>
      <c r="B181" s="220"/>
      <c r="C181" s="227"/>
    </row>
    <row r="182" spans="1:3">
      <c r="A182" s="219"/>
      <c r="B182" s="220"/>
      <c r="C182" s="227"/>
    </row>
    <row r="183" spans="1:3">
      <c r="A183" s="219"/>
      <c r="B183" s="220"/>
      <c r="C183" s="227"/>
    </row>
    <row r="184" spans="1:3">
      <c r="A184" s="219"/>
      <c r="B184" s="220"/>
      <c r="C184" s="227"/>
    </row>
    <row r="185" spans="1:3">
      <c r="A185" s="219"/>
      <c r="B185" s="220"/>
      <c r="C185" s="227"/>
    </row>
    <row r="186" spans="1:3">
      <c r="A186" s="219"/>
      <c r="B186" s="220"/>
      <c r="C186" s="227"/>
    </row>
    <row r="187" spans="1:3">
      <c r="A187" s="219"/>
      <c r="B187" s="217"/>
      <c r="C187" s="227"/>
    </row>
    <row r="188" spans="1:3">
      <c r="A188" s="219"/>
      <c r="B188" s="217"/>
      <c r="C188" s="227"/>
    </row>
    <row r="189" spans="1:3">
      <c r="A189" s="219"/>
      <c r="B189" s="220"/>
      <c r="C189" s="227"/>
    </row>
    <row r="190" spans="1:3">
      <c r="A190" s="219"/>
      <c r="B190" s="220"/>
      <c r="C190" s="227"/>
    </row>
    <row r="191" spans="1:3">
      <c r="A191" s="219"/>
      <c r="B191" s="217"/>
      <c r="C191" s="227"/>
    </row>
    <row r="192" spans="1:3">
      <c r="A192" s="219"/>
      <c r="B192" s="222"/>
      <c r="C192" s="227"/>
    </row>
    <row r="193" spans="1:3">
      <c r="A193" s="219"/>
      <c r="B193" s="220"/>
      <c r="C193" s="227"/>
    </row>
    <row r="194" spans="1:3">
      <c r="A194" s="219"/>
      <c r="B194" s="217"/>
      <c r="C194" s="227"/>
    </row>
    <row r="195" spans="1:3">
      <c r="A195" s="219"/>
      <c r="B195" s="217"/>
      <c r="C195" s="227"/>
    </row>
    <row r="196" spans="1:3">
      <c r="A196" s="219"/>
      <c r="B196" s="217"/>
      <c r="C196" s="227"/>
    </row>
    <row r="197" spans="1:3">
      <c r="A197" s="219"/>
      <c r="B197" s="217"/>
      <c r="C197" s="227"/>
    </row>
    <row r="198" spans="1:3">
      <c r="A198" s="219"/>
      <c r="B198" s="217"/>
      <c r="C198" s="227"/>
    </row>
    <row r="199" spans="1:3">
      <c r="A199" s="219"/>
      <c r="B199" s="217"/>
      <c r="C199" s="227"/>
    </row>
    <row r="200" spans="1:3">
      <c r="A200" s="219"/>
      <c r="B200" s="217"/>
      <c r="C200" s="227"/>
    </row>
    <row r="201" spans="1:3">
      <c r="A201" s="219"/>
      <c r="B201" s="217"/>
      <c r="C201" s="227"/>
    </row>
    <row r="202" spans="1:3">
      <c r="A202" s="219"/>
      <c r="B202" s="220"/>
      <c r="C202" s="227"/>
    </row>
    <row r="203" spans="1:3">
      <c r="A203" s="219"/>
      <c r="B203" s="217"/>
      <c r="C203" s="227"/>
    </row>
    <row r="204" spans="1:3">
      <c r="A204" s="219"/>
      <c r="B204" s="217"/>
      <c r="C204" s="227"/>
    </row>
    <row r="205" spans="1:3">
      <c r="A205" s="219"/>
      <c r="B205" s="217"/>
      <c r="C205" s="227"/>
    </row>
    <row r="206" spans="1:3">
      <c r="A206" s="219"/>
      <c r="B206" s="217"/>
      <c r="C206" s="227"/>
    </row>
    <row r="207" spans="1:3">
      <c r="A207" s="219"/>
      <c r="B207" s="220"/>
      <c r="C207" s="227"/>
    </row>
    <row r="208" spans="1:3">
      <c r="A208" s="219"/>
      <c r="B208" s="220"/>
      <c r="C208" s="227"/>
    </row>
    <row r="209" spans="1:3">
      <c r="A209" s="219"/>
      <c r="B209" s="217"/>
      <c r="C209" s="227"/>
    </row>
    <row r="210" spans="1:3">
      <c r="A210" s="219"/>
      <c r="B210" s="220"/>
      <c r="C210" s="227"/>
    </row>
    <row r="211" spans="1:3">
      <c r="A211" s="219"/>
      <c r="B211" s="220"/>
      <c r="C211" s="227"/>
    </row>
    <row r="212" spans="1:3">
      <c r="A212" s="219"/>
      <c r="B212" s="220"/>
      <c r="C212" s="227"/>
    </row>
    <row r="213" spans="1:3">
      <c r="A213" s="219"/>
      <c r="B213" s="220"/>
      <c r="C213" s="227"/>
    </row>
    <row r="214" spans="1:3">
      <c r="A214" s="219"/>
      <c r="B214" s="220"/>
      <c r="C214" s="227"/>
    </row>
    <row r="215" spans="1:3">
      <c r="A215" s="219"/>
      <c r="B215" s="220"/>
      <c r="C215" s="227"/>
    </row>
    <row r="216" spans="1:3">
      <c r="A216" s="219"/>
      <c r="B216" s="220"/>
      <c r="C216" s="227"/>
    </row>
    <row r="217" spans="1:3">
      <c r="A217" s="219"/>
      <c r="B217" s="217"/>
      <c r="C217" s="227"/>
    </row>
    <row r="218" spans="1:3">
      <c r="A218" s="219"/>
      <c r="B218" s="217"/>
      <c r="C218" s="227"/>
    </row>
    <row r="219" spans="1:3">
      <c r="A219" s="219"/>
      <c r="B219" s="217"/>
      <c r="C219" s="227"/>
    </row>
    <row r="220" spans="1:3">
      <c r="A220" s="219"/>
      <c r="B220" s="220"/>
      <c r="C220" s="227"/>
    </row>
    <row r="221" spans="1:3">
      <c r="A221" s="219"/>
      <c r="B221" s="217"/>
      <c r="C221" s="227"/>
    </row>
    <row r="222" spans="1:3">
      <c r="A222" s="219"/>
      <c r="B222" s="220"/>
      <c r="C222" s="227"/>
    </row>
    <row r="223" spans="1:3">
      <c r="A223" s="219"/>
      <c r="B223" s="220"/>
      <c r="C223" s="227"/>
    </row>
    <row r="224" spans="1:3">
      <c r="A224" s="219"/>
      <c r="B224" s="220"/>
      <c r="C224" s="227"/>
    </row>
    <row r="225" spans="1:3">
      <c r="A225" s="219"/>
      <c r="B225" s="217"/>
      <c r="C225" s="227"/>
    </row>
    <row r="226" spans="1:3">
      <c r="A226" s="219"/>
      <c r="B226" s="217"/>
      <c r="C226" s="227"/>
    </row>
    <row r="227" spans="1:3">
      <c r="A227" s="219"/>
      <c r="B227" s="217"/>
      <c r="C227" s="227"/>
    </row>
    <row r="228" spans="1:3">
      <c r="A228" s="219"/>
      <c r="B228" s="217"/>
      <c r="C228" s="227"/>
    </row>
    <row r="229" spans="1:3">
      <c r="B229" s="220"/>
      <c r="C229" s="227"/>
    </row>
  </sheetData>
  <autoFilter ref="A2:L2"/>
  <dataValidations count="1">
    <dataValidation type="list" allowBlank="1" showInputMessage="1" showErrorMessage="1" sqref="A4:A1048576">
      <formula1>направления</formula1>
    </dataValidation>
  </dataValidations>
  <pageMargins left="0.7" right="0.7" top="0.75" bottom="0.75" header="0.3" footer="0.3"/>
  <pageSetup paperSize="9" scale="8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/>
  <dimension ref="A1:G229"/>
  <sheetViews>
    <sheetView zoomScale="85" zoomScaleNormal="85" workbookViewId="0">
      <pane ySplit="1" topLeftCell="A2" activePane="bottomLeft" state="frozen"/>
      <selection activeCell="B10" sqref="B10"/>
      <selection pane="bottomLeft" activeCell="B10" sqref="B10"/>
    </sheetView>
  </sheetViews>
  <sheetFormatPr defaultColWidth="8.7109375" defaultRowHeight="15"/>
  <cols>
    <col min="1" max="1" width="11.7109375" style="218" customWidth="1"/>
    <col min="2" max="2" width="26.140625" style="218" customWidth="1"/>
    <col min="3" max="3" width="9.140625" style="229" customWidth="1"/>
    <col min="4" max="16384" width="8.7109375" style="218"/>
  </cols>
  <sheetData>
    <row r="1" spans="1:7">
      <c r="A1" s="217"/>
      <c r="B1" s="217"/>
      <c r="C1" s="225"/>
    </row>
    <row r="2" spans="1:7">
      <c r="A2" s="217" t="s">
        <v>151</v>
      </c>
      <c r="B2" s="217" t="s">
        <v>145</v>
      </c>
      <c r="C2" s="227" t="s">
        <v>149</v>
      </c>
    </row>
    <row r="3" spans="1:7" s="226" customFormat="1">
      <c r="A3" s="230" t="s">
        <v>150</v>
      </c>
      <c r="B3" s="231"/>
      <c r="C3" s="231">
        <f>SUM(C4:C1048576)</f>
        <v>221998</v>
      </c>
    </row>
    <row r="4" spans="1:7">
      <c r="A4" s="219" t="s">
        <v>19</v>
      </c>
      <c r="B4" s="220" t="s">
        <v>153</v>
      </c>
      <c r="C4" s="228">
        <v>34325</v>
      </c>
    </row>
    <row r="5" spans="1:7">
      <c r="A5" s="219" t="s">
        <v>19</v>
      </c>
      <c r="B5" s="220" t="s">
        <v>154</v>
      </c>
      <c r="C5" s="228">
        <v>18600</v>
      </c>
    </row>
    <row r="6" spans="1:7">
      <c r="A6" s="219" t="s">
        <v>19</v>
      </c>
      <c r="B6" s="217" t="s">
        <v>155</v>
      </c>
      <c r="C6" s="228">
        <v>21400</v>
      </c>
    </row>
    <row r="7" spans="1:7">
      <c r="A7" s="219" t="s">
        <v>19</v>
      </c>
      <c r="B7" s="220" t="s">
        <v>156</v>
      </c>
      <c r="C7" s="228">
        <v>30673</v>
      </c>
    </row>
    <row r="8" spans="1:7">
      <c r="A8" s="219" t="s">
        <v>19</v>
      </c>
      <c r="B8" s="220" t="s">
        <v>157</v>
      </c>
      <c r="C8" s="228">
        <v>9800</v>
      </c>
    </row>
    <row r="9" spans="1:7">
      <c r="A9" s="219" t="s">
        <v>19</v>
      </c>
      <c r="B9" s="220" t="s">
        <v>158</v>
      </c>
      <c r="C9" s="228">
        <v>1400</v>
      </c>
    </row>
    <row r="10" spans="1:7">
      <c r="A10" s="219" t="s">
        <v>19</v>
      </c>
      <c r="B10" s="217" t="s">
        <v>159</v>
      </c>
      <c r="C10" s="228">
        <v>4200</v>
      </c>
    </row>
    <row r="11" spans="1:7">
      <c r="A11" s="219"/>
      <c r="B11" s="217"/>
      <c r="C11" s="227"/>
      <c r="F11" s="218" t="s">
        <v>165</v>
      </c>
    </row>
    <row r="12" spans="1:7">
      <c r="A12" s="219" t="s">
        <v>166</v>
      </c>
      <c r="B12" s="217" t="s">
        <v>160</v>
      </c>
      <c r="C12" s="228">
        <v>94850</v>
      </c>
      <c r="F12" s="218" t="s">
        <v>162</v>
      </c>
      <c r="G12" s="218">
        <v>4600</v>
      </c>
    </row>
    <row r="13" spans="1:7">
      <c r="A13" s="219" t="s">
        <v>166</v>
      </c>
      <c r="B13" s="220" t="s">
        <v>161</v>
      </c>
      <c r="C13" s="228">
        <v>6750</v>
      </c>
      <c r="F13" s="218" t="s">
        <v>163</v>
      </c>
      <c r="G13" s="218">
        <v>47200</v>
      </c>
    </row>
    <row r="14" spans="1:7">
      <c r="A14" s="219"/>
      <c r="B14" s="220"/>
      <c r="C14" s="227"/>
      <c r="F14" s="218" t="s">
        <v>164</v>
      </c>
      <c r="G14" s="218">
        <v>317615</v>
      </c>
    </row>
    <row r="15" spans="1:7">
      <c r="A15" s="219"/>
      <c r="B15" s="217"/>
      <c r="C15" s="227"/>
    </row>
    <row r="16" spans="1:7">
      <c r="A16" s="219"/>
      <c r="B16" s="220"/>
      <c r="C16" s="227"/>
    </row>
    <row r="17" spans="1:3">
      <c r="A17" s="219"/>
      <c r="B17" s="220"/>
      <c r="C17" s="227"/>
    </row>
    <row r="18" spans="1:3">
      <c r="A18" s="219"/>
      <c r="B18" s="217"/>
      <c r="C18" s="227"/>
    </row>
    <row r="19" spans="1:3">
      <c r="A19" s="219"/>
      <c r="B19" s="217"/>
      <c r="C19" s="227"/>
    </row>
    <row r="20" spans="1:3">
      <c r="A20" s="219"/>
      <c r="B20" s="217"/>
      <c r="C20" s="227"/>
    </row>
    <row r="21" spans="1:3">
      <c r="A21" s="217"/>
      <c r="B21" s="220"/>
      <c r="C21" s="227"/>
    </row>
    <row r="22" spans="1:3">
      <c r="A22" s="219"/>
      <c r="B22" s="217"/>
      <c r="C22" s="227"/>
    </row>
    <row r="23" spans="1:3">
      <c r="A23" s="219"/>
      <c r="B23" s="221"/>
      <c r="C23" s="227"/>
    </row>
    <row r="24" spans="1:3">
      <c r="A24" s="219"/>
      <c r="B24" s="220"/>
      <c r="C24" s="227"/>
    </row>
    <row r="25" spans="1:3">
      <c r="A25" s="219"/>
      <c r="B25" s="220"/>
      <c r="C25" s="227"/>
    </row>
    <row r="26" spans="1:3">
      <c r="A26" s="219"/>
      <c r="B26" s="217"/>
      <c r="C26" s="227"/>
    </row>
    <row r="27" spans="1:3">
      <c r="A27" s="219"/>
      <c r="B27" s="220"/>
      <c r="C27" s="227"/>
    </row>
    <row r="28" spans="1:3">
      <c r="A28" s="219"/>
      <c r="B28" s="220"/>
      <c r="C28" s="227"/>
    </row>
    <row r="29" spans="1:3">
      <c r="A29" s="219"/>
      <c r="B29" s="220"/>
      <c r="C29" s="227"/>
    </row>
    <row r="30" spans="1:3">
      <c r="A30" s="219"/>
      <c r="B30" s="220"/>
      <c r="C30" s="227"/>
    </row>
    <row r="31" spans="1:3">
      <c r="A31" s="219"/>
      <c r="B31" s="220"/>
      <c r="C31" s="227"/>
    </row>
    <row r="32" spans="1:3">
      <c r="A32" s="219"/>
      <c r="B32" s="220"/>
      <c r="C32" s="227"/>
    </row>
    <row r="33" spans="1:3">
      <c r="A33" s="219"/>
      <c r="B33" s="220"/>
      <c r="C33" s="227"/>
    </row>
    <row r="34" spans="1:3">
      <c r="A34" s="219"/>
      <c r="B34" s="220"/>
      <c r="C34" s="227"/>
    </row>
    <row r="35" spans="1:3">
      <c r="A35" s="219"/>
      <c r="B35" s="220"/>
      <c r="C35" s="227"/>
    </row>
    <row r="36" spans="1:3">
      <c r="A36" s="219"/>
      <c r="B36" s="220"/>
      <c r="C36" s="227"/>
    </row>
    <row r="37" spans="1:3">
      <c r="A37" s="219"/>
      <c r="B37" s="217"/>
      <c r="C37" s="227"/>
    </row>
    <row r="38" spans="1:3">
      <c r="A38" s="217"/>
      <c r="B38" s="220"/>
      <c r="C38" s="227"/>
    </row>
    <row r="39" spans="1:3">
      <c r="A39" s="219"/>
      <c r="B39" s="217"/>
      <c r="C39" s="227"/>
    </row>
    <row r="40" spans="1:3">
      <c r="A40" s="219"/>
      <c r="B40" s="220"/>
      <c r="C40" s="227"/>
    </row>
    <row r="41" spans="1:3">
      <c r="A41" s="219"/>
      <c r="B41" s="217"/>
      <c r="C41" s="227"/>
    </row>
    <row r="42" spans="1:3">
      <c r="A42" s="219"/>
      <c r="B42" s="217"/>
      <c r="C42" s="227"/>
    </row>
    <row r="43" spans="1:3">
      <c r="A43" s="219"/>
      <c r="B43" s="217"/>
      <c r="C43" s="227"/>
    </row>
    <row r="44" spans="1:3">
      <c r="A44" s="219"/>
      <c r="B44" s="217"/>
      <c r="C44" s="227"/>
    </row>
    <row r="45" spans="1:3">
      <c r="A45" s="219"/>
      <c r="B45" s="217"/>
      <c r="C45" s="227"/>
    </row>
    <row r="46" spans="1:3">
      <c r="A46" s="219"/>
      <c r="B46" s="220"/>
      <c r="C46" s="227"/>
    </row>
    <row r="47" spans="1:3">
      <c r="A47" s="219"/>
      <c r="B47" s="217"/>
      <c r="C47" s="227"/>
    </row>
    <row r="48" spans="1:3">
      <c r="A48" s="219"/>
      <c r="B48" s="217"/>
      <c r="C48" s="227"/>
    </row>
    <row r="49" spans="1:3">
      <c r="A49" s="219"/>
      <c r="B49" s="220"/>
      <c r="C49" s="227"/>
    </row>
    <row r="50" spans="1:3">
      <c r="A50" s="219"/>
      <c r="B50" s="217"/>
      <c r="C50" s="227"/>
    </row>
    <row r="51" spans="1:3">
      <c r="A51" s="219"/>
      <c r="B51" s="217"/>
      <c r="C51" s="227"/>
    </row>
    <row r="52" spans="1:3">
      <c r="A52" s="219"/>
      <c r="B52" s="217"/>
      <c r="C52" s="227"/>
    </row>
    <row r="53" spans="1:3">
      <c r="A53" s="219"/>
      <c r="B53" s="217"/>
      <c r="C53" s="227"/>
    </row>
    <row r="54" spans="1:3">
      <c r="A54" s="219"/>
      <c r="B54" s="217"/>
      <c r="C54" s="227"/>
    </row>
    <row r="55" spans="1:3">
      <c r="A55" s="219"/>
      <c r="B55" s="217"/>
      <c r="C55" s="227"/>
    </row>
    <row r="56" spans="1:3">
      <c r="A56" s="219"/>
      <c r="B56" s="217"/>
      <c r="C56" s="227"/>
    </row>
    <row r="57" spans="1:3">
      <c r="A57" s="219"/>
      <c r="B57" s="217"/>
      <c r="C57" s="227"/>
    </row>
    <row r="58" spans="1:3">
      <c r="A58" s="219"/>
      <c r="B58" s="217"/>
      <c r="C58" s="227"/>
    </row>
    <row r="59" spans="1:3">
      <c r="A59" s="219"/>
      <c r="B59" s="217"/>
      <c r="C59" s="227"/>
    </row>
    <row r="60" spans="1:3">
      <c r="A60" s="219"/>
      <c r="B60" s="217"/>
      <c r="C60" s="227"/>
    </row>
    <row r="61" spans="1:3">
      <c r="A61" s="219"/>
      <c r="B61" s="217"/>
      <c r="C61" s="227"/>
    </row>
    <row r="62" spans="1:3">
      <c r="A62" s="219"/>
      <c r="B62" s="217"/>
      <c r="C62" s="227"/>
    </row>
    <row r="63" spans="1:3">
      <c r="A63" s="219"/>
      <c r="B63" s="217"/>
      <c r="C63" s="227"/>
    </row>
    <row r="64" spans="1:3">
      <c r="A64" s="219"/>
      <c r="B64" s="220"/>
      <c r="C64" s="227"/>
    </row>
    <row r="65" spans="1:3">
      <c r="A65" s="219"/>
      <c r="B65" s="217"/>
      <c r="C65" s="227"/>
    </row>
    <row r="66" spans="1:3">
      <c r="A66" s="219"/>
      <c r="B66" s="217"/>
      <c r="C66" s="227"/>
    </row>
    <row r="67" spans="1:3">
      <c r="A67" s="219"/>
      <c r="B67" s="220"/>
      <c r="C67" s="227"/>
    </row>
    <row r="68" spans="1:3">
      <c r="A68" s="219"/>
      <c r="B68" s="217"/>
      <c r="C68" s="227"/>
    </row>
    <row r="69" spans="1:3">
      <c r="A69" s="219"/>
      <c r="B69" s="217"/>
      <c r="C69" s="227"/>
    </row>
    <row r="70" spans="1:3">
      <c r="A70" s="219"/>
      <c r="B70" s="217"/>
      <c r="C70" s="227"/>
    </row>
    <row r="71" spans="1:3">
      <c r="A71" s="219"/>
      <c r="B71" s="217"/>
      <c r="C71" s="227"/>
    </row>
    <row r="72" spans="1:3">
      <c r="A72" s="219"/>
      <c r="B72" s="220"/>
      <c r="C72" s="227"/>
    </row>
    <row r="73" spans="1:3">
      <c r="A73" s="219"/>
      <c r="B73" s="217"/>
      <c r="C73" s="227"/>
    </row>
    <row r="74" spans="1:3">
      <c r="A74" s="219"/>
      <c r="B74" s="220"/>
      <c r="C74" s="227"/>
    </row>
    <row r="75" spans="1:3">
      <c r="A75" s="219"/>
      <c r="B75" s="217"/>
      <c r="C75" s="227"/>
    </row>
    <row r="76" spans="1:3">
      <c r="A76" s="219"/>
      <c r="B76" s="220"/>
      <c r="C76" s="227"/>
    </row>
    <row r="77" spans="1:3">
      <c r="A77" s="219"/>
      <c r="B77" s="220"/>
      <c r="C77" s="227"/>
    </row>
    <row r="78" spans="1:3">
      <c r="A78" s="219"/>
      <c r="B78" s="220"/>
      <c r="C78" s="227"/>
    </row>
    <row r="79" spans="1:3">
      <c r="A79" s="219"/>
      <c r="B79" s="217"/>
      <c r="C79" s="227"/>
    </row>
    <row r="80" spans="1:3">
      <c r="A80" s="219"/>
      <c r="B80" s="220"/>
      <c r="C80" s="227"/>
    </row>
    <row r="81" spans="1:3">
      <c r="A81" s="219"/>
      <c r="B81" s="220"/>
      <c r="C81" s="227"/>
    </row>
    <row r="82" spans="1:3">
      <c r="A82" s="219"/>
      <c r="B82" s="217"/>
      <c r="C82" s="227"/>
    </row>
    <row r="83" spans="1:3">
      <c r="A83" s="219"/>
      <c r="B83" s="217"/>
      <c r="C83" s="227"/>
    </row>
    <row r="84" spans="1:3">
      <c r="A84" s="219"/>
      <c r="B84" s="217"/>
      <c r="C84" s="227"/>
    </row>
    <row r="85" spans="1:3">
      <c r="A85" s="219"/>
      <c r="B85" s="220"/>
      <c r="C85" s="227"/>
    </row>
    <row r="86" spans="1:3">
      <c r="A86" s="219"/>
      <c r="B86" s="217"/>
      <c r="C86" s="227"/>
    </row>
    <row r="87" spans="1:3">
      <c r="A87" s="219"/>
      <c r="B87" s="220"/>
      <c r="C87" s="227"/>
    </row>
    <row r="88" spans="1:3">
      <c r="A88" s="219"/>
      <c r="B88" s="220"/>
      <c r="C88" s="227"/>
    </row>
    <row r="89" spans="1:3">
      <c r="A89" s="219"/>
      <c r="B89" s="220"/>
      <c r="C89" s="227"/>
    </row>
    <row r="90" spans="1:3">
      <c r="A90" s="219"/>
      <c r="B90" s="220"/>
      <c r="C90" s="227"/>
    </row>
    <row r="91" spans="1:3">
      <c r="A91" s="219"/>
      <c r="B91" s="217"/>
      <c r="C91" s="227"/>
    </row>
    <row r="92" spans="1:3">
      <c r="A92" s="219"/>
      <c r="B92" s="217"/>
      <c r="C92" s="227"/>
    </row>
    <row r="93" spans="1:3">
      <c r="A93" s="219"/>
      <c r="B93" s="217"/>
      <c r="C93" s="227"/>
    </row>
    <row r="94" spans="1:3">
      <c r="A94" s="219"/>
      <c r="B94" s="217"/>
      <c r="C94" s="227"/>
    </row>
    <row r="95" spans="1:3">
      <c r="A95" s="219"/>
      <c r="B95" s="217"/>
      <c r="C95" s="227"/>
    </row>
    <row r="96" spans="1:3">
      <c r="A96" s="219"/>
      <c r="B96" s="217"/>
      <c r="C96" s="227"/>
    </row>
    <row r="97" spans="1:3">
      <c r="A97" s="219"/>
      <c r="B97" s="220"/>
      <c r="C97" s="227"/>
    </row>
    <row r="98" spans="1:3">
      <c r="A98" s="219"/>
      <c r="B98" s="220"/>
      <c r="C98" s="227"/>
    </row>
    <row r="99" spans="1:3">
      <c r="A99" s="219"/>
      <c r="B99" s="220"/>
      <c r="C99" s="227"/>
    </row>
    <row r="100" spans="1:3">
      <c r="A100" s="219"/>
      <c r="B100" s="217"/>
      <c r="C100" s="227"/>
    </row>
    <row r="101" spans="1:3">
      <c r="A101" s="219"/>
      <c r="B101" s="217"/>
      <c r="C101" s="227"/>
    </row>
    <row r="102" spans="1:3">
      <c r="A102" s="219"/>
      <c r="B102" s="217"/>
      <c r="C102" s="227"/>
    </row>
    <row r="103" spans="1:3">
      <c r="A103" s="219"/>
      <c r="B103" s="217"/>
      <c r="C103" s="227"/>
    </row>
    <row r="104" spans="1:3">
      <c r="A104" s="219"/>
      <c r="B104" s="217"/>
      <c r="C104" s="227"/>
    </row>
    <row r="105" spans="1:3">
      <c r="A105" s="219"/>
      <c r="B105" s="220"/>
      <c r="C105" s="227"/>
    </row>
    <row r="106" spans="1:3">
      <c r="A106" s="219"/>
      <c r="B106" s="217"/>
      <c r="C106" s="227"/>
    </row>
    <row r="107" spans="1:3">
      <c r="A107" s="219"/>
      <c r="B107" s="220"/>
      <c r="C107" s="227"/>
    </row>
    <row r="108" spans="1:3">
      <c r="A108" s="219"/>
      <c r="B108" s="217"/>
      <c r="C108" s="227"/>
    </row>
    <row r="109" spans="1:3">
      <c r="A109" s="219"/>
      <c r="B109" s="220"/>
      <c r="C109" s="227"/>
    </row>
    <row r="110" spans="1:3">
      <c r="A110" s="219"/>
      <c r="B110" s="217"/>
      <c r="C110" s="227"/>
    </row>
    <row r="111" spans="1:3">
      <c r="A111" s="219"/>
      <c r="B111" s="217"/>
      <c r="C111" s="227"/>
    </row>
    <row r="112" spans="1:3">
      <c r="A112" s="219"/>
      <c r="B112" s="217"/>
      <c r="C112" s="227"/>
    </row>
    <row r="113" spans="1:3">
      <c r="A113" s="219"/>
      <c r="B113" s="217"/>
      <c r="C113" s="227"/>
    </row>
    <row r="114" spans="1:3">
      <c r="A114" s="219"/>
      <c r="B114" s="217"/>
      <c r="C114" s="227"/>
    </row>
    <row r="115" spans="1:3">
      <c r="A115" s="219"/>
      <c r="B115" s="217"/>
      <c r="C115" s="227"/>
    </row>
    <row r="116" spans="1:3">
      <c r="A116" s="219"/>
      <c r="B116" s="217"/>
      <c r="C116" s="227"/>
    </row>
    <row r="117" spans="1:3">
      <c r="A117" s="219"/>
      <c r="B117" s="217"/>
      <c r="C117" s="227"/>
    </row>
    <row r="118" spans="1:3">
      <c r="A118" s="219"/>
      <c r="B118" s="217"/>
      <c r="C118" s="227"/>
    </row>
    <row r="119" spans="1:3">
      <c r="A119" s="219"/>
      <c r="B119" s="217"/>
      <c r="C119" s="227"/>
    </row>
    <row r="120" spans="1:3">
      <c r="A120" s="219"/>
      <c r="B120" s="217"/>
      <c r="C120" s="227"/>
    </row>
    <row r="121" spans="1:3">
      <c r="A121" s="219"/>
      <c r="B121" s="217"/>
      <c r="C121" s="227"/>
    </row>
    <row r="122" spans="1:3">
      <c r="A122" s="219"/>
      <c r="B122" s="217"/>
      <c r="C122" s="227"/>
    </row>
    <row r="123" spans="1:3">
      <c r="A123" s="219"/>
      <c r="B123" s="220"/>
      <c r="C123" s="227"/>
    </row>
    <row r="124" spans="1:3">
      <c r="A124" s="219"/>
      <c r="B124" s="217"/>
      <c r="C124" s="227"/>
    </row>
    <row r="125" spans="1:3">
      <c r="A125" s="219"/>
      <c r="B125" s="220"/>
      <c r="C125" s="227"/>
    </row>
    <row r="126" spans="1:3">
      <c r="A126" s="219"/>
      <c r="B126" s="217"/>
      <c r="C126" s="227"/>
    </row>
    <row r="127" spans="1:3">
      <c r="A127" s="219"/>
      <c r="B127" s="217"/>
      <c r="C127" s="227"/>
    </row>
    <row r="128" spans="1:3">
      <c r="A128" s="219"/>
      <c r="B128" s="217"/>
      <c r="C128" s="227"/>
    </row>
    <row r="129" spans="1:3">
      <c r="A129" s="219"/>
      <c r="B129" s="220"/>
      <c r="C129" s="227"/>
    </row>
    <row r="130" spans="1:3">
      <c r="A130" s="219"/>
      <c r="B130" s="217"/>
      <c r="C130" s="227"/>
    </row>
    <row r="131" spans="1:3">
      <c r="A131" s="219"/>
      <c r="B131" s="220"/>
      <c r="C131" s="227"/>
    </row>
    <row r="132" spans="1:3">
      <c r="A132" s="219"/>
      <c r="B132" s="217"/>
      <c r="C132" s="227"/>
    </row>
    <row r="133" spans="1:3">
      <c r="A133" s="219"/>
      <c r="B133" s="220"/>
      <c r="C133" s="227"/>
    </row>
    <row r="134" spans="1:3">
      <c r="A134" s="219"/>
      <c r="B134" s="220"/>
      <c r="C134" s="227"/>
    </row>
    <row r="135" spans="1:3">
      <c r="A135" s="219"/>
      <c r="B135" s="220"/>
      <c r="C135" s="227"/>
    </row>
    <row r="136" spans="1:3">
      <c r="A136" s="219"/>
      <c r="B136" s="217"/>
      <c r="C136" s="227"/>
    </row>
    <row r="137" spans="1:3">
      <c r="A137" s="219"/>
      <c r="B137" s="217"/>
      <c r="C137" s="227"/>
    </row>
    <row r="138" spans="1:3">
      <c r="A138" s="219"/>
      <c r="B138" s="220"/>
      <c r="C138" s="227"/>
    </row>
    <row r="139" spans="1:3">
      <c r="A139" s="219"/>
      <c r="B139" s="217"/>
      <c r="C139" s="227"/>
    </row>
    <row r="140" spans="1:3">
      <c r="A140" s="219"/>
      <c r="B140" s="217"/>
      <c r="C140" s="227"/>
    </row>
    <row r="141" spans="1:3">
      <c r="A141" s="219"/>
      <c r="B141" s="217"/>
      <c r="C141" s="227"/>
    </row>
    <row r="142" spans="1:3">
      <c r="A142" s="219"/>
      <c r="B142" s="217"/>
      <c r="C142" s="227"/>
    </row>
    <row r="143" spans="1:3">
      <c r="A143" s="219"/>
      <c r="B143" s="217"/>
      <c r="C143" s="227"/>
    </row>
    <row r="144" spans="1:3">
      <c r="A144" s="219"/>
      <c r="B144" s="220"/>
      <c r="C144" s="227"/>
    </row>
    <row r="145" spans="1:3">
      <c r="A145" s="219"/>
      <c r="B145" s="220"/>
      <c r="C145" s="227"/>
    </row>
    <row r="146" spans="1:3">
      <c r="A146" s="219"/>
      <c r="B146" s="217"/>
      <c r="C146" s="227"/>
    </row>
    <row r="147" spans="1:3">
      <c r="A147" s="219"/>
      <c r="B147" s="220"/>
      <c r="C147" s="227"/>
    </row>
    <row r="148" spans="1:3">
      <c r="A148" s="219"/>
      <c r="B148" s="220"/>
      <c r="C148" s="227"/>
    </row>
    <row r="149" spans="1:3">
      <c r="A149" s="219"/>
      <c r="B149" s="220"/>
      <c r="C149" s="227"/>
    </row>
    <row r="150" spans="1:3">
      <c r="A150" s="219"/>
      <c r="B150" s="220"/>
      <c r="C150" s="227"/>
    </row>
    <row r="151" spans="1:3">
      <c r="A151" s="219"/>
      <c r="B151" s="220"/>
      <c r="C151" s="227"/>
    </row>
    <row r="152" spans="1:3">
      <c r="A152" s="219"/>
      <c r="B152" s="217"/>
      <c r="C152" s="227"/>
    </row>
    <row r="153" spans="1:3">
      <c r="A153" s="219"/>
      <c r="B153" s="220"/>
      <c r="C153" s="227"/>
    </row>
    <row r="154" spans="1:3">
      <c r="A154" s="219"/>
      <c r="B154" s="217"/>
      <c r="C154" s="227"/>
    </row>
    <row r="155" spans="1:3">
      <c r="A155" s="219"/>
      <c r="B155" s="217"/>
      <c r="C155" s="227"/>
    </row>
    <row r="156" spans="1:3">
      <c r="A156" s="223"/>
      <c r="B156" s="220"/>
      <c r="C156" s="227"/>
    </row>
    <row r="157" spans="1:3">
      <c r="A157" s="219"/>
      <c r="B157" s="224"/>
      <c r="C157" s="227"/>
    </row>
    <row r="158" spans="1:3">
      <c r="A158" s="219"/>
      <c r="B158" s="217"/>
      <c r="C158" s="227"/>
    </row>
    <row r="159" spans="1:3">
      <c r="A159" s="219"/>
      <c r="B159" s="217"/>
      <c r="C159" s="227"/>
    </row>
    <row r="160" spans="1:3">
      <c r="A160" s="219"/>
      <c r="B160" s="217"/>
      <c r="C160" s="227"/>
    </row>
    <row r="161" spans="1:3">
      <c r="A161" s="219"/>
      <c r="B161" s="220"/>
      <c r="C161" s="227"/>
    </row>
    <row r="162" spans="1:3">
      <c r="A162" s="219"/>
      <c r="B162" s="217"/>
      <c r="C162" s="227"/>
    </row>
    <row r="163" spans="1:3">
      <c r="A163" s="219"/>
      <c r="B163" s="220"/>
      <c r="C163" s="227"/>
    </row>
    <row r="164" spans="1:3">
      <c r="A164" s="219"/>
      <c r="B164" s="217"/>
      <c r="C164" s="227"/>
    </row>
    <row r="165" spans="1:3">
      <c r="A165" s="219"/>
      <c r="B165" s="220"/>
      <c r="C165" s="227"/>
    </row>
    <row r="166" spans="1:3">
      <c r="A166" s="219"/>
      <c r="B166" s="220"/>
      <c r="C166" s="227"/>
    </row>
    <row r="167" spans="1:3">
      <c r="A167" s="219"/>
      <c r="B167" s="220"/>
      <c r="C167" s="227"/>
    </row>
    <row r="168" spans="1:3">
      <c r="A168" s="219"/>
      <c r="B168" s="220"/>
      <c r="C168" s="227"/>
    </row>
    <row r="169" spans="1:3">
      <c r="A169" s="219"/>
      <c r="B169" s="217"/>
      <c r="C169" s="227"/>
    </row>
    <row r="170" spans="1:3">
      <c r="A170" s="219"/>
      <c r="B170" s="217"/>
      <c r="C170" s="227"/>
    </row>
    <row r="171" spans="1:3">
      <c r="A171" s="219"/>
      <c r="B171" s="217"/>
      <c r="C171" s="227"/>
    </row>
    <row r="172" spans="1:3">
      <c r="A172" s="219"/>
      <c r="B172" s="217"/>
      <c r="C172" s="227"/>
    </row>
    <row r="173" spans="1:3">
      <c r="A173" s="219"/>
      <c r="B173" s="217"/>
      <c r="C173" s="227"/>
    </row>
    <row r="174" spans="1:3">
      <c r="A174" s="219"/>
      <c r="B174" s="217"/>
      <c r="C174" s="227"/>
    </row>
    <row r="175" spans="1:3">
      <c r="A175" s="219"/>
      <c r="B175" s="217"/>
      <c r="C175" s="227"/>
    </row>
    <row r="176" spans="1:3">
      <c r="A176" s="219"/>
      <c r="B176" s="217"/>
      <c r="C176" s="227"/>
    </row>
    <row r="177" spans="1:3">
      <c r="A177" s="219"/>
      <c r="B177" s="217"/>
      <c r="C177" s="227"/>
    </row>
    <row r="178" spans="1:3">
      <c r="A178" s="219"/>
      <c r="B178" s="220"/>
      <c r="C178" s="227"/>
    </row>
    <row r="179" spans="1:3">
      <c r="A179" s="219"/>
      <c r="B179" s="217"/>
      <c r="C179" s="227"/>
    </row>
    <row r="180" spans="1:3">
      <c r="A180" s="219"/>
      <c r="B180" s="220"/>
      <c r="C180" s="227"/>
    </row>
    <row r="181" spans="1:3">
      <c r="A181" s="219"/>
      <c r="B181" s="220"/>
      <c r="C181" s="227"/>
    </row>
    <row r="182" spans="1:3">
      <c r="A182" s="219"/>
      <c r="B182" s="220"/>
      <c r="C182" s="227"/>
    </row>
    <row r="183" spans="1:3">
      <c r="A183" s="219"/>
      <c r="B183" s="220"/>
      <c r="C183" s="227"/>
    </row>
    <row r="184" spans="1:3">
      <c r="A184" s="219"/>
      <c r="B184" s="220"/>
      <c r="C184" s="227"/>
    </row>
    <row r="185" spans="1:3">
      <c r="A185" s="219"/>
      <c r="B185" s="220"/>
      <c r="C185" s="227"/>
    </row>
    <row r="186" spans="1:3">
      <c r="A186" s="219"/>
      <c r="B186" s="220"/>
      <c r="C186" s="227"/>
    </row>
    <row r="187" spans="1:3">
      <c r="A187" s="219"/>
      <c r="B187" s="217"/>
      <c r="C187" s="227"/>
    </row>
    <row r="188" spans="1:3">
      <c r="A188" s="219"/>
      <c r="B188" s="217"/>
      <c r="C188" s="227"/>
    </row>
    <row r="189" spans="1:3">
      <c r="A189" s="219"/>
      <c r="B189" s="220"/>
      <c r="C189" s="227"/>
    </row>
    <row r="190" spans="1:3">
      <c r="A190" s="219"/>
      <c r="B190" s="220"/>
      <c r="C190" s="227"/>
    </row>
    <row r="191" spans="1:3">
      <c r="A191" s="219"/>
      <c r="B191" s="217"/>
      <c r="C191" s="227"/>
    </row>
    <row r="192" spans="1:3">
      <c r="A192" s="219"/>
      <c r="B192" s="222"/>
      <c r="C192" s="227"/>
    </row>
    <row r="193" spans="1:3">
      <c r="A193" s="219"/>
      <c r="B193" s="220"/>
      <c r="C193" s="227"/>
    </row>
    <row r="194" spans="1:3">
      <c r="A194" s="219"/>
      <c r="B194" s="217"/>
      <c r="C194" s="227"/>
    </row>
    <row r="195" spans="1:3">
      <c r="A195" s="219"/>
      <c r="B195" s="217"/>
      <c r="C195" s="227"/>
    </row>
    <row r="196" spans="1:3">
      <c r="A196" s="219"/>
      <c r="B196" s="217"/>
      <c r="C196" s="227"/>
    </row>
    <row r="197" spans="1:3">
      <c r="A197" s="219"/>
      <c r="B197" s="217"/>
      <c r="C197" s="227"/>
    </row>
    <row r="198" spans="1:3">
      <c r="A198" s="219"/>
      <c r="B198" s="217"/>
      <c r="C198" s="227"/>
    </row>
    <row r="199" spans="1:3">
      <c r="A199" s="219"/>
      <c r="B199" s="217"/>
      <c r="C199" s="227"/>
    </row>
    <row r="200" spans="1:3">
      <c r="A200" s="219"/>
      <c r="B200" s="217"/>
      <c r="C200" s="227"/>
    </row>
    <row r="201" spans="1:3">
      <c r="A201" s="219"/>
      <c r="B201" s="217"/>
      <c r="C201" s="227"/>
    </row>
    <row r="202" spans="1:3">
      <c r="A202" s="219"/>
      <c r="B202" s="220"/>
      <c r="C202" s="227"/>
    </row>
    <row r="203" spans="1:3">
      <c r="A203" s="219"/>
      <c r="B203" s="217"/>
      <c r="C203" s="227"/>
    </row>
    <row r="204" spans="1:3">
      <c r="A204" s="219"/>
      <c r="B204" s="217"/>
      <c r="C204" s="227"/>
    </row>
    <row r="205" spans="1:3">
      <c r="A205" s="219"/>
      <c r="B205" s="217"/>
      <c r="C205" s="227"/>
    </row>
    <row r="206" spans="1:3">
      <c r="A206" s="219"/>
      <c r="B206" s="217"/>
      <c r="C206" s="227"/>
    </row>
    <row r="207" spans="1:3">
      <c r="A207" s="219"/>
      <c r="B207" s="220"/>
      <c r="C207" s="227"/>
    </row>
    <row r="208" spans="1:3">
      <c r="A208" s="219"/>
      <c r="B208" s="220"/>
      <c r="C208" s="227"/>
    </row>
    <row r="209" spans="1:3">
      <c r="A209" s="219"/>
      <c r="B209" s="217"/>
      <c r="C209" s="227"/>
    </row>
    <row r="210" spans="1:3">
      <c r="A210" s="219"/>
      <c r="B210" s="220"/>
      <c r="C210" s="227"/>
    </row>
    <row r="211" spans="1:3">
      <c r="A211" s="219"/>
      <c r="B211" s="220"/>
      <c r="C211" s="227"/>
    </row>
    <row r="212" spans="1:3">
      <c r="A212" s="219"/>
      <c r="B212" s="220"/>
      <c r="C212" s="227"/>
    </row>
    <row r="213" spans="1:3">
      <c r="A213" s="219"/>
      <c r="B213" s="220"/>
      <c r="C213" s="227"/>
    </row>
    <row r="214" spans="1:3">
      <c r="A214" s="219"/>
      <c r="B214" s="220"/>
      <c r="C214" s="227"/>
    </row>
    <row r="215" spans="1:3">
      <c r="A215" s="219"/>
      <c r="B215" s="220"/>
      <c r="C215" s="227"/>
    </row>
    <row r="216" spans="1:3">
      <c r="A216" s="219"/>
      <c r="B216" s="220"/>
      <c r="C216" s="227"/>
    </row>
    <row r="217" spans="1:3">
      <c r="A217" s="219"/>
      <c r="B217" s="217"/>
      <c r="C217" s="227"/>
    </row>
    <row r="218" spans="1:3">
      <c r="A218" s="219"/>
      <c r="B218" s="217"/>
      <c r="C218" s="227"/>
    </row>
    <row r="219" spans="1:3">
      <c r="A219" s="219"/>
      <c r="B219" s="217"/>
      <c r="C219" s="227"/>
    </row>
    <row r="220" spans="1:3">
      <c r="A220" s="219"/>
      <c r="B220" s="220"/>
      <c r="C220" s="227"/>
    </row>
    <row r="221" spans="1:3">
      <c r="A221" s="219"/>
      <c r="B221" s="217"/>
      <c r="C221" s="227"/>
    </row>
    <row r="222" spans="1:3">
      <c r="A222" s="219"/>
      <c r="B222" s="220"/>
      <c r="C222" s="227"/>
    </row>
    <row r="223" spans="1:3">
      <c r="A223" s="219"/>
      <c r="B223" s="220"/>
      <c r="C223" s="227"/>
    </row>
    <row r="224" spans="1:3">
      <c r="A224" s="219"/>
      <c r="B224" s="220"/>
      <c r="C224" s="227"/>
    </row>
    <row r="225" spans="1:3">
      <c r="A225" s="219"/>
      <c r="B225" s="217"/>
      <c r="C225" s="227"/>
    </row>
    <row r="226" spans="1:3">
      <c r="A226" s="219"/>
      <c r="B226" s="217"/>
      <c r="C226" s="227"/>
    </row>
    <row r="227" spans="1:3">
      <c r="A227" s="219"/>
      <c r="B227" s="217"/>
      <c r="C227" s="227"/>
    </row>
    <row r="228" spans="1:3">
      <c r="A228" s="219"/>
      <c r="B228" s="217"/>
      <c r="C228" s="227"/>
    </row>
    <row r="229" spans="1:3">
      <c r="B229" s="220"/>
      <c r="C229" s="227"/>
    </row>
  </sheetData>
  <autoFilter ref="A2:C231"/>
  <dataValidations count="1">
    <dataValidation type="list" allowBlank="1" showInputMessage="1" showErrorMessage="1" sqref="A4:A1048576">
      <formula1>направления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2:A7"/>
  <sheetViews>
    <sheetView workbookViewId="0">
      <selection activeCell="E10" sqref="E10"/>
    </sheetView>
  </sheetViews>
  <sheetFormatPr defaultRowHeight="15"/>
  <cols>
    <col min="1" max="1" width="14.5703125" customWidth="1"/>
  </cols>
  <sheetData>
    <row r="2" spans="1:1">
      <c r="A2" s="232" t="s">
        <v>152</v>
      </c>
    </row>
    <row r="3" spans="1:1">
      <c r="A3" s="233" t="s">
        <v>16</v>
      </c>
    </row>
    <row r="4" spans="1:1">
      <c r="A4" s="233" t="s">
        <v>17</v>
      </c>
    </row>
    <row r="5" spans="1:1">
      <c r="A5" s="233" t="s">
        <v>18</v>
      </c>
    </row>
    <row r="6" spans="1:1">
      <c r="A6" s="233" t="s">
        <v>19</v>
      </c>
    </row>
    <row r="7" spans="1:1">
      <c r="A7" s="233" t="s">
        <v>166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outlinePr summaryBelow="0" summaryRight="0"/>
  </sheetPr>
  <dimension ref="A1:N32"/>
  <sheetViews>
    <sheetView topLeftCell="A3" zoomScaleNormal="100" workbookViewId="0">
      <pane xSplit="1" ySplit="8" topLeftCell="B11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40625" defaultRowHeight="15" outlineLevelRow="1"/>
  <cols>
    <col min="1" max="1" width="36" style="6" customWidth="1"/>
    <col min="2" max="2" width="10.5703125" style="6" customWidth="1"/>
    <col min="3" max="4" width="10.5703125" style="7" customWidth="1"/>
    <col min="5" max="10" width="9.140625" style="7" customWidth="1"/>
    <col min="11" max="11" width="11.42578125" style="7" customWidth="1"/>
    <col min="12" max="14" width="9.140625" style="7" customWidth="1"/>
    <col min="15" max="16384" width="9.140625" style="7"/>
  </cols>
  <sheetData>
    <row r="1" spans="1:14" s="2" customFormat="1" ht="25.5" customHeight="1">
      <c r="A1" s="1" t="s">
        <v>0</v>
      </c>
      <c r="B1" s="1"/>
      <c r="D1" s="3"/>
      <c r="E1" s="3"/>
      <c r="F1" s="3"/>
      <c r="G1" s="3"/>
      <c r="H1" s="3"/>
      <c r="I1" s="3"/>
    </row>
    <row r="2" spans="1:14" ht="15.75" thickBot="1"/>
    <row r="3" spans="1:14" s="8" customFormat="1" ht="15.95" customHeight="1" thickBot="1">
      <c r="A3" s="294" t="s">
        <v>129</v>
      </c>
      <c r="B3" s="238" t="s">
        <v>174</v>
      </c>
      <c r="C3" s="208" t="s">
        <v>16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14" s="8" customFormat="1" ht="15" customHeight="1" thickBot="1">
      <c r="A4" s="295"/>
      <c r="B4" s="207" t="e">
        <f>'P&amp;L (направления)'!#REF!</f>
        <v>#REF!</v>
      </c>
      <c r="C4" s="150" t="s">
        <v>1</v>
      </c>
      <c r="D4" s="150" t="s">
        <v>38</v>
      </c>
      <c r="E4" s="150" t="s">
        <v>39</v>
      </c>
      <c r="F4" s="150" t="s">
        <v>40</v>
      </c>
      <c r="G4" s="150" t="s">
        <v>41</v>
      </c>
      <c r="H4" s="150" t="s">
        <v>42</v>
      </c>
      <c r="I4" s="150" t="s">
        <v>43</v>
      </c>
      <c r="J4" s="150" t="s">
        <v>44</v>
      </c>
      <c r="K4" s="150" t="s">
        <v>45</v>
      </c>
      <c r="L4" s="150" t="s">
        <v>46</v>
      </c>
      <c r="M4" s="150" t="s">
        <v>47</v>
      </c>
      <c r="N4" s="150" t="s">
        <v>48</v>
      </c>
    </row>
    <row r="5" spans="1:14" s="9" customFormat="1" ht="15.75" thickBot="1">
      <c r="A5" s="104" t="s">
        <v>124</v>
      </c>
      <c r="B5" s="175"/>
      <c r="C5" s="183">
        <f>'P&amp;L (направления)'!H8</f>
        <v>500000</v>
      </c>
      <c r="D5" s="10">
        <f>'P&amp;L (направления)'!M8</f>
        <v>500000</v>
      </c>
      <c r="E5" s="10">
        <f>'P&amp;L (направления)'!R8</f>
        <v>500000</v>
      </c>
      <c r="F5" s="10">
        <f>'P&amp;L (направления)'!W8</f>
        <v>500000</v>
      </c>
      <c r="G5" s="10">
        <f>'P&amp;L (направления)'!AB8</f>
        <v>500000</v>
      </c>
      <c r="H5" s="10">
        <f>'P&amp;L (направления)'!AG8</f>
        <v>500000</v>
      </c>
      <c r="I5" s="10">
        <f>'P&amp;L (направления)'!AL8</f>
        <v>0</v>
      </c>
      <c r="J5" s="10">
        <f>'P&amp;L (направления)'!AQ8</f>
        <v>0</v>
      </c>
      <c r="K5" s="10">
        <f>'P&amp;L (направления)'!AV8</f>
        <v>0</v>
      </c>
      <c r="L5" s="10">
        <f>'P&amp;L (направления)'!BA8</f>
        <v>0</v>
      </c>
      <c r="M5" s="10">
        <f>'P&amp;L (направления)'!BF8</f>
        <v>0</v>
      </c>
      <c r="N5" s="10">
        <f>'P&amp;L (направления)'!BJ8</f>
        <v>0</v>
      </c>
    </row>
    <row r="6" spans="1:14" s="9" customFormat="1" ht="15.75" thickBot="1">
      <c r="A6" s="165" t="s">
        <v>125</v>
      </c>
      <c r="B6" s="176"/>
      <c r="C6" s="184">
        <f>'P&amp;L (направления)'!H9</f>
        <v>556274</v>
      </c>
      <c r="D6" s="167">
        <f>'P&amp;L (направления)'!M9</f>
        <v>614566</v>
      </c>
      <c r="E6" s="167">
        <f>'P&amp;L (направления)'!R9</f>
        <v>667590</v>
      </c>
      <c r="F6" s="167">
        <f>'P&amp;L (направления)'!W9</f>
        <v>518910</v>
      </c>
      <c r="G6" s="167">
        <f>'P&amp;L (направления)'!AB9</f>
        <v>400237</v>
      </c>
      <c r="H6" s="167">
        <f>'P&amp;L (направления)'!AG9</f>
        <v>0</v>
      </c>
      <c r="I6" s="167">
        <f>'P&amp;L (направления)'!AL9</f>
        <v>0</v>
      </c>
      <c r="J6" s="167">
        <f>'P&amp;L (направления)'!AQ9</f>
        <v>0</v>
      </c>
      <c r="K6" s="167">
        <f>'P&amp;L (направления)'!AV9</f>
        <v>0</v>
      </c>
      <c r="L6" s="167">
        <f>'P&amp;L (направления)'!BA9</f>
        <v>0</v>
      </c>
      <c r="M6" s="167">
        <f>'P&amp;L (направления)'!BF9</f>
        <v>0</v>
      </c>
      <c r="N6" s="167">
        <f>'P&amp;L (направления)'!BJ9</f>
        <v>0</v>
      </c>
    </row>
    <row r="7" spans="1:14" s="9" customFormat="1" ht="15.75" hidden="1" thickBot="1">
      <c r="A7" s="242" t="s">
        <v>2</v>
      </c>
      <c r="B7" s="177"/>
      <c r="C7" s="185" t="e">
        <v>#REF!</v>
      </c>
      <c r="D7" s="119">
        <v>8566</v>
      </c>
      <c r="E7" s="119" t="e">
        <v>#REF!</v>
      </c>
      <c r="F7" s="119" t="e">
        <v>#REF!</v>
      </c>
      <c r="G7" s="119" t="e">
        <v>#REF!</v>
      </c>
      <c r="H7" s="119" t="e">
        <v>#REF!</v>
      </c>
      <c r="I7" s="119" t="e">
        <v>#REF!</v>
      </c>
      <c r="J7" s="119" t="e">
        <v>#REF!</v>
      </c>
      <c r="K7" s="119" t="e">
        <v>#REF!</v>
      </c>
      <c r="L7" s="119" t="e">
        <v>#REF!</v>
      </c>
      <c r="M7" s="119" t="e">
        <v>#REF!</v>
      </c>
      <c r="N7" s="119" t="e">
        <v>#REF!</v>
      </c>
    </row>
    <row r="8" spans="1:14" s="9" customFormat="1" ht="15.75" hidden="1" thickBot="1">
      <c r="A8" s="121" t="s">
        <v>3</v>
      </c>
      <c r="B8" s="177"/>
      <c r="C8" s="186">
        <f t="shared" ref="C8:N8" si="0">C6-C5</f>
        <v>56274</v>
      </c>
      <c r="D8" s="123">
        <f t="shared" si="0"/>
        <v>114566</v>
      </c>
      <c r="E8" s="123">
        <f t="shared" si="0"/>
        <v>167590</v>
      </c>
      <c r="F8" s="123">
        <f t="shared" si="0"/>
        <v>18910</v>
      </c>
      <c r="G8" s="123">
        <f t="shared" si="0"/>
        <v>-99763</v>
      </c>
      <c r="H8" s="123">
        <f t="shared" si="0"/>
        <v>-500000</v>
      </c>
      <c r="I8" s="123">
        <f t="shared" si="0"/>
        <v>0</v>
      </c>
      <c r="J8" s="123">
        <f t="shared" si="0"/>
        <v>0</v>
      </c>
      <c r="K8" s="123">
        <f t="shared" si="0"/>
        <v>0</v>
      </c>
      <c r="L8" s="123">
        <f t="shared" si="0"/>
        <v>0</v>
      </c>
      <c r="M8" s="123">
        <f t="shared" si="0"/>
        <v>0</v>
      </c>
      <c r="N8" s="123">
        <f t="shared" si="0"/>
        <v>0</v>
      </c>
    </row>
    <row r="9" spans="1:14" s="11" customFormat="1" ht="15.75" hidden="1" thickBot="1">
      <c r="A9" s="125" t="s">
        <v>4</v>
      </c>
      <c r="B9" s="177"/>
      <c r="C9" s="187">
        <f t="shared" ref="C9:N9" si="1">C8/C5</f>
        <v>0.112548</v>
      </c>
      <c r="D9" s="127">
        <f t="shared" si="1"/>
        <v>0.229132</v>
      </c>
      <c r="E9" s="127">
        <f t="shared" si="1"/>
        <v>0.33517999999999998</v>
      </c>
      <c r="F9" s="127">
        <f t="shared" si="1"/>
        <v>3.7819999999999999E-2</v>
      </c>
      <c r="G9" s="127">
        <f t="shared" si="1"/>
        <v>-0.19952600000000001</v>
      </c>
      <c r="H9" s="127">
        <f t="shared" si="1"/>
        <v>-1</v>
      </c>
      <c r="I9" s="127" t="e">
        <f t="shared" si="1"/>
        <v>#DIV/0!</v>
      </c>
      <c r="J9" s="127" t="e">
        <f t="shared" si="1"/>
        <v>#DIV/0!</v>
      </c>
      <c r="K9" s="127" t="e">
        <f t="shared" si="1"/>
        <v>#DIV/0!</v>
      </c>
      <c r="L9" s="127" t="e">
        <f t="shared" si="1"/>
        <v>#DIV/0!</v>
      </c>
      <c r="M9" s="127" t="e">
        <f t="shared" si="1"/>
        <v>#DIV/0!</v>
      </c>
      <c r="N9" s="127" t="e">
        <f t="shared" si="1"/>
        <v>#DIV/0!</v>
      </c>
    </row>
    <row r="10" spans="1:14" s="9" customFormat="1" ht="15.75" hidden="1" thickBot="1">
      <c r="A10" s="129" t="s">
        <v>5</v>
      </c>
      <c r="B10" s="177"/>
      <c r="C10" s="188">
        <v>881103</v>
      </c>
      <c r="D10" s="131" t="e">
        <v>#REF!</v>
      </c>
      <c r="E10" s="131" t="e">
        <v>#REF!</v>
      </c>
      <c r="F10" s="131" t="e">
        <v>#REF!</v>
      </c>
      <c r="G10" s="131" t="e">
        <v>#REF!</v>
      </c>
      <c r="H10" s="131" t="e">
        <v>#REF!</v>
      </c>
      <c r="I10" s="131" t="e">
        <v>#REF!</v>
      </c>
      <c r="J10" s="131" t="e">
        <v>#REF!</v>
      </c>
      <c r="K10" s="131" t="e">
        <v>#REF!</v>
      </c>
      <c r="L10" s="131" t="e">
        <v>#REF!</v>
      </c>
      <c r="M10" s="131" t="e">
        <v>#REF!</v>
      </c>
      <c r="N10" s="131" t="e">
        <v>#REF!</v>
      </c>
    </row>
    <row r="11" spans="1:14" s="9" customFormat="1">
      <c r="A11" s="152" t="s">
        <v>130</v>
      </c>
      <c r="B11" s="178"/>
      <c r="C11" s="189">
        <f t="shared" ref="C11:N11" si="2">SUM(C12,C14,C16,C18,C20)</f>
        <v>205090.94</v>
      </c>
      <c r="D11" s="189">
        <f t="shared" si="2"/>
        <v>237665</v>
      </c>
      <c r="E11" s="189">
        <f t="shared" si="2"/>
        <v>269815.8</v>
      </c>
      <c r="F11" s="189">
        <f t="shared" si="2"/>
        <v>212503.6</v>
      </c>
      <c r="G11" s="189">
        <f t="shared" si="2"/>
        <v>215909.5</v>
      </c>
      <c r="H11" s="189">
        <f t="shared" si="2"/>
        <v>0</v>
      </c>
      <c r="I11" s="189">
        <f t="shared" si="2"/>
        <v>0</v>
      </c>
      <c r="J11" s="189">
        <f t="shared" si="2"/>
        <v>0</v>
      </c>
      <c r="K11" s="189">
        <f t="shared" si="2"/>
        <v>0</v>
      </c>
      <c r="L11" s="189">
        <f t="shared" si="2"/>
        <v>0</v>
      </c>
      <c r="M11" s="189">
        <f t="shared" si="2"/>
        <v>0</v>
      </c>
      <c r="N11" s="189">
        <f t="shared" si="2"/>
        <v>0</v>
      </c>
    </row>
    <row r="12" spans="1:14" s="9" customFormat="1" outlineLevel="1">
      <c r="A12" s="163" t="s">
        <v>34</v>
      </c>
      <c r="B12" s="179"/>
      <c r="C12" s="246">
        <f>'P&amp;L (направления)'!H15</f>
        <v>168190</v>
      </c>
      <c r="D12" s="247">
        <f>'P&amp;L (направления)'!M15</f>
        <v>182960</v>
      </c>
      <c r="E12" s="247">
        <f>'P&amp;L (направления)'!R15</f>
        <v>198710</v>
      </c>
      <c r="F12" s="247">
        <f>'P&amp;L (направления)'!W15</f>
        <v>173177</v>
      </c>
      <c r="G12" s="247">
        <f>'P&amp;L (направления)'!AB15</f>
        <v>184543</v>
      </c>
      <c r="H12" s="247">
        <f>'P&amp;L (направления)'!AG15</f>
        <v>0</v>
      </c>
      <c r="I12" s="247">
        <f>'P&amp;L (направления)'!AL15</f>
        <v>0</v>
      </c>
      <c r="J12" s="247">
        <f>'P&amp;L (направления)'!AQ15</f>
        <v>0</v>
      </c>
      <c r="K12" s="247">
        <f>'P&amp;L (направления)'!AV15</f>
        <v>0</v>
      </c>
      <c r="L12" s="247">
        <f>'P&amp;L (направления)'!BA15</f>
        <v>0</v>
      </c>
      <c r="M12" s="247">
        <f>'P&amp;L (направления)'!BF15</f>
        <v>0</v>
      </c>
      <c r="N12" s="247">
        <f>'P&amp;L (направления)'!BJ15</f>
        <v>0</v>
      </c>
    </row>
    <row r="13" spans="1:14" s="206" customFormat="1" ht="11.25" outlineLevel="1">
      <c r="A13" s="202" t="s">
        <v>139</v>
      </c>
      <c r="B13" s="203"/>
      <c r="C13" s="249">
        <f t="shared" ref="C13:N13" si="3">C12/C6</f>
        <v>0.30235099968720452</v>
      </c>
      <c r="D13" s="249">
        <f t="shared" si="3"/>
        <v>0.29770602343767799</v>
      </c>
      <c r="E13" s="249">
        <f t="shared" si="3"/>
        <v>0.2976527509399482</v>
      </c>
      <c r="F13" s="249">
        <f t="shared" si="3"/>
        <v>0.33373224643965232</v>
      </c>
      <c r="G13" s="249">
        <f t="shared" si="3"/>
        <v>0.46108430754777796</v>
      </c>
      <c r="H13" s="249" t="e">
        <f t="shared" si="3"/>
        <v>#DIV/0!</v>
      </c>
      <c r="I13" s="249" t="e">
        <f t="shared" si="3"/>
        <v>#DIV/0!</v>
      </c>
      <c r="J13" s="249" t="e">
        <f t="shared" si="3"/>
        <v>#DIV/0!</v>
      </c>
      <c r="K13" s="249" t="e">
        <f t="shared" si="3"/>
        <v>#DIV/0!</v>
      </c>
      <c r="L13" s="249" t="e">
        <f t="shared" si="3"/>
        <v>#DIV/0!</v>
      </c>
      <c r="M13" s="249" t="e">
        <f t="shared" si="3"/>
        <v>#DIV/0!</v>
      </c>
      <c r="N13" s="249" t="e">
        <f t="shared" si="3"/>
        <v>#DIV/0!</v>
      </c>
    </row>
    <row r="14" spans="1:14" s="9" customFormat="1" outlineLevel="1">
      <c r="A14" s="163" t="s">
        <v>118</v>
      </c>
      <c r="B14" s="179"/>
      <c r="C14" s="246">
        <f>'P&amp;L (направления)'!H19</f>
        <v>0</v>
      </c>
      <c r="D14" s="247">
        <f>'P&amp;L (направления)'!M19</f>
        <v>0</v>
      </c>
      <c r="E14" s="247">
        <f>'P&amp;L (направления)'!R19</f>
        <v>0</v>
      </c>
      <c r="F14" s="247">
        <f>'P&amp;L (направления)'!W19</f>
        <v>0</v>
      </c>
      <c r="G14" s="247">
        <f>'P&amp;L (направления)'!AB19</f>
        <v>0</v>
      </c>
      <c r="H14" s="247">
        <f>'P&amp;L (направления)'!AG19</f>
        <v>0</v>
      </c>
      <c r="I14" s="247">
        <f>'P&amp;L (направления)'!AL19</f>
        <v>0</v>
      </c>
      <c r="J14" s="247">
        <f>'P&amp;L (направления)'!AQ19</f>
        <v>0</v>
      </c>
      <c r="K14" s="247">
        <f>'P&amp;L (направления)'!AV19</f>
        <v>0</v>
      </c>
      <c r="L14" s="247">
        <f>'P&amp;L (направления)'!BA19</f>
        <v>0</v>
      </c>
      <c r="M14" s="247">
        <f>'P&amp;L (направления)'!BF19</f>
        <v>0</v>
      </c>
      <c r="N14" s="247">
        <f>'P&amp;L (направления)'!BJ19</f>
        <v>0</v>
      </c>
    </row>
    <row r="15" spans="1:14" s="206" customFormat="1" ht="11.25" outlineLevel="1">
      <c r="A15" s="202" t="s">
        <v>142</v>
      </c>
      <c r="B15" s="203"/>
      <c r="C15" s="249">
        <f t="shared" ref="C15:N15" si="4">C14/C6</f>
        <v>0</v>
      </c>
      <c r="D15" s="249">
        <f t="shared" si="4"/>
        <v>0</v>
      </c>
      <c r="E15" s="249">
        <f t="shared" si="4"/>
        <v>0</v>
      </c>
      <c r="F15" s="249">
        <f t="shared" si="4"/>
        <v>0</v>
      </c>
      <c r="G15" s="249">
        <f t="shared" si="4"/>
        <v>0</v>
      </c>
      <c r="H15" s="249" t="e">
        <f t="shared" si="4"/>
        <v>#DIV/0!</v>
      </c>
      <c r="I15" s="249" t="e">
        <f t="shared" si="4"/>
        <v>#DIV/0!</v>
      </c>
      <c r="J15" s="249" t="e">
        <f t="shared" si="4"/>
        <v>#DIV/0!</v>
      </c>
      <c r="K15" s="249" t="e">
        <f t="shared" si="4"/>
        <v>#DIV/0!</v>
      </c>
      <c r="L15" s="249" t="e">
        <f t="shared" si="4"/>
        <v>#DIV/0!</v>
      </c>
      <c r="M15" s="249" t="e">
        <f t="shared" si="4"/>
        <v>#DIV/0!</v>
      </c>
      <c r="N15" s="249" t="e">
        <f t="shared" si="4"/>
        <v>#DIV/0!</v>
      </c>
    </row>
    <row r="16" spans="1:14" s="9" customFormat="1" outlineLevel="1">
      <c r="A16" s="163" t="s">
        <v>144</v>
      </c>
      <c r="B16" s="179"/>
      <c r="C16" s="246">
        <f>'P&amp;L (направления)'!H21</f>
        <v>0</v>
      </c>
      <c r="D16" s="247">
        <f>'P&amp;L (направления)'!M21</f>
        <v>0</v>
      </c>
      <c r="E16" s="247">
        <f>'P&amp;L (направления)'!R21</f>
        <v>0</v>
      </c>
      <c r="F16" s="247">
        <f>'P&amp;L (направления)'!W21</f>
        <v>0</v>
      </c>
      <c r="G16" s="247">
        <f>'P&amp;L (направления)'!AB21</f>
        <v>0</v>
      </c>
      <c r="H16" s="247">
        <f>'P&amp;L (направления)'!AG21</f>
        <v>0</v>
      </c>
      <c r="I16" s="247">
        <f>'P&amp;L (направления)'!AL21</f>
        <v>0</v>
      </c>
      <c r="J16" s="247">
        <f>'P&amp;L (направления)'!AQ21</f>
        <v>0</v>
      </c>
      <c r="K16" s="247">
        <f>'P&amp;L (направления)'!AV21</f>
        <v>0</v>
      </c>
      <c r="L16" s="247">
        <f>'P&amp;L (направления)'!BA21</f>
        <v>0</v>
      </c>
      <c r="M16" s="247">
        <f>'P&amp;L (направления)'!BF21</f>
        <v>0</v>
      </c>
      <c r="N16" s="247">
        <f>'P&amp;L (направления)'!BJ21</f>
        <v>0</v>
      </c>
    </row>
    <row r="17" spans="1:14" s="206" customFormat="1" ht="11.25" outlineLevel="1">
      <c r="A17" s="202" t="s">
        <v>142</v>
      </c>
      <c r="B17" s="203"/>
      <c r="C17" s="249">
        <f t="shared" ref="C17:N17" si="5">C16/C8</f>
        <v>0</v>
      </c>
      <c r="D17" s="249">
        <f t="shared" si="5"/>
        <v>0</v>
      </c>
      <c r="E17" s="249">
        <f t="shared" si="5"/>
        <v>0</v>
      </c>
      <c r="F17" s="249">
        <f t="shared" si="5"/>
        <v>0</v>
      </c>
      <c r="G17" s="249">
        <f t="shared" si="5"/>
        <v>0</v>
      </c>
      <c r="H17" s="249">
        <f t="shared" si="5"/>
        <v>0</v>
      </c>
      <c r="I17" s="249" t="e">
        <f t="shared" si="5"/>
        <v>#DIV/0!</v>
      </c>
      <c r="J17" s="249" t="e">
        <f t="shared" si="5"/>
        <v>#DIV/0!</v>
      </c>
      <c r="K17" s="249" t="e">
        <f t="shared" si="5"/>
        <v>#DIV/0!</v>
      </c>
      <c r="L17" s="249" t="e">
        <f t="shared" si="5"/>
        <v>#DIV/0!</v>
      </c>
      <c r="M17" s="249" t="e">
        <f t="shared" si="5"/>
        <v>#DIV/0!</v>
      </c>
      <c r="N17" s="249" t="e">
        <f t="shared" si="5"/>
        <v>#DIV/0!</v>
      </c>
    </row>
    <row r="18" spans="1:14" s="9" customFormat="1" outlineLevel="1">
      <c r="A18" s="163" t="s">
        <v>15</v>
      </c>
      <c r="B18" s="179"/>
      <c r="C18" s="246">
        <f>'P&amp;L (направления)'!H23</f>
        <v>8461</v>
      </c>
      <c r="D18" s="247">
        <f>'P&amp;L (направления)'!M23</f>
        <v>28094</v>
      </c>
      <c r="E18" s="247">
        <f>'P&amp;L (направления)'!R23</f>
        <v>32497</v>
      </c>
      <c r="F18" s="247">
        <f>'P&amp;L (направления)'!W23</f>
        <v>17902</v>
      </c>
      <c r="G18" s="247">
        <f>'P&amp;L (направления)'!AB23</f>
        <v>0</v>
      </c>
      <c r="H18" s="247">
        <f>'P&amp;L (направления)'!AG23</f>
        <v>0</v>
      </c>
      <c r="I18" s="247">
        <f>'P&amp;L (направления)'!AL23</f>
        <v>0</v>
      </c>
      <c r="J18" s="247">
        <f>'P&amp;L (направления)'!AQ23</f>
        <v>0</v>
      </c>
      <c r="K18" s="247">
        <f>'P&amp;L (направления)'!AV23</f>
        <v>0</v>
      </c>
      <c r="L18" s="247">
        <f>'P&amp;L (направления)'!BA23</f>
        <v>0</v>
      </c>
      <c r="M18" s="247">
        <f>'P&amp;L (направления)'!BF23</f>
        <v>0</v>
      </c>
      <c r="N18" s="247">
        <f>'P&amp;L (направления)'!BJ23</f>
        <v>0</v>
      </c>
    </row>
    <row r="19" spans="1:14" s="206" customFormat="1" ht="11.25" outlineLevel="1">
      <c r="A19" s="202" t="s">
        <v>140</v>
      </c>
      <c r="B19" s="203"/>
      <c r="C19" s="249">
        <f t="shared" ref="C19:N19" si="6">C18/C6</f>
        <v>1.5210130259548352E-2</v>
      </c>
      <c r="D19" s="249">
        <f t="shared" si="6"/>
        <v>4.5713560463806979E-2</v>
      </c>
      <c r="E19" s="249">
        <f t="shared" si="6"/>
        <v>4.8678080858011653E-2</v>
      </c>
      <c r="F19" s="249">
        <f t="shared" si="6"/>
        <v>3.449923878900002E-2</v>
      </c>
      <c r="G19" s="249">
        <f t="shared" si="6"/>
        <v>0</v>
      </c>
      <c r="H19" s="249" t="e">
        <f t="shared" si="6"/>
        <v>#DIV/0!</v>
      </c>
      <c r="I19" s="249" t="e">
        <f t="shared" si="6"/>
        <v>#DIV/0!</v>
      </c>
      <c r="J19" s="249" t="e">
        <f t="shared" si="6"/>
        <v>#DIV/0!</v>
      </c>
      <c r="K19" s="249" t="e">
        <f t="shared" si="6"/>
        <v>#DIV/0!</v>
      </c>
      <c r="L19" s="249" t="e">
        <f t="shared" si="6"/>
        <v>#DIV/0!</v>
      </c>
      <c r="M19" s="249" t="e">
        <f t="shared" si="6"/>
        <v>#DIV/0!</v>
      </c>
      <c r="N19" s="249" t="e">
        <f t="shared" si="6"/>
        <v>#DIV/0!</v>
      </c>
    </row>
    <row r="20" spans="1:14" s="9" customFormat="1" outlineLevel="1">
      <c r="A20" s="163" t="s">
        <v>31</v>
      </c>
      <c r="B20" s="179"/>
      <c r="C20" s="250">
        <f>'P&amp;L (направления)'!H27</f>
        <v>28439.94</v>
      </c>
      <c r="D20" s="251">
        <f>'P&amp;L (направления)'!M27</f>
        <v>26611</v>
      </c>
      <c r="E20" s="251">
        <f>'P&amp;L (направления)'!R27</f>
        <v>38608.800000000003</v>
      </c>
      <c r="F20" s="251">
        <f>'P&amp;L (направления)'!W27</f>
        <v>21424.6</v>
      </c>
      <c r="G20" s="251">
        <f>'P&amp;L (направления)'!AB27</f>
        <v>31366.5</v>
      </c>
      <c r="H20" s="251">
        <f>'P&amp;L (направления)'!AG27</f>
        <v>0</v>
      </c>
      <c r="I20" s="251">
        <f>'P&amp;L (направления)'!AL27</f>
        <v>0</v>
      </c>
      <c r="J20" s="251">
        <f>'P&amp;L (направления)'!AQ27</f>
        <v>0</v>
      </c>
      <c r="K20" s="251">
        <f>'P&amp;L (направления)'!AV27</f>
        <v>0</v>
      </c>
      <c r="L20" s="251">
        <f>'P&amp;L (направления)'!BA27</f>
        <v>0</v>
      </c>
      <c r="M20" s="251">
        <f>'P&amp;L (направления)'!BF27</f>
        <v>0</v>
      </c>
      <c r="N20" s="251">
        <f>'P&amp;L (направления)'!BJ27</f>
        <v>0</v>
      </c>
    </row>
    <row r="21" spans="1:14" s="206" customFormat="1" ht="12" outlineLevel="1" thickBot="1">
      <c r="A21" s="202" t="s">
        <v>141</v>
      </c>
      <c r="B21" s="203"/>
      <c r="C21" s="249">
        <f t="shared" ref="C21:N21" si="7">C20/C6</f>
        <v>5.1125776146287619E-2</v>
      </c>
      <c r="D21" s="249">
        <f t="shared" si="7"/>
        <v>4.3300475457477311E-2</v>
      </c>
      <c r="E21" s="249">
        <f t="shared" si="7"/>
        <v>5.7833101154900465E-2</v>
      </c>
      <c r="F21" s="249">
        <f t="shared" si="7"/>
        <v>4.1287699215663602E-2</v>
      </c>
      <c r="G21" s="249">
        <f t="shared" si="7"/>
        <v>7.8369815884088673E-2</v>
      </c>
      <c r="H21" s="249" t="e">
        <f t="shared" si="7"/>
        <v>#DIV/0!</v>
      </c>
      <c r="I21" s="249" t="e">
        <f t="shared" si="7"/>
        <v>#DIV/0!</v>
      </c>
      <c r="J21" s="249" t="e">
        <f t="shared" si="7"/>
        <v>#DIV/0!</v>
      </c>
      <c r="K21" s="249" t="e">
        <f t="shared" si="7"/>
        <v>#DIV/0!</v>
      </c>
      <c r="L21" s="249" t="e">
        <f t="shared" si="7"/>
        <v>#DIV/0!</v>
      </c>
      <c r="M21" s="249" t="e">
        <f t="shared" si="7"/>
        <v>#DIV/0!</v>
      </c>
      <c r="N21" s="249" t="e">
        <f t="shared" si="7"/>
        <v>#DIV/0!</v>
      </c>
    </row>
    <row r="22" spans="1:14" s="9" customFormat="1" ht="15.75" thickBot="1">
      <c r="A22" s="152" t="s">
        <v>131</v>
      </c>
      <c r="B22" s="178"/>
      <c r="C22" s="189">
        <f t="shared" ref="C22:N22" si="8">C6-C11</f>
        <v>351183.06</v>
      </c>
      <c r="D22" s="154">
        <f t="shared" si="8"/>
        <v>376901</v>
      </c>
      <c r="E22" s="154">
        <f t="shared" si="8"/>
        <v>397774.2</v>
      </c>
      <c r="F22" s="154">
        <f t="shared" si="8"/>
        <v>306406.40000000002</v>
      </c>
      <c r="G22" s="154">
        <f t="shared" si="8"/>
        <v>184327.5</v>
      </c>
      <c r="H22" s="154">
        <f t="shared" si="8"/>
        <v>0</v>
      </c>
      <c r="I22" s="154">
        <f t="shared" si="8"/>
        <v>0</v>
      </c>
      <c r="J22" s="154">
        <f t="shared" si="8"/>
        <v>0</v>
      </c>
      <c r="K22" s="154">
        <f t="shared" si="8"/>
        <v>0</v>
      </c>
      <c r="L22" s="154">
        <f t="shared" si="8"/>
        <v>0</v>
      </c>
      <c r="M22" s="154">
        <f t="shared" si="8"/>
        <v>0</v>
      </c>
      <c r="N22" s="154">
        <f t="shared" si="8"/>
        <v>0</v>
      </c>
    </row>
    <row r="23" spans="1:14" s="9" customFormat="1" ht="15.75" thickBot="1">
      <c r="A23" s="156" t="s">
        <v>132</v>
      </c>
      <c r="B23" s="180"/>
      <c r="C23" s="192">
        <f t="shared" ref="C23:N23" si="9">C22/C6</f>
        <v>0.63131309390695955</v>
      </c>
      <c r="D23" s="170">
        <f t="shared" si="9"/>
        <v>0.61327994064103775</v>
      </c>
      <c r="E23" s="170">
        <f t="shared" si="9"/>
        <v>0.59583606704713976</v>
      </c>
      <c r="F23" s="170">
        <f t="shared" si="9"/>
        <v>0.5904808155556841</v>
      </c>
      <c r="G23" s="170">
        <f t="shared" si="9"/>
        <v>0.46054587656813339</v>
      </c>
      <c r="H23" s="170" t="e">
        <f t="shared" si="9"/>
        <v>#DIV/0!</v>
      </c>
      <c r="I23" s="170" t="e">
        <f t="shared" si="9"/>
        <v>#DIV/0!</v>
      </c>
      <c r="J23" s="170" t="e">
        <f t="shared" si="9"/>
        <v>#DIV/0!</v>
      </c>
      <c r="K23" s="170" t="e">
        <f t="shared" si="9"/>
        <v>#DIV/0!</v>
      </c>
      <c r="L23" s="170" t="e">
        <f t="shared" si="9"/>
        <v>#DIV/0!</v>
      </c>
      <c r="M23" s="170" t="e">
        <f t="shared" si="9"/>
        <v>#DIV/0!</v>
      </c>
      <c r="N23" s="170" t="e">
        <f t="shared" si="9"/>
        <v>#DIV/0!</v>
      </c>
    </row>
    <row r="24" spans="1:14" s="9" customFormat="1">
      <c r="A24" s="152" t="s">
        <v>133</v>
      </c>
      <c r="B24" s="178"/>
      <c r="C24" s="189">
        <f t="shared" ref="C24:N24" si="10">SUM(C25:C30)</f>
        <v>502764.61499999999</v>
      </c>
      <c r="D24" s="154">
        <f t="shared" si="10"/>
        <v>501451.84499999997</v>
      </c>
      <c r="E24" s="154">
        <f t="shared" si="10"/>
        <v>360424.17351910926</v>
      </c>
      <c r="F24" s="154">
        <f t="shared" si="10"/>
        <v>358283.87137463875</v>
      </c>
      <c r="G24" s="154">
        <f t="shared" si="10"/>
        <v>207022.07600105723</v>
      </c>
      <c r="H24" s="154">
        <f t="shared" si="10"/>
        <v>0</v>
      </c>
      <c r="I24" s="154">
        <f t="shared" si="10"/>
        <v>0</v>
      </c>
      <c r="J24" s="154">
        <f t="shared" si="10"/>
        <v>0</v>
      </c>
      <c r="K24" s="154">
        <f t="shared" si="10"/>
        <v>0</v>
      </c>
      <c r="L24" s="154">
        <f t="shared" si="10"/>
        <v>0</v>
      </c>
      <c r="M24" s="154">
        <f t="shared" si="10"/>
        <v>0</v>
      </c>
      <c r="N24" s="154">
        <f t="shared" si="10"/>
        <v>0</v>
      </c>
    </row>
    <row r="25" spans="1:14" s="9" customFormat="1" outlineLevel="1">
      <c r="A25" s="163" t="s">
        <v>24</v>
      </c>
      <c r="B25" s="179"/>
      <c r="C25" s="246">
        <f>'P&amp;L (направления)'!H32</f>
        <v>150000</v>
      </c>
      <c r="D25" s="247">
        <f>'P&amp;L (направления)'!M32</f>
        <v>150000</v>
      </c>
      <c r="E25" s="247">
        <f>'P&amp;L (направления)'!R32</f>
        <v>150000</v>
      </c>
      <c r="F25" s="247">
        <f>'P&amp;L (направления)'!W32</f>
        <v>181309</v>
      </c>
      <c r="G25" s="247">
        <f>'P&amp;L (направления)'!AB32</f>
        <v>65000</v>
      </c>
      <c r="H25" s="247">
        <f>'P&amp;L (направления)'!AG32</f>
        <v>0</v>
      </c>
      <c r="I25" s="247">
        <f>'P&amp;L (направления)'!AL32</f>
        <v>0</v>
      </c>
      <c r="J25" s="247">
        <f>'P&amp;L (направления)'!AQ32</f>
        <v>0</v>
      </c>
      <c r="K25" s="247">
        <f>'P&amp;L (направления)'!AV32</f>
        <v>0</v>
      </c>
      <c r="L25" s="247">
        <f>'P&amp;L (направления)'!BA32</f>
        <v>0</v>
      </c>
      <c r="M25" s="247">
        <f>'P&amp;L (направления)'!BF32</f>
        <v>0</v>
      </c>
      <c r="N25" s="247">
        <f>'P&amp;L (направления)'!BJ32</f>
        <v>0</v>
      </c>
    </row>
    <row r="26" spans="1:14" s="9" customFormat="1" outlineLevel="1">
      <c r="A26" s="163" t="s">
        <v>35</v>
      </c>
      <c r="B26" s="179"/>
      <c r="C26" s="246">
        <f>'P&amp;L (направления)'!H33</f>
        <v>64049.264999999999</v>
      </c>
      <c r="D26" s="247">
        <f>'P&amp;L (направления)'!M33</f>
        <v>54730.285000000003</v>
      </c>
      <c r="E26" s="247">
        <f>'P&amp;L (направления)'!R33</f>
        <v>53505</v>
      </c>
      <c r="F26" s="247">
        <f>'P&amp;L (направления)'!W33</f>
        <v>53327.86</v>
      </c>
      <c r="G26" s="247">
        <f>'P&amp;L (направления)'!AB33</f>
        <v>22631.71</v>
      </c>
      <c r="H26" s="247">
        <f>'P&amp;L (направления)'!AG33</f>
        <v>0</v>
      </c>
      <c r="I26" s="247">
        <f>'P&amp;L (направления)'!AL33</f>
        <v>0</v>
      </c>
      <c r="J26" s="247">
        <f>'P&amp;L (направления)'!AQ33</f>
        <v>0</v>
      </c>
      <c r="K26" s="247">
        <f>'P&amp;L (направления)'!AV33</f>
        <v>0</v>
      </c>
      <c r="L26" s="247">
        <f>'P&amp;L (направления)'!BA33</f>
        <v>0</v>
      </c>
      <c r="M26" s="247">
        <f>'P&amp;L (направления)'!BF33</f>
        <v>0</v>
      </c>
      <c r="N26" s="247">
        <f>'P&amp;L (направления)'!BJ33</f>
        <v>0</v>
      </c>
    </row>
    <row r="27" spans="1:14" s="9" customFormat="1" outlineLevel="1">
      <c r="A27" s="163" t="s">
        <v>23</v>
      </c>
      <c r="B27" s="179"/>
      <c r="C27" s="246">
        <f>'P&amp;L (направления)'!H34</f>
        <v>74555.350000000006</v>
      </c>
      <c r="D27" s="247">
        <f>'P&amp;L (направления)'!M34</f>
        <v>80770.559999999998</v>
      </c>
      <c r="E27" s="247">
        <f>'P&amp;L (направления)'!R34</f>
        <v>81443.789999999994</v>
      </c>
      <c r="F27" s="247">
        <f>'P&amp;L (направления)'!W34</f>
        <v>51477.08</v>
      </c>
      <c r="G27" s="247">
        <f>'P&amp;L (направления)'!AB34</f>
        <v>15098.97</v>
      </c>
      <c r="H27" s="247">
        <f>'P&amp;L (направления)'!AG34</f>
        <v>0</v>
      </c>
      <c r="I27" s="247">
        <f>'P&amp;L (направления)'!AL34</f>
        <v>0</v>
      </c>
      <c r="J27" s="247">
        <f>'P&amp;L (направления)'!AQ34</f>
        <v>0</v>
      </c>
      <c r="K27" s="247">
        <f>'P&amp;L (направления)'!AV34</f>
        <v>0</v>
      </c>
      <c r="L27" s="247">
        <f>'P&amp;L (направления)'!BA34</f>
        <v>0</v>
      </c>
      <c r="M27" s="247">
        <f>'P&amp;L (направления)'!BF34</f>
        <v>0</v>
      </c>
      <c r="N27" s="247">
        <f>'P&amp;L (направления)'!BJ34</f>
        <v>0</v>
      </c>
    </row>
    <row r="28" spans="1:14" s="9" customFormat="1" outlineLevel="1">
      <c r="A28" s="163" t="s">
        <v>10</v>
      </c>
      <c r="B28" s="179"/>
      <c r="C28" s="246">
        <f>'P&amp;L (направления)'!H35</f>
        <v>3160</v>
      </c>
      <c r="D28" s="247">
        <f>'P&amp;L (направления)'!M35</f>
        <v>4951</v>
      </c>
      <c r="E28" s="247">
        <f>'P&amp;L (направления)'!R35</f>
        <v>6135</v>
      </c>
      <c r="F28" s="247">
        <f>'P&amp;L (направления)'!W35</f>
        <v>1530</v>
      </c>
      <c r="G28" s="247">
        <f>'P&amp;L (направления)'!AB35</f>
        <v>738</v>
      </c>
      <c r="H28" s="247">
        <f>'P&amp;L (направления)'!AG35</f>
        <v>0</v>
      </c>
      <c r="I28" s="247">
        <f>'P&amp;L (направления)'!AL35</f>
        <v>0</v>
      </c>
      <c r="J28" s="247">
        <f>'P&amp;L (направления)'!AQ35</f>
        <v>0</v>
      </c>
      <c r="K28" s="247">
        <f>'P&amp;L (направления)'!AV35</f>
        <v>0</v>
      </c>
      <c r="L28" s="247">
        <f>'P&amp;L (направления)'!BA35</f>
        <v>0</v>
      </c>
      <c r="M28" s="247">
        <f>'P&amp;L (направления)'!BF35</f>
        <v>0</v>
      </c>
      <c r="N28" s="247">
        <f>'P&amp;L (направления)'!BJ35</f>
        <v>0</v>
      </c>
    </row>
    <row r="29" spans="1:14" s="9" customFormat="1" outlineLevel="1">
      <c r="A29" s="163"/>
      <c r="B29" s="179"/>
      <c r="C29" s="246">
        <f>'P&amp;L (направления)'!H44</f>
        <v>0</v>
      </c>
      <c r="D29" s="247">
        <f>'P&amp;L (направления)'!M44</f>
        <v>0</v>
      </c>
      <c r="E29" s="247">
        <f>'P&amp;L (направления)'!R44</f>
        <v>1000</v>
      </c>
      <c r="F29" s="247">
        <f>'P&amp;L (направления)'!W44</f>
        <v>5450</v>
      </c>
      <c r="G29" s="247">
        <f>'P&amp;L (направления)'!AB44</f>
        <v>0</v>
      </c>
      <c r="H29" s="247">
        <f>'P&amp;L (направления)'!AG44</f>
        <v>0</v>
      </c>
      <c r="I29" s="247">
        <f>'P&amp;L (направления)'!AL44</f>
        <v>0</v>
      </c>
      <c r="J29" s="247">
        <f>'P&amp;L (направления)'!AQ44</f>
        <v>0</v>
      </c>
      <c r="K29" s="247">
        <f>'P&amp;L (направления)'!AV44</f>
        <v>0</v>
      </c>
      <c r="L29" s="247">
        <f>'P&amp;L (направления)'!BA44</f>
        <v>0</v>
      </c>
      <c r="M29" s="247">
        <f>'P&amp;L (направления)'!BF44</f>
        <v>0</v>
      </c>
      <c r="N29" s="247">
        <f>'P&amp;L (направления)'!BJ44</f>
        <v>0</v>
      </c>
    </row>
    <row r="30" spans="1:14" s="9" customFormat="1" ht="15.75" outlineLevel="1" thickBot="1">
      <c r="A30" s="163"/>
      <c r="B30" s="179"/>
      <c r="C30" s="246">
        <f>'P&amp;L (направления)'!H45</f>
        <v>211000</v>
      </c>
      <c r="D30" s="247">
        <f>'P&amp;L (направления)'!M45</f>
        <v>211000</v>
      </c>
      <c r="E30" s="247">
        <f>'P&amp;L (направления)'!R45</f>
        <v>68340.383519109251</v>
      </c>
      <c r="F30" s="247">
        <f>'P&amp;L (направления)'!W45</f>
        <v>65189.931374638742</v>
      </c>
      <c r="G30" s="247">
        <f>'P&amp;L (направления)'!AB45</f>
        <v>103553.39600105722</v>
      </c>
      <c r="H30" s="247">
        <f>'P&amp;L (направления)'!AG45</f>
        <v>0</v>
      </c>
      <c r="I30" s="247">
        <f>'P&amp;L (направления)'!AL45</f>
        <v>0</v>
      </c>
      <c r="J30" s="247">
        <f>'P&amp;L (направления)'!AQ45</f>
        <v>0</v>
      </c>
      <c r="K30" s="247">
        <f>'P&amp;L (направления)'!AV45</f>
        <v>0</v>
      </c>
      <c r="L30" s="247">
        <f>'P&amp;L (направления)'!BA45</f>
        <v>0</v>
      </c>
      <c r="M30" s="247">
        <f>'P&amp;L (направления)'!BF45</f>
        <v>0</v>
      </c>
      <c r="N30" s="247">
        <f>'P&amp;L (направления)'!BJ45</f>
        <v>0</v>
      </c>
    </row>
    <row r="31" spans="1:14" s="9" customFormat="1" ht="15.75" thickBot="1">
      <c r="A31" s="152" t="s">
        <v>135</v>
      </c>
      <c r="B31" s="256">
        <f>SUM(C31:N31)</f>
        <v>-313354.42089480517</v>
      </c>
      <c r="C31" s="189">
        <f t="shared" ref="C31:N31" si="11">C22-C24</f>
        <v>-151581.55499999999</v>
      </c>
      <c r="D31" s="154">
        <f t="shared" si="11"/>
        <v>-124550.84499999997</v>
      </c>
      <c r="E31" s="154">
        <f t="shared" si="11"/>
        <v>37350.026480890752</v>
      </c>
      <c r="F31" s="154">
        <f t="shared" si="11"/>
        <v>-51877.471374638728</v>
      </c>
      <c r="G31" s="154">
        <f t="shared" si="11"/>
        <v>-22694.576001057227</v>
      </c>
      <c r="H31" s="154">
        <f t="shared" si="11"/>
        <v>0</v>
      </c>
      <c r="I31" s="154">
        <f t="shared" si="11"/>
        <v>0</v>
      </c>
      <c r="J31" s="154">
        <f t="shared" si="11"/>
        <v>0</v>
      </c>
      <c r="K31" s="154">
        <f t="shared" si="11"/>
        <v>0</v>
      </c>
      <c r="L31" s="154">
        <f t="shared" si="11"/>
        <v>0</v>
      </c>
      <c r="M31" s="154">
        <f t="shared" si="11"/>
        <v>0</v>
      </c>
      <c r="N31" s="154">
        <f t="shared" si="11"/>
        <v>0</v>
      </c>
    </row>
    <row r="32" spans="1:14" s="9" customFormat="1">
      <c r="A32" s="156" t="s">
        <v>136</v>
      </c>
      <c r="B32" s="180"/>
      <c r="C32" s="192">
        <f t="shared" ref="C32:N32" si="12">C31/C6</f>
        <v>-0.27249440922998375</v>
      </c>
      <c r="D32" s="170">
        <f t="shared" si="12"/>
        <v>-0.20266471786594112</v>
      </c>
      <c r="E32" s="170">
        <f t="shared" si="12"/>
        <v>5.5947552361315704E-2</v>
      </c>
      <c r="F32" s="170">
        <f t="shared" si="12"/>
        <v>-9.9973928763444006E-2</v>
      </c>
      <c r="G32" s="170">
        <f t="shared" si="12"/>
        <v>-5.6702843567829127E-2</v>
      </c>
      <c r="H32" s="170" t="e">
        <f t="shared" si="12"/>
        <v>#DIV/0!</v>
      </c>
      <c r="I32" s="170" t="e">
        <f t="shared" si="12"/>
        <v>#DIV/0!</v>
      </c>
      <c r="J32" s="170" t="e">
        <f t="shared" si="12"/>
        <v>#DIV/0!</v>
      </c>
      <c r="K32" s="170" t="e">
        <f t="shared" si="12"/>
        <v>#DIV/0!</v>
      </c>
      <c r="L32" s="170" t="e">
        <f t="shared" si="12"/>
        <v>#DIV/0!</v>
      </c>
      <c r="M32" s="170" t="e">
        <f t="shared" si="12"/>
        <v>#DIV/0!</v>
      </c>
      <c r="N32" s="170" t="e">
        <f t="shared" si="12"/>
        <v>#DIV/0!</v>
      </c>
    </row>
  </sheetData>
  <mergeCells count="1">
    <mergeCell ref="A3:A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outlinePr summaryBelow="0" summaryRight="0"/>
  </sheetPr>
  <dimension ref="A1:N32"/>
  <sheetViews>
    <sheetView topLeftCell="A3" zoomScaleNormal="100" workbookViewId="0">
      <pane xSplit="1" ySplit="8" topLeftCell="B11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40625" defaultRowHeight="15" outlineLevelRow="1"/>
  <cols>
    <col min="1" max="1" width="36" style="6" customWidth="1"/>
    <col min="2" max="2" width="10" style="6" customWidth="1"/>
    <col min="3" max="4" width="10.5703125" style="7" customWidth="1"/>
    <col min="5" max="10" width="9.140625" style="7" customWidth="1"/>
    <col min="11" max="11" width="11.42578125" style="7" customWidth="1"/>
    <col min="12" max="14" width="9.140625" style="7" customWidth="1"/>
    <col min="15" max="16384" width="9.140625" style="7"/>
  </cols>
  <sheetData>
    <row r="1" spans="1:14" s="2" customFormat="1" ht="25.5" customHeight="1">
      <c r="A1" s="1" t="s">
        <v>0</v>
      </c>
      <c r="B1" s="1"/>
      <c r="D1" s="3"/>
      <c r="E1" s="3"/>
      <c r="F1" s="3"/>
      <c r="G1" s="3"/>
      <c r="H1" s="3"/>
      <c r="I1" s="3"/>
    </row>
    <row r="2" spans="1:14" ht="15.75" thickBot="1"/>
    <row r="3" spans="1:14" s="8" customFormat="1" ht="15.95" customHeight="1" thickBot="1">
      <c r="A3" s="294" t="s">
        <v>129</v>
      </c>
      <c r="B3" s="238"/>
      <c r="C3" s="208" t="s">
        <v>175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14" s="8" customFormat="1" ht="15" customHeight="1" thickBot="1">
      <c r="A4" s="295"/>
      <c r="B4" s="207" t="e">
        <f>'P&amp;L (направления)'!#REF!</f>
        <v>#REF!</v>
      </c>
      <c r="C4" s="150" t="s">
        <v>1</v>
      </c>
      <c r="D4" s="150" t="s">
        <v>38</v>
      </c>
      <c r="E4" s="150" t="s">
        <v>39</v>
      </c>
      <c r="F4" s="150" t="s">
        <v>40</v>
      </c>
      <c r="G4" s="150" t="s">
        <v>41</v>
      </c>
      <c r="H4" s="150" t="s">
        <v>42</v>
      </c>
      <c r="I4" s="150" t="s">
        <v>43</v>
      </c>
      <c r="J4" s="150" t="s">
        <v>44</v>
      </c>
      <c r="K4" s="150" t="s">
        <v>45</v>
      </c>
      <c r="L4" s="150" t="s">
        <v>46</v>
      </c>
      <c r="M4" s="150" t="s">
        <v>47</v>
      </c>
      <c r="N4" s="150" t="s">
        <v>48</v>
      </c>
    </row>
    <row r="5" spans="1:14" s="9" customFormat="1" ht="15.75" thickBot="1">
      <c r="A5" s="104" t="s">
        <v>124</v>
      </c>
      <c r="B5" s="175"/>
      <c r="C5" s="183">
        <f>'P&amp;L (направления)'!I8</f>
        <v>100000</v>
      </c>
      <c r="D5" s="10">
        <f>'P&amp;L (направления)'!N8</f>
        <v>150000</v>
      </c>
      <c r="E5" s="10">
        <f>'P&amp;L (направления)'!S8</f>
        <v>200000</v>
      </c>
      <c r="F5" s="10">
        <f>'P&amp;L (направления)'!X8</f>
        <v>200000</v>
      </c>
      <c r="G5" s="10">
        <f>'P&amp;L (направления)'!AC8</f>
        <v>180000</v>
      </c>
      <c r="H5" s="10">
        <f>'P&amp;L (направления)'!AH8</f>
        <v>180000</v>
      </c>
      <c r="I5" s="10">
        <f>'P&amp;L (направления)'!AM8</f>
        <v>0</v>
      </c>
      <c r="J5" s="10">
        <f>'P&amp;L (направления)'!AR8</f>
        <v>0</v>
      </c>
      <c r="K5" s="10">
        <f>'P&amp;L (направления)'!AW8</f>
        <v>0</v>
      </c>
      <c r="L5" s="10">
        <f>'P&amp;L (направления)'!BB8</f>
        <v>0</v>
      </c>
      <c r="M5" s="10">
        <f>'P&amp;L (направления)'!BG8</f>
        <v>0</v>
      </c>
      <c r="N5" s="10">
        <f>'P&amp;L (направления)'!BL8</f>
        <v>0</v>
      </c>
    </row>
    <row r="6" spans="1:14" s="9" customFormat="1" ht="15.75" thickBot="1">
      <c r="A6" s="165" t="s">
        <v>125</v>
      </c>
      <c r="B6" s="176"/>
      <c r="C6" s="184">
        <f>'P&amp;L (направления)'!I9</f>
        <v>83900</v>
      </c>
      <c r="D6" s="167">
        <f>'P&amp;L (направления)'!N9</f>
        <v>219700</v>
      </c>
      <c r="E6" s="167">
        <f>'P&amp;L (направления)'!S9</f>
        <v>266800</v>
      </c>
      <c r="F6" s="167">
        <f>'P&amp;L (направления)'!X9</f>
        <v>108600</v>
      </c>
      <c r="G6" s="167">
        <f>'P&amp;L (направления)'!AC9</f>
        <v>301050</v>
      </c>
      <c r="H6" s="167">
        <f>'P&amp;L (направления)'!AH9</f>
        <v>0</v>
      </c>
      <c r="I6" s="167">
        <f>'P&amp;L (направления)'!AM9</f>
        <v>0</v>
      </c>
      <c r="J6" s="167">
        <f>'P&amp;L (направления)'!AR9</f>
        <v>0</v>
      </c>
      <c r="K6" s="167">
        <f>'P&amp;L (направления)'!AW9</f>
        <v>0</v>
      </c>
      <c r="L6" s="167">
        <f>'P&amp;L (направления)'!BB9</f>
        <v>0</v>
      </c>
      <c r="M6" s="167">
        <f>'P&amp;L (направления)'!BG9</f>
        <v>0</v>
      </c>
      <c r="N6" s="167">
        <f>'P&amp;L (направления)'!BL9</f>
        <v>0</v>
      </c>
    </row>
    <row r="7" spans="1:14" s="9" customFormat="1" ht="15.75" hidden="1" thickBot="1">
      <c r="A7" s="242" t="s">
        <v>2</v>
      </c>
      <c r="B7" s="177"/>
      <c r="C7" s="185" t="e">
        <v>#REF!</v>
      </c>
      <c r="D7" s="119">
        <v>8566</v>
      </c>
      <c r="E7" s="119" t="e">
        <v>#REF!</v>
      </c>
      <c r="F7" s="119" t="e">
        <v>#REF!</v>
      </c>
      <c r="G7" s="119" t="e">
        <v>#REF!</v>
      </c>
      <c r="H7" s="119" t="e">
        <v>#REF!</v>
      </c>
      <c r="I7" s="119" t="e">
        <v>#REF!</v>
      </c>
      <c r="J7" s="119" t="e">
        <v>#REF!</v>
      </c>
      <c r="K7" s="119" t="e">
        <v>#REF!</v>
      </c>
      <c r="L7" s="119" t="e">
        <v>#REF!</v>
      </c>
      <c r="M7" s="119" t="e">
        <v>#REF!</v>
      </c>
      <c r="N7" s="119" t="e">
        <v>#REF!</v>
      </c>
    </row>
    <row r="8" spans="1:14" s="9" customFormat="1" ht="15.75" hidden="1" thickBot="1">
      <c r="A8" s="121" t="s">
        <v>3</v>
      </c>
      <c r="B8" s="177"/>
      <c r="C8" s="186">
        <f t="shared" ref="C8:N8" si="0">C6-C5</f>
        <v>-16100</v>
      </c>
      <c r="D8" s="123">
        <f t="shared" si="0"/>
        <v>69700</v>
      </c>
      <c r="E8" s="123">
        <f t="shared" si="0"/>
        <v>66800</v>
      </c>
      <c r="F8" s="123">
        <f t="shared" si="0"/>
        <v>-91400</v>
      </c>
      <c r="G8" s="123">
        <f t="shared" si="0"/>
        <v>121050</v>
      </c>
      <c r="H8" s="123">
        <f t="shared" si="0"/>
        <v>-180000</v>
      </c>
      <c r="I8" s="123">
        <f t="shared" si="0"/>
        <v>0</v>
      </c>
      <c r="J8" s="123">
        <f t="shared" si="0"/>
        <v>0</v>
      </c>
      <c r="K8" s="123">
        <f t="shared" si="0"/>
        <v>0</v>
      </c>
      <c r="L8" s="123">
        <f t="shared" si="0"/>
        <v>0</v>
      </c>
      <c r="M8" s="123">
        <f t="shared" si="0"/>
        <v>0</v>
      </c>
      <c r="N8" s="123">
        <f t="shared" si="0"/>
        <v>0</v>
      </c>
    </row>
    <row r="9" spans="1:14" s="11" customFormat="1" ht="15.75" hidden="1" thickBot="1">
      <c r="A9" s="125" t="s">
        <v>4</v>
      </c>
      <c r="B9" s="177"/>
      <c r="C9" s="187">
        <f t="shared" ref="C9:N9" si="1">C8/C5</f>
        <v>-0.161</v>
      </c>
      <c r="D9" s="127">
        <f t="shared" si="1"/>
        <v>0.46466666666666667</v>
      </c>
      <c r="E9" s="127">
        <f t="shared" si="1"/>
        <v>0.33400000000000002</v>
      </c>
      <c r="F9" s="127">
        <f t="shared" si="1"/>
        <v>-0.45700000000000002</v>
      </c>
      <c r="G9" s="127">
        <f t="shared" si="1"/>
        <v>0.67249999999999999</v>
      </c>
      <c r="H9" s="127">
        <f t="shared" si="1"/>
        <v>-1</v>
      </c>
      <c r="I9" s="127" t="e">
        <f t="shared" si="1"/>
        <v>#DIV/0!</v>
      </c>
      <c r="J9" s="127" t="e">
        <f t="shared" si="1"/>
        <v>#DIV/0!</v>
      </c>
      <c r="K9" s="127" t="e">
        <f t="shared" si="1"/>
        <v>#DIV/0!</v>
      </c>
      <c r="L9" s="127" t="e">
        <f t="shared" si="1"/>
        <v>#DIV/0!</v>
      </c>
      <c r="M9" s="127" t="e">
        <f t="shared" si="1"/>
        <v>#DIV/0!</v>
      </c>
      <c r="N9" s="127" t="e">
        <f t="shared" si="1"/>
        <v>#DIV/0!</v>
      </c>
    </row>
    <row r="10" spans="1:14" s="9" customFormat="1" ht="15.75" hidden="1" thickBot="1">
      <c r="A10" s="129" t="s">
        <v>5</v>
      </c>
      <c r="B10" s="177"/>
      <c r="C10" s="188">
        <v>881103</v>
      </c>
      <c r="D10" s="131" t="e">
        <v>#REF!</v>
      </c>
      <c r="E10" s="131" t="e">
        <v>#REF!</v>
      </c>
      <c r="F10" s="131" t="e">
        <v>#REF!</v>
      </c>
      <c r="G10" s="131" t="e">
        <v>#REF!</v>
      </c>
      <c r="H10" s="131" t="e">
        <v>#REF!</v>
      </c>
      <c r="I10" s="131" t="e">
        <v>#REF!</v>
      </c>
      <c r="J10" s="131" t="e">
        <v>#REF!</v>
      </c>
      <c r="K10" s="131" t="e">
        <v>#REF!</v>
      </c>
      <c r="L10" s="131" t="e">
        <v>#REF!</v>
      </c>
      <c r="M10" s="131" t="e">
        <v>#REF!</v>
      </c>
      <c r="N10" s="131" t="e">
        <v>#REF!</v>
      </c>
    </row>
    <row r="11" spans="1:14" s="9" customFormat="1">
      <c r="A11" s="152" t="s">
        <v>130</v>
      </c>
      <c r="B11" s="178"/>
      <c r="C11" s="189">
        <f t="shared" ref="C11:N11" si="2">SUM(C12,C14,C16,C18,C20)</f>
        <v>5900</v>
      </c>
      <c r="D11" s="189">
        <f t="shared" si="2"/>
        <v>14200</v>
      </c>
      <c r="E11" s="189">
        <f t="shared" si="2"/>
        <v>8700</v>
      </c>
      <c r="F11" s="189">
        <f t="shared" si="2"/>
        <v>4700</v>
      </c>
      <c r="G11" s="189">
        <f t="shared" si="2"/>
        <v>90655</v>
      </c>
      <c r="H11" s="189">
        <f t="shared" si="2"/>
        <v>0</v>
      </c>
      <c r="I11" s="189">
        <f t="shared" si="2"/>
        <v>0</v>
      </c>
      <c r="J11" s="189">
        <f t="shared" si="2"/>
        <v>0</v>
      </c>
      <c r="K11" s="189">
        <f t="shared" si="2"/>
        <v>0</v>
      </c>
      <c r="L11" s="189">
        <f t="shared" si="2"/>
        <v>0</v>
      </c>
      <c r="M11" s="189">
        <f t="shared" si="2"/>
        <v>0</v>
      </c>
      <c r="N11" s="189">
        <f t="shared" si="2"/>
        <v>0</v>
      </c>
    </row>
    <row r="12" spans="1:14" s="9" customFormat="1" outlineLevel="1">
      <c r="A12" s="163" t="s">
        <v>34</v>
      </c>
      <c r="B12" s="179"/>
      <c r="C12" s="246">
        <f>'P&amp;L (направления)'!I15</f>
        <v>1400</v>
      </c>
      <c r="D12" s="247">
        <f>'P&amp;L (направления)'!N15</f>
        <v>1600</v>
      </c>
      <c r="E12" s="247">
        <f>'P&amp;L (направления)'!S15</f>
        <v>0</v>
      </c>
      <c r="F12" s="247">
        <f>'P&amp;L (направления)'!X15</f>
        <v>2000</v>
      </c>
      <c r="G12" s="247">
        <f>'P&amp;L (направления)'!AC15</f>
        <v>88855</v>
      </c>
      <c r="H12" s="247">
        <f>'P&amp;L (направления)'!AH15</f>
        <v>0</v>
      </c>
      <c r="I12" s="247">
        <f>'P&amp;L (направления)'!AM15</f>
        <v>0</v>
      </c>
      <c r="J12" s="247">
        <f>'P&amp;L (направления)'!AR15</f>
        <v>0</v>
      </c>
      <c r="K12" s="247">
        <f>'P&amp;L (направления)'!AW15</f>
        <v>0</v>
      </c>
      <c r="L12" s="247">
        <f>'P&amp;L (направления)'!BB15</f>
        <v>0</v>
      </c>
      <c r="M12" s="247">
        <f>'P&amp;L (направления)'!BG15</f>
        <v>0</v>
      </c>
      <c r="N12" s="247">
        <f>'P&amp;L (направления)'!BL15</f>
        <v>0</v>
      </c>
    </row>
    <row r="13" spans="1:14" s="206" customFormat="1" ht="11.25" outlineLevel="1">
      <c r="A13" s="202" t="s">
        <v>139</v>
      </c>
      <c r="B13" s="203"/>
      <c r="C13" s="249">
        <f t="shared" ref="C13:N13" si="3">C12/C6</f>
        <v>1.6686531585220502E-2</v>
      </c>
      <c r="D13" s="249">
        <f t="shared" si="3"/>
        <v>7.2826581702321348E-3</v>
      </c>
      <c r="E13" s="249">
        <f t="shared" si="3"/>
        <v>0</v>
      </c>
      <c r="F13" s="249">
        <f t="shared" si="3"/>
        <v>1.841620626151013E-2</v>
      </c>
      <c r="G13" s="249">
        <f t="shared" si="3"/>
        <v>0.29515030725793057</v>
      </c>
      <c r="H13" s="249" t="e">
        <f t="shared" si="3"/>
        <v>#DIV/0!</v>
      </c>
      <c r="I13" s="249" t="e">
        <f t="shared" si="3"/>
        <v>#DIV/0!</v>
      </c>
      <c r="J13" s="249" t="e">
        <f t="shared" si="3"/>
        <v>#DIV/0!</v>
      </c>
      <c r="K13" s="249" t="e">
        <f t="shared" si="3"/>
        <v>#DIV/0!</v>
      </c>
      <c r="L13" s="249" t="e">
        <f t="shared" si="3"/>
        <v>#DIV/0!</v>
      </c>
      <c r="M13" s="249" t="e">
        <f t="shared" si="3"/>
        <v>#DIV/0!</v>
      </c>
      <c r="N13" s="249" t="e">
        <f t="shared" si="3"/>
        <v>#DIV/0!</v>
      </c>
    </row>
    <row r="14" spans="1:14" s="9" customFormat="1" outlineLevel="1">
      <c r="A14" s="163" t="s">
        <v>118</v>
      </c>
      <c r="B14" s="179"/>
      <c r="C14" s="246">
        <f>'P&amp;L (направления)'!I19</f>
        <v>4500</v>
      </c>
      <c r="D14" s="247">
        <f>'P&amp;L (направления)'!N19</f>
        <v>12600</v>
      </c>
      <c r="E14" s="247">
        <f>'P&amp;L (направления)'!S19</f>
        <v>8700</v>
      </c>
      <c r="F14" s="247">
        <f>'P&amp;L (направления)'!X19</f>
        <v>2700</v>
      </c>
      <c r="G14" s="247">
        <f>'P&amp;L (направления)'!AC19</f>
        <v>1800</v>
      </c>
      <c r="H14" s="247">
        <f>'P&amp;L (направления)'!AH19</f>
        <v>0</v>
      </c>
      <c r="I14" s="247">
        <f>'P&amp;L (направления)'!AM19</f>
        <v>0</v>
      </c>
      <c r="J14" s="247">
        <f>'P&amp;L (направления)'!AR19</f>
        <v>0</v>
      </c>
      <c r="K14" s="247">
        <f>'P&amp;L (направления)'!AW19</f>
        <v>0</v>
      </c>
      <c r="L14" s="247">
        <f>'P&amp;L (направления)'!BB19</f>
        <v>0</v>
      </c>
      <c r="M14" s="247">
        <f>'P&amp;L (направления)'!BG19</f>
        <v>0</v>
      </c>
      <c r="N14" s="247">
        <f>'P&amp;L (направления)'!BL19</f>
        <v>0</v>
      </c>
    </row>
    <row r="15" spans="1:14" s="206" customFormat="1" ht="11.25" outlineLevel="1">
      <c r="A15" s="202" t="s">
        <v>142</v>
      </c>
      <c r="B15" s="203"/>
      <c r="C15" s="249">
        <f t="shared" ref="C15:N15" si="4">C14/C6</f>
        <v>5.3635280095351609E-2</v>
      </c>
      <c r="D15" s="249">
        <f t="shared" si="4"/>
        <v>5.7350933090578059E-2</v>
      </c>
      <c r="E15" s="249">
        <f t="shared" si="4"/>
        <v>3.2608695652173912E-2</v>
      </c>
      <c r="F15" s="249">
        <f t="shared" si="4"/>
        <v>2.4861878453038673E-2</v>
      </c>
      <c r="G15" s="249">
        <f t="shared" si="4"/>
        <v>5.9790732436472349E-3</v>
      </c>
      <c r="H15" s="249" t="e">
        <f t="shared" si="4"/>
        <v>#DIV/0!</v>
      </c>
      <c r="I15" s="249" t="e">
        <f t="shared" si="4"/>
        <v>#DIV/0!</v>
      </c>
      <c r="J15" s="249" t="e">
        <f t="shared" si="4"/>
        <v>#DIV/0!</v>
      </c>
      <c r="K15" s="249" t="e">
        <f t="shared" si="4"/>
        <v>#DIV/0!</v>
      </c>
      <c r="L15" s="249" t="e">
        <f t="shared" si="4"/>
        <v>#DIV/0!</v>
      </c>
      <c r="M15" s="249" t="e">
        <f t="shared" si="4"/>
        <v>#DIV/0!</v>
      </c>
      <c r="N15" s="249" t="e">
        <f t="shared" si="4"/>
        <v>#DIV/0!</v>
      </c>
    </row>
    <row r="16" spans="1:14" s="9" customFormat="1" outlineLevel="1">
      <c r="A16" s="163" t="s">
        <v>144</v>
      </c>
      <c r="B16" s="179"/>
      <c r="C16" s="246">
        <f>'P&amp;L (направления)'!I21</f>
        <v>0</v>
      </c>
      <c r="D16" s="247">
        <f>'P&amp;L (направления)'!N21</f>
        <v>0</v>
      </c>
      <c r="E16" s="247">
        <f>'P&amp;L (направления)'!S21</f>
        <v>0</v>
      </c>
      <c r="F16" s="247">
        <f>'P&amp;L (направления)'!X21</f>
        <v>0</v>
      </c>
      <c r="G16" s="247">
        <f>'P&amp;L (направления)'!AC21</f>
        <v>0</v>
      </c>
      <c r="H16" s="247">
        <f>'P&amp;L (направления)'!AH21</f>
        <v>0</v>
      </c>
      <c r="I16" s="247">
        <f>'P&amp;L (направления)'!AM21</f>
        <v>0</v>
      </c>
      <c r="J16" s="247">
        <f>'P&amp;L (направления)'!AR21</f>
        <v>0</v>
      </c>
      <c r="K16" s="247">
        <f>'P&amp;L (направления)'!AW21</f>
        <v>0</v>
      </c>
      <c r="L16" s="247">
        <f>'P&amp;L (направления)'!BB21</f>
        <v>0</v>
      </c>
      <c r="M16" s="247">
        <f>'P&amp;L (направления)'!BG21</f>
        <v>0</v>
      </c>
      <c r="N16" s="247">
        <f>'P&amp;L (направления)'!BL21</f>
        <v>0</v>
      </c>
    </row>
    <row r="17" spans="1:14" s="206" customFormat="1" ht="11.25" outlineLevel="1">
      <c r="A17" s="202" t="s">
        <v>142</v>
      </c>
      <c r="B17" s="203"/>
      <c r="C17" s="249">
        <f t="shared" ref="C17:N17" si="5">C16/C8</f>
        <v>0</v>
      </c>
      <c r="D17" s="249">
        <f t="shared" si="5"/>
        <v>0</v>
      </c>
      <c r="E17" s="249">
        <f t="shared" si="5"/>
        <v>0</v>
      </c>
      <c r="F17" s="249">
        <f t="shared" si="5"/>
        <v>0</v>
      </c>
      <c r="G17" s="249">
        <f t="shared" si="5"/>
        <v>0</v>
      </c>
      <c r="H17" s="249">
        <f t="shared" si="5"/>
        <v>0</v>
      </c>
      <c r="I17" s="249" t="e">
        <f t="shared" si="5"/>
        <v>#DIV/0!</v>
      </c>
      <c r="J17" s="249" t="e">
        <f t="shared" si="5"/>
        <v>#DIV/0!</v>
      </c>
      <c r="K17" s="249" t="e">
        <f t="shared" si="5"/>
        <v>#DIV/0!</v>
      </c>
      <c r="L17" s="249" t="e">
        <f t="shared" si="5"/>
        <v>#DIV/0!</v>
      </c>
      <c r="M17" s="249" t="e">
        <f t="shared" si="5"/>
        <v>#DIV/0!</v>
      </c>
      <c r="N17" s="249" t="e">
        <f t="shared" si="5"/>
        <v>#DIV/0!</v>
      </c>
    </row>
    <row r="18" spans="1:14" s="9" customFormat="1" outlineLevel="1">
      <c r="A18" s="163" t="s">
        <v>15</v>
      </c>
      <c r="B18" s="179"/>
      <c r="C18" s="246">
        <f>'P&amp;L (направления)'!I23</f>
        <v>0</v>
      </c>
      <c r="D18" s="247">
        <f>'P&amp;L (направления)'!N23</f>
        <v>0</v>
      </c>
      <c r="E18" s="247">
        <f>'P&amp;L (направления)'!S23</f>
        <v>0</v>
      </c>
      <c r="F18" s="247">
        <f>'P&amp;L (направления)'!X23</f>
        <v>0</v>
      </c>
      <c r="G18" s="247">
        <f>'P&amp;L (направления)'!AC23</f>
        <v>0</v>
      </c>
      <c r="H18" s="247">
        <f>'P&amp;L (направления)'!AH23</f>
        <v>0</v>
      </c>
      <c r="I18" s="247">
        <f>'P&amp;L (направления)'!AM23</f>
        <v>0</v>
      </c>
      <c r="J18" s="247">
        <f>'P&amp;L (направления)'!AR23</f>
        <v>0</v>
      </c>
      <c r="K18" s="247">
        <f>'P&amp;L (направления)'!AW23</f>
        <v>0</v>
      </c>
      <c r="L18" s="247">
        <f>'P&amp;L (направления)'!BB23</f>
        <v>0</v>
      </c>
      <c r="M18" s="247">
        <f>'P&amp;L (направления)'!BG23</f>
        <v>0</v>
      </c>
      <c r="N18" s="247">
        <f>'P&amp;L (направления)'!BL23</f>
        <v>0</v>
      </c>
    </row>
    <row r="19" spans="1:14" s="206" customFormat="1" ht="11.25" outlineLevel="1">
      <c r="A19" s="202" t="s">
        <v>140</v>
      </c>
      <c r="B19" s="203"/>
      <c r="C19" s="249">
        <f t="shared" ref="C19:N19" si="6">C18/C6</f>
        <v>0</v>
      </c>
      <c r="D19" s="249">
        <f t="shared" si="6"/>
        <v>0</v>
      </c>
      <c r="E19" s="249">
        <f t="shared" si="6"/>
        <v>0</v>
      </c>
      <c r="F19" s="249">
        <f t="shared" si="6"/>
        <v>0</v>
      </c>
      <c r="G19" s="249">
        <f t="shared" si="6"/>
        <v>0</v>
      </c>
      <c r="H19" s="249" t="e">
        <f t="shared" si="6"/>
        <v>#DIV/0!</v>
      </c>
      <c r="I19" s="249" t="e">
        <f t="shared" si="6"/>
        <v>#DIV/0!</v>
      </c>
      <c r="J19" s="249" t="e">
        <f t="shared" si="6"/>
        <v>#DIV/0!</v>
      </c>
      <c r="K19" s="249" t="e">
        <f t="shared" si="6"/>
        <v>#DIV/0!</v>
      </c>
      <c r="L19" s="249" t="e">
        <f t="shared" si="6"/>
        <v>#DIV/0!</v>
      </c>
      <c r="M19" s="249" t="e">
        <f t="shared" si="6"/>
        <v>#DIV/0!</v>
      </c>
      <c r="N19" s="249" t="e">
        <f t="shared" si="6"/>
        <v>#DIV/0!</v>
      </c>
    </row>
    <row r="20" spans="1:14" s="9" customFormat="1" outlineLevel="1">
      <c r="A20" s="163" t="s">
        <v>31</v>
      </c>
      <c r="B20" s="179"/>
      <c r="C20" s="250">
        <f>'P&amp;L (направления)'!I27</f>
        <v>0</v>
      </c>
      <c r="D20" s="251">
        <f>'P&amp;L (направления)'!N27</f>
        <v>0</v>
      </c>
      <c r="E20" s="251">
        <f>'P&amp;L (направления)'!S27</f>
        <v>0</v>
      </c>
      <c r="F20" s="251">
        <f>'P&amp;L (направления)'!X27</f>
        <v>0</v>
      </c>
      <c r="G20" s="251">
        <f>'P&amp;L (направления)'!AC27</f>
        <v>0</v>
      </c>
      <c r="H20" s="251">
        <f>'P&amp;L (направления)'!AH27</f>
        <v>0</v>
      </c>
      <c r="I20" s="251">
        <f>'P&amp;L (направления)'!AM27</f>
        <v>0</v>
      </c>
      <c r="J20" s="251">
        <f>'P&amp;L (направления)'!AR27</f>
        <v>0</v>
      </c>
      <c r="K20" s="251">
        <f>'P&amp;L (направления)'!AW27</f>
        <v>0</v>
      </c>
      <c r="L20" s="251">
        <f>'P&amp;L (направления)'!BB27</f>
        <v>0</v>
      </c>
      <c r="M20" s="251">
        <f>'P&amp;L (направления)'!BG27</f>
        <v>0</v>
      </c>
      <c r="N20" s="251">
        <f>'P&amp;L (направления)'!BL27</f>
        <v>0</v>
      </c>
    </row>
    <row r="21" spans="1:14" s="206" customFormat="1" ht="12" outlineLevel="1" thickBot="1">
      <c r="A21" s="202" t="s">
        <v>141</v>
      </c>
      <c r="B21" s="203"/>
      <c r="C21" s="249">
        <f t="shared" ref="C21:N21" si="7">C20/C6</f>
        <v>0</v>
      </c>
      <c r="D21" s="249">
        <f t="shared" si="7"/>
        <v>0</v>
      </c>
      <c r="E21" s="249">
        <f t="shared" si="7"/>
        <v>0</v>
      </c>
      <c r="F21" s="249">
        <f t="shared" si="7"/>
        <v>0</v>
      </c>
      <c r="G21" s="249">
        <f t="shared" si="7"/>
        <v>0</v>
      </c>
      <c r="H21" s="249" t="e">
        <f t="shared" si="7"/>
        <v>#DIV/0!</v>
      </c>
      <c r="I21" s="249" t="e">
        <f t="shared" si="7"/>
        <v>#DIV/0!</v>
      </c>
      <c r="J21" s="249" t="e">
        <f t="shared" si="7"/>
        <v>#DIV/0!</v>
      </c>
      <c r="K21" s="249" t="e">
        <f t="shared" si="7"/>
        <v>#DIV/0!</v>
      </c>
      <c r="L21" s="249" t="e">
        <f t="shared" si="7"/>
        <v>#DIV/0!</v>
      </c>
      <c r="M21" s="249" t="e">
        <f t="shared" si="7"/>
        <v>#DIV/0!</v>
      </c>
      <c r="N21" s="249" t="e">
        <f t="shared" si="7"/>
        <v>#DIV/0!</v>
      </c>
    </row>
    <row r="22" spans="1:14" s="9" customFormat="1" ht="15.75" thickBot="1">
      <c r="A22" s="152" t="s">
        <v>131</v>
      </c>
      <c r="B22" s="178"/>
      <c r="C22" s="189">
        <f t="shared" ref="C22:N22" si="8">C6-C11</f>
        <v>78000</v>
      </c>
      <c r="D22" s="154">
        <f t="shared" si="8"/>
        <v>205500</v>
      </c>
      <c r="E22" s="154">
        <f t="shared" si="8"/>
        <v>258100</v>
      </c>
      <c r="F22" s="154">
        <f t="shared" si="8"/>
        <v>103900</v>
      </c>
      <c r="G22" s="154">
        <f t="shared" si="8"/>
        <v>210395</v>
      </c>
      <c r="H22" s="154">
        <f t="shared" si="8"/>
        <v>0</v>
      </c>
      <c r="I22" s="154">
        <f t="shared" si="8"/>
        <v>0</v>
      </c>
      <c r="J22" s="154">
        <f t="shared" si="8"/>
        <v>0</v>
      </c>
      <c r="K22" s="154">
        <f t="shared" si="8"/>
        <v>0</v>
      </c>
      <c r="L22" s="154">
        <f t="shared" si="8"/>
        <v>0</v>
      </c>
      <c r="M22" s="154">
        <f t="shared" si="8"/>
        <v>0</v>
      </c>
      <c r="N22" s="154">
        <f t="shared" si="8"/>
        <v>0</v>
      </c>
    </row>
    <row r="23" spans="1:14" s="9" customFormat="1" ht="15.75" thickBot="1">
      <c r="A23" s="156" t="s">
        <v>132</v>
      </c>
      <c r="B23" s="180"/>
      <c r="C23" s="192">
        <f t="shared" ref="C23:N23" si="9">C22/C6</f>
        <v>0.92967818831942794</v>
      </c>
      <c r="D23" s="170">
        <f t="shared" si="9"/>
        <v>0.93536640873918986</v>
      </c>
      <c r="E23" s="170">
        <f t="shared" si="9"/>
        <v>0.96739130434782605</v>
      </c>
      <c r="F23" s="170">
        <f t="shared" si="9"/>
        <v>0.95672191528545125</v>
      </c>
      <c r="G23" s="170">
        <f t="shared" si="9"/>
        <v>0.69887061949842222</v>
      </c>
      <c r="H23" s="170" t="e">
        <f t="shared" si="9"/>
        <v>#DIV/0!</v>
      </c>
      <c r="I23" s="170" t="e">
        <f t="shared" si="9"/>
        <v>#DIV/0!</v>
      </c>
      <c r="J23" s="170" t="e">
        <f t="shared" si="9"/>
        <v>#DIV/0!</v>
      </c>
      <c r="K23" s="170" t="e">
        <f t="shared" si="9"/>
        <v>#DIV/0!</v>
      </c>
      <c r="L23" s="170" t="e">
        <f t="shared" si="9"/>
        <v>#DIV/0!</v>
      </c>
      <c r="M23" s="170" t="e">
        <f t="shared" si="9"/>
        <v>#DIV/0!</v>
      </c>
      <c r="N23" s="170" t="e">
        <f t="shared" si="9"/>
        <v>#DIV/0!</v>
      </c>
    </row>
    <row r="24" spans="1:14" s="9" customFormat="1">
      <c r="A24" s="152" t="s">
        <v>133</v>
      </c>
      <c r="B24" s="178"/>
      <c r="C24" s="189">
        <f t="shared" ref="C24:N24" si="10">SUM(C25:C30)</f>
        <v>27140</v>
      </c>
      <c r="D24" s="154">
        <f t="shared" si="10"/>
        <v>56200</v>
      </c>
      <c r="E24" s="154">
        <f t="shared" si="10"/>
        <v>83851.9943721421</v>
      </c>
      <c r="F24" s="154">
        <f t="shared" si="10"/>
        <v>44603.264819112694</v>
      </c>
      <c r="G24" s="154">
        <f t="shared" si="10"/>
        <v>93968.124411082128</v>
      </c>
      <c r="H24" s="154">
        <f t="shared" si="10"/>
        <v>0</v>
      </c>
      <c r="I24" s="154">
        <f t="shared" si="10"/>
        <v>0</v>
      </c>
      <c r="J24" s="154">
        <f t="shared" si="10"/>
        <v>0</v>
      </c>
      <c r="K24" s="154">
        <f t="shared" si="10"/>
        <v>0</v>
      </c>
      <c r="L24" s="154">
        <f t="shared" si="10"/>
        <v>0</v>
      </c>
      <c r="M24" s="154">
        <f t="shared" si="10"/>
        <v>0</v>
      </c>
      <c r="N24" s="154">
        <f t="shared" si="10"/>
        <v>0</v>
      </c>
    </row>
    <row r="25" spans="1:14" s="9" customFormat="1" outlineLevel="1">
      <c r="A25" s="163" t="s">
        <v>24</v>
      </c>
      <c r="B25" s="179"/>
      <c r="C25" s="246">
        <f>'P&amp;L (направления)'!I32</f>
        <v>27140</v>
      </c>
      <c r="D25" s="247">
        <f>'P&amp;L (направления)'!N32</f>
        <v>56200</v>
      </c>
      <c r="E25" s="247">
        <f>'P&amp;L (направления)'!S32</f>
        <v>56540</v>
      </c>
      <c r="F25" s="247">
        <f>'P&amp;L (направления)'!X32</f>
        <v>30960</v>
      </c>
      <c r="G25" s="247">
        <f>'P&amp;L (направления)'!AC32</f>
        <v>0</v>
      </c>
      <c r="H25" s="247">
        <f>'P&amp;L (направления)'!AH32</f>
        <v>0</v>
      </c>
      <c r="I25" s="247">
        <f>'P&amp;L (направления)'!AM32</f>
        <v>0</v>
      </c>
      <c r="J25" s="247">
        <f>'P&amp;L (направления)'!AR32</f>
        <v>0</v>
      </c>
      <c r="K25" s="247">
        <f>'P&amp;L (направления)'!AW32</f>
        <v>0</v>
      </c>
      <c r="L25" s="247">
        <f>'P&amp;L (направления)'!BB32</f>
        <v>0</v>
      </c>
      <c r="M25" s="247">
        <f>'P&amp;L (направления)'!BG32</f>
        <v>0</v>
      </c>
      <c r="N25" s="247">
        <f>'P&amp;L (направления)'!BL32</f>
        <v>0</v>
      </c>
    </row>
    <row r="26" spans="1:14" s="9" customFormat="1" outlineLevel="1">
      <c r="A26" s="163" t="s">
        <v>35</v>
      </c>
      <c r="B26" s="179"/>
      <c r="C26" s="246">
        <f>'P&amp;L (направления)'!I33</f>
        <v>0</v>
      </c>
      <c r="D26" s="247">
        <f>'P&amp;L (направления)'!N33</f>
        <v>0</v>
      </c>
      <c r="E26" s="247">
        <f>'P&amp;L (направления)'!S33</f>
        <v>0</v>
      </c>
      <c r="F26" s="247">
        <f>'P&amp;L (направления)'!X33</f>
        <v>0</v>
      </c>
      <c r="G26" s="247">
        <f>'P&amp;L (направления)'!AC33</f>
        <v>6298.45</v>
      </c>
      <c r="H26" s="247">
        <f>'P&amp;L (направления)'!AH33</f>
        <v>0</v>
      </c>
      <c r="I26" s="247">
        <f>'P&amp;L (направления)'!AM33</f>
        <v>0</v>
      </c>
      <c r="J26" s="247">
        <f>'P&amp;L (направления)'!AR33</f>
        <v>0</v>
      </c>
      <c r="K26" s="247">
        <f>'P&amp;L (направления)'!AW33</f>
        <v>0</v>
      </c>
      <c r="L26" s="247">
        <f>'P&amp;L (направления)'!BB33</f>
        <v>0</v>
      </c>
      <c r="M26" s="247">
        <f>'P&amp;L (направления)'!BG33</f>
        <v>0</v>
      </c>
      <c r="N26" s="247">
        <f>'P&amp;L (направления)'!BL33</f>
        <v>0</v>
      </c>
    </row>
    <row r="27" spans="1:14" s="9" customFormat="1" outlineLevel="1">
      <c r="A27" s="163" t="s">
        <v>23</v>
      </c>
      <c r="B27" s="179"/>
      <c r="C27" s="246">
        <f>'P&amp;L (направления)'!I34</f>
        <v>0</v>
      </c>
      <c r="D27" s="247">
        <f>'P&amp;L (направления)'!N34</f>
        <v>0</v>
      </c>
      <c r="E27" s="247">
        <f>'P&amp;L (направления)'!S34</f>
        <v>0</v>
      </c>
      <c r="F27" s="247">
        <f>'P&amp;L (направления)'!X34</f>
        <v>0</v>
      </c>
      <c r="G27" s="247">
        <f>'P&amp;L (направления)'!AC34</f>
        <v>9778.9500000000007</v>
      </c>
      <c r="H27" s="247">
        <f>'P&amp;L (направления)'!AH34</f>
        <v>0</v>
      </c>
      <c r="I27" s="247">
        <f>'P&amp;L (направления)'!AM34</f>
        <v>0</v>
      </c>
      <c r="J27" s="247">
        <f>'P&amp;L (направления)'!AR34</f>
        <v>0</v>
      </c>
      <c r="K27" s="247">
        <f>'P&amp;L (направления)'!AW34</f>
        <v>0</v>
      </c>
      <c r="L27" s="247">
        <f>'P&amp;L (направления)'!BB34</f>
        <v>0</v>
      </c>
      <c r="M27" s="247">
        <f>'P&amp;L (направления)'!BG34</f>
        <v>0</v>
      </c>
      <c r="N27" s="247">
        <f>'P&amp;L (направления)'!BL34</f>
        <v>0</v>
      </c>
    </row>
    <row r="28" spans="1:14" s="9" customFormat="1" outlineLevel="1">
      <c r="A28" s="163" t="s">
        <v>10</v>
      </c>
      <c r="B28" s="179"/>
      <c r="C28" s="246">
        <f>'P&amp;L (направления)'!I35</f>
        <v>0</v>
      </c>
      <c r="D28" s="247">
        <f>'P&amp;L (направления)'!N35</f>
        <v>0</v>
      </c>
      <c r="E28" s="247">
        <f>'P&amp;L (направления)'!S35</f>
        <v>0</v>
      </c>
      <c r="F28" s="247">
        <f>'P&amp;L (направления)'!X35</f>
        <v>0</v>
      </c>
      <c r="G28" s="247">
        <f>'P&amp;L (направления)'!AC35</f>
        <v>0</v>
      </c>
      <c r="H28" s="247">
        <f>'P&amp;L (направления)'!AH35</f>
        <v>0</v>
      </c>
      <c r="I28" s="247">
        <f>'P&amp;L (направления)'!AM35</f>
        <v>0</v>
      </c>
      <c r="J28" s="247">
        <f>'P&amp;L (направления)'!AR35</f>
        <v>0</v>
      </c>
      <c r="K28" s="247">
        <f>'P&amp;L (направления)'!AW35</f>
        <v>0</v>
      </c>
      <c r="L28" s="247">
        <f>'P&amp;L (направления)'!BB35</f>
        <v>0</v>
      </c>
      <c r="M28" s="247">
        <f>'P&amp;L (направления)'!BG35</f>
        <v>0</v>
      </c>
      <c r="N28" s="247">
        <f>'P&amp;L (направления)'!BL35</f>
        <v>0</v>
      </c>
    </row>
    <row r="29" spans="1:14" s="9" customFormat="1" outlineLevel="1">
      <c r="A29" s="163"/>
      <c r="B29" s="179"/>
      <c r="C29" s="246">
        <f>'P&amp;L (направления)'!I44</f>
        <v>0</v>
      </c>
      <c r="D29" s="247">
        <f>'P&amp;L (направления)'!N44</f>
        <v>0</v>
      </c>
      <c r="E29" s="247">
        <f>'P&amp;L (направления)'!S44</f>
        <v>0</v>
      </c>
      <c r="F29" s="247">
        <f>'P&amp;L (направления)'!X44</f>
        <v>0</v>
      </c>
      <c r="G29" s="247">
        <f>'P&amp;L (направления)'!AC44</f>
        <v>0</v>
      </c>
      <c r="H29" s="247">
        <f>'P&amp;L (направления)'!AH44</f>
        <v>0</v>
      </c>
      <c r="I29" s="247">
        <f>'P&amp;L (направления)'!AM44</f>
        <v>0</v>
      </c>
      <c r="J29" s="247">
        <f>'P&amp;L (направления)'!AR44</f>
        <v>0</v>
      </c>
      <c r="K29" s="247">
        <f>'P&amp;L (направления)'!AW44</f>
        <v>0</v>
      </c>
      <c r="L29" s="247">
        <f>'P&amp;L (направления)'!BB44</f>
        <v>0</v>
      </c>
      <c r="M29" s="247">
        <f>'P&amp;L (направления)'!BG44</f>
        <v>0</v>
      </c>
      <c r="N29" s="247">
        <f>'P&amp;L (направления)'!BL44</f>
        <v>0</v>
      </c>
    </row>
    <row r="30" spans="1:14" s="9" customFormat="1" ht="15.75" outlineLevel="1" thickBot="1">
      <c r="A30" s="163"/>
      <c r="B30" s="179"/>
      <c r="C30" s="246">
        <f>'P&amp;L (направления)'!I45</f>
        <v>0</v>
      </c>
      <c r="D30" s="247">
        <f>'P&amp;L (направления)'!N45</f>
        <v>0</v>
      </c>
      <c r="E30" s="247">
        <f>'P&amp;L (направления)'!S45</f>
        <v>27311.994372142104</v>
      </c>
      <c r="F30" s="247">
        <f>'P&amp;L (направления)'!X45</f>
        <v>13643.264819112694</v>
      </c>
      <c r="G30" s="247">
        <f>'P&amp;L (направления)'!AC45</f>
        <v>77890.724411082119</v>
      </c>
      <c r="H30" s="247">
        <f>'P&amp;L (направления)'!AH45</f>
        <v>0</v>
      </c>
      <c r="I30" s="247">
        <f>'P&amp;L (направления)'!AM45</f>
        <v>0</v>
      </c>
      <c r="J30" s="247">
        <f>'P&amp;L (направления)'!AR45</f>
        <v>0</v>
      </c>
      <c r="K30" s="247">
        <f>'P&amp;L (направления)'!AW45</f>
        <v>0</v>
      </c>
      <c r="L30" s="247">
        <f>'P&amp;L (направления)'!BB45</f>
        <v>0</v>
      </c>
      <c r="M30" s="247">
        <f>'P&amp;L (направления)'!BG45</f>
        <v>0</v>
      </c>
      <c r="N30" s="247">
        <f>'P&amp;L (направления)'!BL45</f>
        <v>0</v>
      </c>
    </row>
    <row r="31" spans="1:14" s="9" customFormat="1" ht="15.75" thickBot="1">
      <c r="A31" s="152" t="s">
        <v>135</v>
      </c>
      <c r="B31" s="178"/>
      <c r="C31" s="189">
        <f t="shared" ref="C31:N31" si="11">C22-C24</f>
        <v>50860</v>
      </c>
      <c r="D31" s="154">
        <f t="shared" si="11"/>
        <v>149300</v>
      </c>
      <c r="E31" s="154">
        <f t="shared" si="11"/>
        <v>174248.0056278579</v>
      </c>
      <c r="F31" s="154">
        <f t="shared" si="11"/>
        <v>59296.735180887306</v>
      </c>
      <c r="G31" s="154">
        <f t="shared" si="11"/>
        <v>116426.87558891787</v>
      </c>
      <c r="H31" s="154">
        <f t="shared" si="11"/>
        <v>0</v>
      </c>
      <c r="I31" s="154">
        <f t="shared" si="11"/>
        <v>0</v>
      </c>
      <c r="J31" s="154">
        <f t="shared" si="11"/>
        <v>0</v>
      </c>
      <c r="K31" s="154">
        <f t="shared" si="11"/>
        <v>0</v>
      </c>
      <c r="L31" s="154">
        <f t="shared" si="11"/>
        <v>0</v>
      </c>
      <c r="M31" s="154">
        <f t="shared" si="11"/>
        <v>0</v>
      </c>
      <c r="N31" s="154">
        <f t="shared" si="11"/>
        <v>0</v>
      </c>
    </row>
    <row r="32" spans="1:14" s="9" customFormat="1">
      <c r="A32" s="156" t="s">
        <v>136</v>
      </c>
      <c r="B32" s="180"/>
      <c r="C32" s="192">
        <f t="shared" ref="C32:N32" si="12">C31/C6</f>
        <v>0.60619785458879616</v>
      </c>
      <c r="D32" s="170">
        <f t="shared" si="12"/>
        <v>0.67956304050978611</v>
      </c>
      <c r="E32" s="170">
        <f t="shared" si="12"/>
        <v>0.65310346936978225</v>
      </c>
      <c r="F32" s="170">
        <f t="shared" si="12"/>
        <v>0.54601045286268235</v>
      </c>
      <c r="G32" s="170">
        <f t="shared" si="12"/>
        <v>0.38673600926396901</v>
      </c>
      <c r="H32" s="170" t="e">
        <f t="shared" si="12"/>
        <v>#DIV/0!</v>
      </c>
      <c r="I32" s="170" t="e">
        <f t="shared" si="12"/>
        <v>#DIV/0!</v>
      </c>
      <c r="J32" s="170" t="e">
        <f t="shared" si="12"/>
        <v>#DIV/0!</v>
      </c>
      <c r="K32" s="170" t="e">
        <f t="shared" si="12"/>
        <v>#DIV/0!</v>
      </c>
      <c r="L32" s="170" t="e">
        <f t="shared" si="12"/>
        <v>#DIV/0!</v>
      </c>
      <c r="M32" s="170" t="e">
        <f t="shared" si="12"/>
        <v>#DIV/0!</v>
      </c>
      <c r="N32" s="170" t="e">
        <f t="shared" si="12"/>
        <v>#DIV/0!</v>
      </c>
    </row>
  </sheetData>
  <mergeCells count="1">
    <mergeCell ref="A3:A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P&amp;L (направления)</vt:lpstr>
      <vt:lpstr>CF</vt:lpstr>
      <vt:lpstr>ДДС</vt:lpstr>
      <vt:lpstr>60</vt:lpstr>
      <vt:lpstr>КЗ</vt:lpstr>
      <vt:lpstr>ДЗ</vt:lpstr>
      <vt:lpstr>list</vt:lpstr>
      <vt:lpstr>Оценка ТС</vt:lpstr>
      <vt:lpstr>Оценка Имущ</vt:lpstr>
      <vt:lpstr>АваркомКарты</vt:lpstr>
      <vt:lpstr>Эксперт</vt:lpstr>
      <vt:lpstr>динамика</vt:lpstr>
      <vt:lpstr>P&amp;L</vt:lpstr>
      <vt:lpstr>направления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ДНС</dc:creator>
  <cp:lastModifiedBy>Михаил</cp:lastModifiedBy>
  <dcterms:created xsi:type="dcterms:W3CDTF">2015-06-05T18:19:34Z</dcterms:created>
  <dcterms:modified xsi:type="dcterms:W3CDTF">2020-08-07T04:19:36Z</dcterms:modified>
</cp:coreProperties>
</file>