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23250" windowHeight="12570" activeTab="10"/>
  </bookViews>
  <sheets>
    <sheet name="Дефицит основной" sheetId="20" r:id="rId1"/>
    <sheet name="П и Ц" sheetId="42" r:id="rId2"/>
    <sheet name="Цены" sheetId="16" r:id="rId3"/>
    <sheet name="ТРВ-15м-2" sheetId="32" r:id="rId4"/>
    <sheet name="МГП ЦОД 10" sheetId="37" r:id="rId5"/>
    <sheet name="МГП ЦОД 20" sheetId="36" r:id="rId6"/>
    <sheet name="МГП СС 1,6" sheetId="38" r:id="rId7"/>
    <sheet name="кроншт" sheetId="23" r:id="rId8"/>
    <sheet name="МГП СС 1,2" sheetId="39" r:id="rId9"/>
    <sheet name="МГП СС 0,8" sheetId="40" r:id="rId10"/>
    <sheet name="МГП СС 0,4" sheetId="41" r:id="rId11"/>
    <sheet name="ТРВ-9м-2" sheetId="33" r:id="rId12"/>
    <sheet name="ТРВ-17м-2" sheetId="34" r:id="rId13"/>
    <sheet name="ТРВ-21м-2" sheetId="35" r:id="rId14"/>
    <sheet name="План закупок" sheetId="31" r:id="rId15"/>
    <sheet name="Отчет по закупкам" sheetId="27" r:id="rId16"/>
    <sheet name="инструмент" sheetId="21" r:id="rId17"/>
    <sheet name="12М" sheetId="6" r:id="rId18"/>
    <sheet name="18М" sheetId="7" r:id="rId19"/>
    <sheet name="24М" sheetId="8" r:id="rId20"/>
    <sheet name="24М-ВС" sheetId="29" r:id="rId21"/>
    <sheet name="36М-ВС" sheetId="9" r:id="rId22"/>
    <sheet name="расход инструмента" sheetId="22" r:id="rId23"/>
  </sheets>
  <definedNames>
    <definedName name="_FilterDatabase" localSheetId="0" hidden="1">'Дефицит основной'!$F$67:$F$75</definedName>
    <definedName name="Print_Area" localSheetId="18">'18М'!$A$1:$BG$84</definedName>
    <definedName name="Print_Area" localSheetId="19">'24М'!$A$1:$K$68</definedName>
    <definedName name="Print_Area" localSheetId="0">'Дефицит основной'!$B$1:$J$424</definedName>
    <definedName name="Print_Area" localSheetId="15">'Отчет по закупкам'!$A$1:$G$267</definedName>
    <definedName name="Print_Area" localSheetId="14">'План закупок'!$A$1:$I$108</definedName>
    <definedName name="Print_Area" localSheetId="2">Цены!$A$1:$F$242</definedName>
  </definedNames>
  <calcPr calcId="191029"/>
</workbook>
</file>

<file path=xl/calcChain.xml><?xml version="1.0" encoding="utf-8"?>
<calcChain xmlns="http://schemas.openxmlformats.org/spreadsheetml/2006/main">
  <c r="I226" i="20" l="1"/>
  <c r="J226" i="20" s="1"/>
  <c r="I380" i="20" l="1"/>
  <c r="I391" i="20"/>
  <c r="I392" i="20"/>
  <c r="I236" i="20"/>
  <c r="J236" i="20" s="1"/>
  <c r="I239" i="20"/>
  <c r="J239" i="20" s="1"/>
  <c r="B191" i="16" l="1"/>
  <c r="B193" i="16"/>
  <c r="K58" i="42" l="1"/>
  <c r="I414" i="20" l="1"/>
  <c r="D190" i="20"/>
  <c r="G190" i="20" s="1"/>
  <c r="I190" i="20" s="1"/>
  <c r="D189" i="20"/>
  <c r="G189" i="20" s="1"/>
  <c r="I189" i="20" s="1"/>
  <c r="D188" i="20"/>
  <c r="G188" i="20" s="1"/>
  <c r="I188" i="20" s="1"/>
  <c r="D187" i="20"/>
  <c r="G187" i="20" s="1"/>
  <c r="I187" i="20" s="1"/>
  <c r="D184" i="20"/>
  <c r="G184" i="20" s="1"/>
  <c r="D183" i="20"/>
  <c r="G183" i="20" s="1"/>
  <c r="D97" i="20"/>
  <c r="D177" i="20"/>
  <c r="G177" i="20" s="1"/>
  <c r="I177" i="20" s="1"/>
  <c r="D176" i="20"/>
  <c r="G176" i="20" s="1"/>
  <c r="D173" i="20"/>
  <c r="G173" i="20" s="1"/>
  <c r="D170" i="20"/>
  <c r="G170" i="20" s="1"/>
  <c r="D148" i="20"/>
  <c r="D163" i="20"/>
  <c r="G163" i="20" s="1"/>
  <c r="I163" i="20" s="1"/>
  <c r="D161" i="20" s="1"/>
  <c r="I161" i="20" s="1"/>
  <c r="D167" i="20"/>
  <c r="G167" i="20" s="1"/>
  <c r="D166" i="20"/>
  <c r="G166" i="20" s="1"/>
  <c r="D185" i="20" l="1"/>
  <c r="I185" i="20" s="1"/>
  <c r="D160" i="20" l="1"/>
  <c r="G160" i="20" s="1"/>
  <c r="D159" i="20"/>
  <c r="G159" i="20" s="1"/>
  <c r="D156" i="20"/>
  <c r="G156" i="20" s="1"/>
  <c r="D155" i="20"/>
  <c r="G155" i="20" s="1"/>
  <c r="D154" i="20"/>
  <c r="G154" i="20" s="1"/>
  <c r="D153" i="20"/>
  <c r="G153" i="20" s="1"/>
  <c r="D152" i="20"/>
  <c r="G152" i="20" s="1"/>
  <c r="D151" i="20"/>
  <c r="G151" i="20" s="1"/>
  <c r="D143" i="20"/>
  <c r="G143" i="20" s="1"/>
  <c r="I143" i="20" s="1"/>
  <c r="G148" i="20"/>
  <c r="D147" i="20"/>
  <c r="G147" i="20" s="1"/>
  <c r="D146" i="20"/>
  <c r="G146" i="20" s="1"/>
  <c r="D145" i="20"/>
  <c r="G145" i="20" s="1"/>
  <c r="D144" i="20"/>
  <c r="G144" i="20" s="1"/>
  <c r="D140" i="20" l="1"/>
  <c r="G140" i="20" s="1"/>
  <c r="D139" i="20"/>
  <c r="G139" i="20" s="1"/>
  <c r="D136" i="20"/>
  <c r="D134" i="20"/>
  <c r="D135" i="20"/>
  <c r="D133" i="20"/>
  <c r="D130" i="20"/>
  <c r="G130" i="20" s="1"/>
  <c r="D129" i="20"/>
  <c r="G129" i="20" s="1"/>
  <c r="D128" i="20"/>
  <c r="G128" i="20" s="1"/>
  <c r="D127" i="20"/>
  <c r="D126" i="20"/>
  <c r="D125" i="20"/>
  <c r="D124" i="20"/>
  <c r="D123" i="20"/>
  <c r="D122" i="20"/>
  <c r="D121" i="20"/>
  <c r="D120" i="20"/>
  <c r="D119" i="20"/>
  <c r="G127" i="20" l="1"/>
  <c r="G123" i="20"/>
  <c r="G119" i="20"/>
  <c r="G125" i="20"/>
  <c r="G133" i="20"/>
  <c r="I133" i="20" s="1"/>
  <c r="G120" i="20"/>
  <c r="G126" i="20"/>
  <c r="G135" i="20"/>
  <c r="I135" i="20" s="1"/>
  <c r="G121" i="20"/>
  <c r="G134" i="20"/>
  <c r="G122" i="20"/>
  <c r="G136" i="20"/>
  <c r="G124" i="20"/>
  <c r="D116" i="20" l="1"/>
  <c r="D113" i="20"/>
  <c r="D110" i="20"/>
  <c r="D109" i="20"/>
  <c r="D106" i="20"/>
  <c r="D105" i="20"/>
  <c r="D104" i="20"/>
  <c r="D90" i="20"/>
  <c r="G90" i="20" s="1"/>
  <c r="I90" i="20" s="1"/>
  <c r="D91" i="20"/>
  <c r="G91" i="20" s="1"/>
  <c r="D69" i="20"/>
  <c r="D87" i="20"/>
  <c r="D84" i="20"/>
  <c r="D74" i="20"/>
  <c r="G74" i="20" s="1"/>
  <c r="I74" i="20" s="1"/>
  <c r="D76" i="20"/>
  <c r="G76" i="20" s="1"/>
  <c r="I76" i="20" s="1"/>
  <c r="G106" i="20" l="1"/>
  <c r="G109" i="20"/>
  <c r="G110" i="20"/>
  <c r="G104" i="20"/>
  <c r="G116" i="20"/>
  <c r="G113" i="20"/>
  <c r="G105" i="20"/>
  <c r="D75" i="20" l="1"/>
  <c r="D81" i="20"/>
  <c r="G81" i="20" s="1"/>
  <c r="I81" i="20" s="1"/>
  <c r="D80" i="20"/>
  <c r="G80" i="20" s="1"/>
  <c r="I80" i="20" s="1"/>
  <c r="D79" i="20"/>
  <c r="G79" i="20" s="1"/>
  <c r="I79" i="20" s="1"/>
  <c r="D78" i="20" l="1"/>
  <c r="G78" i="20" s="1"/>
  <c r="I78" i="20" s="1"/>
  <c r="D77" i="20"/>
  <c r="G87" i="20" l="1"/>
  <c r="I87" i="20" s="1"/>
  <c r="D86" i="20"/>
  <c r="D85" i="20"/>
  <c r="G85" i="20" s="1"/>
  <c r="G84" i="20"/>
  <c r="D83" i="20"/>
  <c r="G83" i="20" s="1"/>
  <c r="D82" i="20"/>
  <c r="G82" i="20" s="1"/>
  <c r="D66" i="20"/>
  <c r="G66" i="20" s="1"/>
  <c r="I66" i="20" s="1"/>
  <c r="D65" i="20"/>
  <c r="G65" i="20" s="1"/>
  <c r="I65" i="20" s="1"/>
  <c r="D57" i="20"/>
  <c r="G57" i="20" s="1"/>
  <c r="G86" i="20" l="1"/>
  <c r="D243" i="20" l="1"/>
  <c r="J243" i="20" s="1"/>
  <c r="D242" i="20"/>
  <c r="J242" i="20" s="1"/>
  <c r="D241" i="20"/>
  <c r="J241" i="20" s="1"/>
  <c r="D240" i="20"/>
  <c r="J185" i="20"/>
  <c r="D352" i="20" l="1"/>
  <c r="I352" i="20" s="1"/>
  <c r="J352" i="20" s="1"/>
  <c r="D320" i="20"/>
  <c r="I320" i="20" s="1"/>
  <c r="J380" i="20"/>
  <c r="D232" i="20"/>
  <c r="G77" i="20" l="1"/>
  <c r="I77" i="20" s="1"/>
  <c r="D362" i="20" l="1"/>
  <c r="D361" i="20"/>
  <c r="D360" i="20"/>
  <c r="D359" i="20"/>
  <c r="D356" i="20"/>
  <c r="D355" i="20"/>
  <c r="D354" i="20"/>
  <c r="I354" i="20" s="1"/>
  <c r="J354" i="20" s="1"/>
  <c r="D353" i="20"/>
  <c r="I353" i="20" s="1"/>
  <c r="J353" i="20" s="1"/>
  <c r="D199" i="20"/>
  <c r="I199" i="20" s="1"/>
  <c r="E57" i="42"/>
  <c r="E56" i="42"/>
  <c r="D366" i="20" l="1"/>
  <c r="I366" i="20" s="1"/>
  <c r="J366" i="20" s="1"/>
  <c r="D370" i="20"/>
  <c r="I370" i="20" s="1"/>
  <c r="J370" i="20" s="1"/>
  <c r="I360" i="20"/>
  <c r="J360" i="20" s="1"/>
  <c r="D368" i="20"/>
  <c r="I368" i="20" s="1"/>
  <c r="J368" i="20" s="1"/>
  <c r="D363" i="20"/>
  <c r="I363" i="20" s="1"/>
  <c r="J363" i="20" s="1"/>
  <c r="D367" i="20"/>
  <c r="I367" i="20" s="1"/>
  <c r="J367" i="20" s="1"/>
  <c r="I361" i="20"/>
  <c r="J361" i="20" s="1"/>
  <c r="D369" i="20"/>
  <c r="I369" i="20" s="1"/>
  <c r="J369" i="20" s="1"/>
  <c r="D365" i="20"/>
  <c r="I365" i="20" s="1"/>
  <c r="J365" i="20" s="1"/>
  <c r="D358" i="20"/>
  <c r="I358" i="20" s="1"/>
  <c r="J358" i="20" s="1"/>
  <c r="I356" i="20"/>
  <c r="J356" i="20" s="1"/>
  <c r="D357" i="20"/>
  <c r="I355" i="20"/>
  <c r="J355" i="20" s="1"/>
  <c r="I359" i="20"/>
  <c r="J359" i="20" s="1"/>
  <c r="D364" i="20"/>
  <c r="I364" i="20" s="1"/>
  <c r="J364" i="20" s="1"/>
  <c r="I362" i="20"/>
  <c r="J362" i="20" s="1"/>
  <c r="Q57" i="42"/>
  <c r="K57" i="42"/>
  <c r="Q56" i="42"/>
  <c r="K56" i="42"/>
  <c r="K39" i="42"/>
  <c r="E39" i="42"/>
  <c r="K38" i="42"/>
  <c r="E38" i="42"/>
  <c r="K37" i="42"/>
  <c r="E37" i="42"/>
  <c r="K36" i="42"/>
  <c r="E36" i="42"/>
  <c r="K35" i="42"/>
  <c r="E35" i="42"/>
  <c r="K17" i="42"/>
  <c r="E17" i="42"/>
  <c r="K16" i="42"/>
  <c r="E16" i="42"/>
  <c r="K15" i="42"/>
  <c r="E15" i="42"/>
  <c r="K14" i="42"/>
  <c r="E14" i="42"/>
  <c r="J320" i="20"/>
  <c r="D422" i="20" l="1"/>
  <c r="D421" i="20"/>
  <c r="I357" i="20"/>
  <c r="J357" i="20" s="1"/>
  <c r="D413" i="20"/>
  <c r="I413" i="20" s="1"/>
  <c r="J413" i="20" s="1"/>
  <c r="D396" i="20"/>
  <c r="I396" i="20" s="1"/>
  <c r="D388" i="20"/>
  <c r="D377" i="20"/>
  <c r="D317" i="20"/>
  <c r="D316" i="20"/>
  <c r="I316" i="20" s="1"/>
  <c r="D315" i="20"/>
  <c r="I315" i="20" s="1"/>
  <c r="D300" i="20"/>
  <c r="I300" i="20" s="1"/>
  <c r="J300" i="20" s="1"/>
  <c r="D280" i="20"/>
  <c r="I280" i="20" s="1"/>
  <c r="J280" i="20" s="1"/>
  <c r="D297" i="20"/>
  <c r="I297" i="20" s="1"/>
  <c r="J297" i="20" s="1"/>
  <c r="D296" i="20"/>
  <c r="I296" i="20" s="1"/>
  <c r="J296" i="20" s="1"/>
  <c r="D265" i="20"/>
  <c r="D230" i="20"/>
  <c r="I240" i="20"/>
  <c r="J240" i="20" s="1"/>
  <c r="D229" i="20"/>
  <c r="I229" i="20" s="1"/>
  <c r="J229" i="20" s="1"/>
  <c r="D250" i="20"/>
  <c r="D225" i="20"/>
  <c r="I225" i="20" s="1"/>
  <c r="D209" i="20"/>
  <c r="I209" i="20" s="1"/>
  <c r="D282" i="20"/>
  <c r="I282" i="20" s="1"/>
  <c r="J282" i="20" s="1"/>
  <c r="D196" i="20"/>
  <c r="I196" i="20" s="1"/>
  <c r="D195" i="20"/>
  <c r="I195" i="20" s="1"/>
  <c r="I388" i="20" l="1"/>
  <c r="J388" i="20" s="1"/>
  <c r="I317" i="20"/>
  <c r="J317" i="20" s="1"/>
  <c r="I250" i="20"/>
  <c r="J250" i="20" s="1"/>
  <c r="I265" i="20"/>
  <c r="J265" i="20" s="1"/>
  <c r="I230" i="20"/>
  <c r="J230" i="20" s="1"/>
  <c r="J316" i="20"/>
  <c r="J315" i="20"/>
  <c r="D72" i="20"/>
  <c r="D63" i="20"/>
  <c r="G63" i="20" s="1"/>
  <c r="I63" i="20" s="1"/>
  <c r="D62" i="20"/>
  <c r="G62" i="20" s="1"/>
  <c r="D56" i="20"/>
  <c r="G56" i="20" s="1"/>
  <c r="D324" i="20" l="1"/>
  <c r="D323" i="20"/>
  <c r="D322" i="20"/>
  <c r="D321" i="20"/>
  <c r="I321" i="20" s="1"/>
  <c r="D290" i="20"/>
  <c r="D289" i="20"/>
  <c r="D288" i="20"/>
  <c r="D287" i="20"/>
  <c r="D308" i="20"/>
  <c r="D307" i="20"/>
  <c r="D306" i="20"/>
  <c r="D305" i="20"/>
  <c r="D382" i="20"/>
  <c r="I382" i="20" s="1"/>
  <c r="D281" i="20"/>
  <c r="D276" i="20"/>
  <c r="D270" i="20"/>
  <c r="D251" i="20"/>
  <c r="D246" i="20"/>
  <c r="D244" i="20"/>
  <c r="D233" i="20"/>
  <c r="D248" i="20"/>
  <c r="D249" i="20"/>
  <c r="D238" i="20"/>
  <c r="I238" i="20" s="1"/>
  <c r="J238" i="20" s="1"/>
  <c r="D253" i="20"/>
  <c r="D237" i="20"/>
  <c r="I237" i="20" s="1"/>
  <c r="J237" i="20" s="1"/>
  <c r="D275" i="20"/>
  <c r="D267" i="20"/>
  <c r="I267" i="20" s="1"/>
  <c r="J267" i="20" s="1"/>
  <c r="D271" i="20"/>
  <c r="D269" i="20"/>
  <c r="D268" i="20"/>
  <c r="D260" i="20"/>
  <c r="D259" i="20"/>
  <c r="D252" i="20"/>
  <c r="D228" i="20"/>
  <c r="D227" i="20"/>
  <c r="D235" i="20"/>
  <c r="I235" i="20" s="1"/>
  <c r="J235" i="20" s="1"/>
  <c r="D214" i="20"/>
  <c r="I214" i="20" s="1"/>
  <c r="D255" i="20"/>
  <c r="I255" i="20" s="1"/>
  <c r="D200" i="20"/>
  <c r="I200" i="20" s="1"/>
  <c r="J200" i="20" s="1"/>
  <c r="D212" i="20"/>
  <c r="I212" i="20" s="1"/>
  <c r="D211" i="20"/>
  <c r="I211" i="20" s="1"/>
  <c r="D210" i="20"/>
  <c r="I210" i="20" s="1"/>
  <c r="D273" i="20"/>
  <c r="D264" i="20"/>
  <c r="I264" i="20" s="1"/>
  <c r="J264" i="20" s="1"/>
  <c r="I259" i="20" l="1"/>
  <c r="J259" i="20" s="1"/>
  <c r="I260" i="20"/>
  <c r="J260" i="20" s="1"/>
  <c r="I227" i="20"/>
  <c r="J227" i="20" s="1"/>
  <c r="I228" i="20"/>
  <c r="J228" i="20" s="1"/>
  <c r="I289" i="20"/>
  <c r="J289" i="20" s="1"/>
  <c r="I290" i="20"/>
  <c r="J290" i="20" s="1"/>
  <c r="I307" i="20"/>
  <c r="J307" i="20" s="1"/>
  <c r="I323" i="20"/>
  <c r="J323" i="20" s="1"/>
  <c r="I308" i="20"/>
  <c r="J308" i="20" s="1"/>
  <c r="I324" i="20"/>
  <c r="J324" i="20" s="1"/>
  <c r="J211" i="20"/>
  <c r="J214" i="20"/>
  <c r="I269" i="20"/>
  <c r="J269" i="20" s="1"/>
  <c r="I248" i="20"/>
  <c r="J248" i="20" s="1"/>
  <c r="I270" i="20"/>
  <c r="J270" i="20" s="1"/>
  <c r="I287" i="20"/>
  <c r="J287" i="20" s="1"/>
  <c r="I271" i="20"/>
  <c r="J271" i="20" s="1"/>
  <c r="I244" i="20"/>
  <c r="J244" i="20" s="1"/>
  <c r="I281" i="20"/>
  <c r="J281" i="20" s="1"/>
  <c r="I275" i="20"/>
  <c r="J275" i="20" s="1"/>
  <c r="I246" i="20"/>
  <c r="J246" i="20" s="1"/>
  <c r="J382" i="20"/>
  <c r="I276" i="20"/>
  <c r="J276" i="20" s="1"/>
  <c r="I252" i="20"/>
  <c r="J252" i="20" s="1"/>
  <c r="I305" i="20"/>
  <c r="J305" i="20" s="1"/>
  <c r="J321" i="20"/>
  <c r="I233" i="20"/>
  <c r="J233" i="20" s="1"/>
  <c r="I306" i="20"/>
  <c r="J306" i="20" s="1"/>
  <c r="I322" i="20"/>
  <c r="J322" i="20" s="1"/>
  <c r="J212" i="20"/>
  <c r="I288" i="20"/>
  <c r="J288" i="20" s="1"/>
  <c r="J251" i="20"/>
  <c r="I253" i="20"/>
  <c r="J253" i="20" s="1"/>
  <c r="I273" i="20"/>
  <c r="J273" i="20" s="1"/>
  <c r="J210" i="20"/>
  <c r="I268" i="20"/>
  <c r="J268" i="20" s="1"/>
  <c r="I249" i="20"/>
  <c r="J249" i="20" s="1"/>
  <c r="J255" i="20"/>
  <c r="D261" i="20"/>
  <c r="D262" i="20"/>
  <c r="I262" i="20" l="1"/>
  <c r="J262" i="20" s="1"/>
  <c r="I261" i="20"/>
  <c r="J261" i="20" s="1"/>
  <c r="I96" i="41"/>
  <c r="N96" i="41" s="1"/>
  <c r="M95" i="41"/>
  <c r="I95" i="41"/>
  <c r="M94" i="41"/>
  <c r="N94" i="41" s="1"/>
  <c r="I94" i="41"/>
  <c r="M93" i="41"/>
  <c r="I93" i="41"/>
  <c r="M92" i="41"/>
  <c r="I92" i="41"/>
  <c r="M91" i="41"/>
  <c r="I91" i="41"/>
  <c r="M90" i="41"/>
  <c r="I90" i="41"/>
  <c r="M89" i="41"/>
  <c r="I89" i="41"/>
  <c r="M88" i="41"/>
  <c r="I88" i="41"/>
  <c r="M87" i="41"/>
  <c r="I87" i="41"/>
  <c r="I85" i="41"/>
  <c r="N85" i="41" s="1"/>
  <c r="I84" i="41"/>
  <c r="N84" i="41" s="1"/>
  <c r="M82" i="41"/>
  <c r="I82" i="41"/>
  <c r="M81" i="41"/>
  <c r="I81" i="41"/>
  <c r="M80" i="41"/>
  <c r="I80" i="41"/>
  <c r="M78" i="41"/>
  <c r="I78" i="41"/>
  <c r="M77" i="41"/>
  <c r="I77" i="41"/>
  <c r="M76" i="41"/>
  <c r="I76" i="41"/>
  <c r="M75" i="41"/>
  <c r="I75" i="41"/>
  <c r="M74" i="41"/>
  <c r="I74" i="41"/>
  <c r="M73" i="41"/>
  <c r="I73" i="41"/>
  <c r="M72" i="41"/>
  <c r="I72" i="41"/>
  <c r="M71" i="41"/>
  <c r="I71" i="41"/>
  <c r="M70" i="41"/>
  <c r="I70" i="41"/>
  <c r="M69" i="41"/>
  <c r="I69" i="41"/>
  <c r="M68" i="41"/>
  <c r="I68" i="41"/>
  <c r="M67" i="41"/>
  <c r="I67" i="41"/>
  <c r="M66" i="41"/>
  <c r="I66" i="41"/>
  <c r="M65" i="41"/>
  <c r="I65" i="41"/>
  <c r="M64" i="41"/>
  <c r="I64" i="41"/>
  <c r="M62" i="41"/>
  <c r="I62" i="41"/>
  <c r="M61" i="41"/>
  <c r="I61" i="41"/>
  <c r="M60" i="41"/>
  <c r="I60" i="41"/>
  <c r="M59" i="41"/>
  <c r="I59" i="41"/>
  <c r="M58" i="41"/>
  <c r="I58" i="41"/>
  <c r="M57" i="41"/>
  <c r="I57" i="41"/>
  <c r="M56" i="41"/>
  <c r="I56" i="41"/>
  <c r="M55" i="41"/>
  <c r="I55" i="41"/>
  <c r="M54" i="41"/>
  <c r="I54" i="41"/>
  <c r="M53" i="41"/>
  <c r="I53" i="41"/>
  <c r="M52" i="41"/>
  <c r="I52" i="41"/>
  <c r="M50" i="41"/>
  <c r="I50" i="41"/>
  <c r="M49" i="41"/>
  <c r="I49" i="41"/>
  <c r="M48" i="41"/>
  <c r="I48" i="41"/>
  <c r="M47" i="41"/>
  <c r="I47" i="41"/>
  <c r="M46" i="41"/>
  <c r="I46" i="41"/>
  <c r="M45" i="41"/>
  <c r="I45" i="41"/>
  <c r="M43" i="41"/>
  <c r="I43" i="41"/>
  <c r="M41" i="41"/>
  <c r="I41" i="41"/>
  <c r="M40" i="41"/>
  <c r="I40" i="41"/>
  <c r="M38" i="41"/>
  <c r="I38" i="41"/>
  <c r="M37" i="41"/>
  <c r="I37" i="41"/>
  <c r="M36" i="41"/>
  <c r="I36" i="41"/>
  <c r="M33" i="41"/>
  <c r="I33" i="41"/>
  <c r="M32" i="41"/>
  <c r="I32" i="41"/>
  <c r="M31" i="41"/>
  <c r="I31" i="41"/>
  <c r="I148" i="20" s="1"/>
  <c r="M30" i="41"/>
  <c r="I30" i="41"/>
  <c r="I130" i="20" s="1"/>
  <c r="M29" i="41"/>
  <c r="I29" i="41"/>
  <c r="I129" i="20" s="1"/>
  <c r="M28" i="41"/>
  <c r="I28" i="41"/>
  <c r="M25" i="41"/>
  <c r="I25" i="41"/>
  <c r="M23" i="41"/>
  <c r="I23" i="41"/>
  <c r="M22" i="41"/>
  <c r="I22" i="41"/>
  <c r="M21" i="41"/>
  <c r="I21" i="41"/>
  <c r="M18" i="41"/>
  <c r="I18" i="41"/>
  <c r="M17" i="41"/>
  <c r="I17" i="41"/>
  <c r="M16" i="41"/>
  <c r="I16" i="41"/>
  <c r="M15" i="41"/>
  <c r="I15" i="41"/>
  <c r="M14" i="41"/>
  <c r="I14" i="41"/>
  <c r="M13" i="41"/>
  <c r="I13" i="41"/>
  <c r="M11" i="41"/>
  <c r="I11" i="41"/>
  <c r="M10" i="41"/>
  <c r="I10" i="41"/>
  <c r="M9" i="41"/>
  <c r="I9" i="41"/>
  <c r="M8" i="41"/>
  <c r="I8" i="41"/>
  <c r="M7" i="41"/>
  <c r="I7" i="41"/>
  <c r="M98" i="40"/>
  <c r="I98" i="40"/>
  <c r="M97" i="40"/>
  <c r="I97" i="40"/>
  <c r="M96" i="40"/>
  <c r="I96" i="40"/>
  <c r="M95" i="40"/>
  <c r="I95" i="40"/>
  <c r="M94" i="40"/>
  <c r="I94" i="40"/>
  <c r="M93" i="40"/>
  <c r="I93" i="40"/>
  <c r="M92" i="40"/>
  <c r="I92" i="40"/>
  <c r="M91" i="40"/>
  <c r="I91" i="40"/>
  <c r="M90" i="40"/>
  <c r="I90" i="40"/>
  <c r="M89" i="40"/>
  <c r="I89" i="40"/>
  <c r="I87" i="40"/>
  <c r="N87" i="40" s="1"/>
  <c r="I86" i="40"/>
  <c r="N86" i="40" s="1"/>
  <c r="M84" i="40"/>
  <c r="I84" i="40"/>
  <c r="M83" i="40"/>
  <c r="I83" i="40"/>
  <c r="M82" i="40"/>
  <c r="I82" i="40"/>
  <c r="M80" i="40"/>
  <c r="I80" i="40"/>
  <c r="M79" i="40"/>
  <c r="I79" i="40"/>
  <c r="M78" i="40"/>
  <c r="I78" i="40"/>
  <c r="M77" i="40"/>
  <c r="I77" i="40"/>
  <c r="M76" i="40"/>
  <c r="I76" i="40"/>
  <c r="M75" i="40"/>
  <c r="I75" i="40"/>
  <c r="M74" i="40"/>
  <c r="I74" i="40"/>
  <c r="M73" i="40"/>
  <c r="I73" i="40"/>
  <c r="M72" i="40"/>
  <c r="I72" i="40"/>
  <c r="M71" i="40"/>
  <c r="I71" i="40"/>
  <c r="M70" i="40"/>
  <c r="I70" i="40"/>
  <c r="M69" i="40"/>
  <c r="I69" i="40"/>
  <c r="M68" i="40"/>
  <c r="I68" i="40"/>
  <c r="M67" i="40"/>
  <c r="I67" i="40"/>
  <c r="M66" i="40"/>
  <c r="I66" i="40"/>
  <c r="M64" i="40"/>
  <c r="I64" i="40"/>
  <c r="M63" i="40"/>
  <c r="I63" i="40"/>
  <c r="M62" i="40"/>
  <c r="I62" i="40"/>
  <c r="M61" i="40"/>
  <c r="I61" i="40"/>
  <c r="M60" i="40"/>
  <c r="I60" i="40"/>
  <c r="M59" i="40"/>
  <c r="I59" i="40"/>
  <c r="M58" i="40"/>
  <c r="I58" i="40"/>
  <c r="M57" i="40"/>
  <c r="I57" i="40"/>
  <c r="M56" i="40"/>
  <c r="I56" i="40"/>
  <c r="M55" i="40"/>
  <c r="I55" i="40"/>
  <c r="M54" i="40"/>
  <c r="I54" i="40"/>
  <c r="M52" i="40"/>
  <c r="I52" i="40"/>
  <c r="M51" i="40"/>
  <c r="I51" i="40"/>
  <c r="M50" i="40"/>
  <c r="I50" i="40"/>
  <c r="M49" i="40"/>
  <c r="I49" i="40"/>
  <c r="M48" i="40"/>
  <c r="I48" i="40"/>
  <c r="M47" i="40"/>
  <c r="I47" i="40"/>
  <c r="M45" i="40"/>
  <c r="I45" i="40"/>
  <c r="M43" i="40"/>
  <c r="I43" i="40"/>
  <c r="M42" i="40"/>
  <c r="I42" i="40"/>
  <c r="M40" i="40"/>
  <c r="I40" i="40"/>
  <c r="M39" i="40"/>
  <c r="I39" i="40"/>
  <c r="M38" i="40"/>
  <c r="I38" i="40"/>
  <c r="M35" i="40"/>
  <c r="I35" i="40"/>
  <c r="M34" i="40"/>
  <c r="I34" i="40"/>
  <c r="M33" i="40"/>
  <c r="I33" i="40"/>
  <c r="M32" i="40"/>
  <c r="I32" i="40"/>
  <c r="M31" i="40"/>
  <c r="I31" i="40"/>
  <c r="I128" i="20" s="1"/>
  <c r="M30" i="40"/>
  <c r="I30" i="40"/>
  <c r="I127" i="20" s="1"/>
  <c r="M29" i="40"/>
  <c r="I29" i="40"/>
  <c r="I126" i="20" s="1"/>
  <c r="M28" i="40"/>
  <c r="I28" i="40"/>
  <c r="M25" i="40"/>
  <c r="I25" i="40"/>
  <c r="M23" i="40"/>
  <c r="I23" i="40"/>
  <c r="M22" i="40"/>
  <c r="I22" i="40"/>
  <c r="M21" i="40"/>
  <c r="I21" i="40"/>
  <c r="M18" i="40"/>
  <c r="I18" i="40"/>
  <c r="M17" i="40"/>
  <c r="I17" i="40"/>
  <c r="M16" i="40"/>
  <c r="I16" i="40"/>
  <c r="M15" i="40"/>
  <c r="I15" i="40"/>
  <c r="M14" i="40"/>
  <c r="I14" i="40"/>
  <c r="M13" i="40"/>
  <c r="I13" i="40"/>
  <c r="M11" i="40"/>
  <c r="I11" i="40"/>
  <c r="M10" i="40"/>
  <c r="I10" i="40"/>
  <c r="M9" i="40"/>
  <c r="I9" i="40"/>
  <c r="M8" i="40"/>
  <c r="I8" i="40"/>
  <c r="M7" i="40"/>
  <c r="I7" i="40"/>
  <c r="I100" i="39"/>
  <c r="N100" i="39" s="1"/>
  <c r="M99" i="39"/>
  <c r="I99" i="39"/>
  <c r="M98" i="39"/>
  <c r="I98" i="39"/>
  <c r="M97" i="39"/>
  <c r="I97" i="39"/>
  <c r="M96" i="39"/>
  <c r="N96" i="39" s="1"/>
  <c r="I96" i="39"/>
  <c r="M95" i="39"/>
  <c r="I95" i="39"/>
  <c r="M94" i="39"/>
  <c r="I94" i="39"/>
  <c r="M93" i="39"/>
  <c r="I93" i="39"/>
  <c r="M92" i="39"/>
  <c r="N92" i="39" s="1"/>
  <c r="I92" i="39"/>
  <c r="M91" i="39"/>
  <c r="I91" i="39"/>
  <c r="M89" i="39"/>
  <c r="I89" i="39"/>
  <c r="M88" i="39"/>
  <c r="I88" i="39"/>
  <c r="M86" i="39"/>
  <c r="N86" i="39" s="1"/>
  <c r="I86" i="39"/>
  <c r="M85" i="39"/>
  <c r="I85" i="39"/>
  <c r="M84" i="39"/>
  <c r="I84" i="39"/>
  <c r="M82" i="39"/>
  <c r="I82" i="39"/>
  <c r="M81" i="39"/>
  <c r="I81" i="39"/>
  <c r="M80" i="39"/>
  <c r="I80" i="39"/>
  <c r="M79" i="39"/>
  <c r="I79" i="39"/>
  <c r="M78" i="39"/>
  <c r="I78" i="39"/>
  <c r="M77" i="39"/>
  <c r="I77" i="39"/>
  <c r="M76" i="39"/>
  <c r="I76" i="39"/>
  <c r="M75" i="39"/>
  <c r="I75" i="39"/>
  <c r="M74" i="39"/>
  <c r="I74" i="39"/>
  <c r="M73" i="39"/>
  <c r="N73" i="39" s="1"/>
  <c r="I73" i="39"/>
  <c r="M72" i="39"/>
  <c r="I72" i="39"/>
  <c r="M71" i="39"/>
  <c r="I71" i="39"/>
  <c r="M70" i="39"/>
  <c r="I70" i="39"/>
  <c r="M69" i="39"/>
  <c r="N69" i="39" s="1"/>
  <c r="I69" i="39"/>
  <c r="M68" i="39"/>
  <c r="I68" i="39"/>
  <c r="M67" i="39"/>
  <c r="I67" i="39"/>
  <c r="M66" i="39"/>
  <c r="I66" i="39"/>
  <c r="M64" i="39"/>
  <c r="I64" i="39"/>
  <c r="M63" i="39"/>
  <c r="I63" i="39"/>
  <c r="M62" i="39"/>
  <c r="I62" i="39"/>
  <c r="M61" i="39"/>
  <c r="I61" i="39"/>
  <c r="M60" i="39"/>
  <c r="I60" i="39"/>
  <c r="M59" i="39"/>
  <c r="I59" i="39"/>
  <c r="M58" i="39"/>
  <c r="N58" i="39" s="1"/>
  <c r="I58" i="39"/>
  <c r="M57" i="39"/>
  <c r="I57" i="39"/>
  <c r="M56" i="39"/>
  <c r="I56" i="39"/>
  <c r="M55" i="39"/>
  <c r="I55" i="39"/>
  <c r="M54" i="39"/>
  <c r="I54" i="39"/>
  <c r="M52" i="39"/>
  <c r="I52" i="39"/>
  <c r="M51" i="39"/>
  <c r="I51" i="39"/>
  <c r="M50" i="39"/>
  <c r="I50" i="39"/>
  <c r="M49" i="39"/>
  <c r="I49" i="39"/>
  <c r="M48" i="39"/>
  <c r="I48" i="39"/>
  <c r="M47" i="39"/>
  <c r="I47" i="39"/>
  <c r="M45" i="39"/>
  <c r="I45" i="39"/>
  <c r="M43" i="39"/>
  <c r="I43" i="39"/>
  <c r="M42" i="39"/>
  <c r="I42" i="39"/>
  <c r="M40" i="39"/>
  <c r="I40" i="39"/>
  <c r="M39" i="39"/>
  <c r="I39" i="39"/>
  <c r="M38" i="39"/>
  <c r="I38" i="39"/>
  <c r="M35" i="39"/>
  <c r="I35" i="39"/>
  <c r="M34" i="39"/>
  <c r="I34" i="39"/>
  <c r="M33" i="39"/>
  <c r="I33" i="39"/>
  <c r="M32" i="39"/>
  <c r="I32" i="39"/>
  <c r="M31" i="39"/>
  <c r="I31" i="39"/>
  <c r="I125" i="20" s="1"/>
  <c r="M30" i="39"/>
  <c r="I30" i="39"/>
  <c r="I124" i="20" s="1"/>
  <c r="M29" i="39"/>
  <c r="I29" i="39"/>
  <c r="I123" i="20" s="1"/>
  <c r="M28" i="39"/>
  <c r="I28" i="39"/>
  <c r="M25" i="39"/>
  <c r="I25" i="39"/>
  <c r="M23" i="39"/>
  <c r="I23" i="39"/>
  <c r="M22" i="39"/>
  <c r="I22" i="39"/>
  <c r="M21" i="39"/>
  <c r="I21" i="39"/>
  <c r="M18" i="39"/>
  <c r="I18" i="39"/>
  <c r="M17" i="39"/>
  <c r="I17" i="39"/>
  <c r="M16" i="39"/>
  <c r="I16" i="39"/>
  <c r="M15" i="39"/>
  <c r="I15" i="39"/>
  <c r="M14" i="39"/>
  <c r="I14" i="39"/>
  <c r="M13" i="39"/>
  <c r="I13" i="39"/>
  <c r="M11" i="39"/>
  <c r="I11" i="39"/>
  <c r="M10" i="39"/>
  <c r="I10" i="39"/>
  <c r="M9" i="39"/>
  <c r="I9" i="39"/>
  <c r="M8" i="39"/>
  <c r="I8" i="39"/>
  <c r="M7" i="39"/>
  <c r="I7" i="39"/>
  <c r="M100" i="38"/>
  <c r="I100" i="38"/>
  <c r="M99" i="38"/>
  <c r="I99" i="38"/>
  <c r="M98" i="38"/>
  <c r="I98" i="38"/>
  <c r="M97" i="38"/>
  <c r="I97" i="38"/>
  <c r="M96" i="38"/>
  <c r="I96" i="38"/>
  <c r="M95" i="38"/>
  <c r="I95" i="38"/>
  <c r="M94" i="38"/>
  <c r="I94" i="38"/>
  <c r="M93" i="38"/>
  <c r="I93" i="38"/>
  <c r="M92" i="38"/>
  <c r="I92" i="38"/>
  <c r="M91" i="38"/>
  <c r="I91" i="38"/>
  <c r="M89" i="38"/>
  <c r="I89" i="38"/>
  <c r="M88" i="38"/>
  <c r="I88" i="38"/>
  <c r="M86" i="38"/>
  <c r="I86" i="38"/>
  <c r="M85" i="38"/>
  <c r="I85" i="38"/>
  <c r="M84" i="38"/>
  <c r="I84" i="38"/>
  <c r="M82" i="38"/>
  <c r="I82" i="38"/>
  <c r="M81" i="38"/>
  <c r="I81" i="38"/>
  <c r="M80" i="38"/>
  <c r="I80" i="38"/>
  <c r="M79" i="38"/>
  <c r="I79" i="38"/>
  <c r="M78" i="38"/>
  <c r="I78" i="38"/>
  <c r="M77" i="38"/>
  <c r="I77" i="38"/>
  <c r="M76" i="38"/>
  <c r="I76" i="38"/>
  <c r="M75" i="38"/>
  <c r="I75" i="38"/>
  <c r="M74" i="38"/>
  <c r="I74" i="38"/>
  <c r="M73" i="38"/>
  <c r="I73" i="38"/>
  <c r="M72" i="38"/>
  <c r="I72" i="38"/>
  <c r="M71" i="38"/>
  <c r="I71" i="38"/>
  <c r="M70" i="38"/>
  <c r="I70" i="38"/>
  <c r="M69" i="38"/>
  <c r="I69" i="38"/>
  <c r="M68" i="38"/>
  <c r="I68" i="38"/>
  <c r="M67" i="38"/>
  <c r="I67" i="38"/>
  <c r="M66" i="38"/>
  <c r="I66" i="38"/>
  <c r="M64" i="38"/>
  <c r="I64" i="38"/>
  <c r="M63" i="38"/>
  <c r="I63" i="38"/>
  <c r="M62" i="38"/>
  <c r="I62" i="38"/>
  <c r="M61" i="38"/>
  <c r="I61" i="38"/>
  <c r="M60" i="38"/>
  <c r="I60" i="38"/>
  <c r="M59" i="38"/>
  <c r="I59" i="38"/>
  <c r="M58" i="38"/>
  <c r="I58" i="38"/>
  <c r="M57" i="38"/>
  <c r="I57" i="38"/>
  <c r="M56" i="38"/>
  <c r="I56" i="38"/>
  <c r="M55" i="38"/>
  <c r="I55" i="38"/>
  <c r="M54" i="38"/>
  <c r="I54" i="38"/>
  <c r="M52" i="38"/>
  <c r="I52" i="38"/>
  <c r="M51" i="38"/>
  <c r="I51" i="38"/>
  <c r="M50" i="38"/>
  <c r="I50" i="38"/>
  <c r="M49" i="38"/>
  <c r="I49" i="38"/>
  <c r="M48" i="38"/>
  <c r="I48" i="38"/>
  <c r="M47" i="38"/>
  <c r="I47" i="38"/>
  <c r="M45" i="38"/>
  <c r="I45" i="38"/>
  <c r="M43" i="38"/>
  <c r="I43" i="38"/>
  <c r="M42" i="38"/>
  <c r="I42" i="38"/>
  <c r="M40" i="38"/>
  <c r="I40" i="38"/>
  <c r="M39" i="38"/>
  <c r="I39" i="38"/>
  <c r="M38" i="38"/>
  <c r="I38" i="38"/>
  <c r="M35" i="38"/>
  <c r="I35" i="38"/>
  <c r="M34" i="38"/>
  <c r="I34" i="38"/>
  <c r="I147" i="20" s="1"/>
  <c r="M33" i="38"/>
  <c r="I33" i="38"/>
  <c r="I146" i="20" s="1"/>
  <c r="M32" i="38"/>
  <c r="I32" i="38"/>
  <c r="I145" i="20" s="1"/>
  <c r="M31" i="38"/>
  <c r="I31" i="38"/>
  <c r="I122" i="20" s="1"/>
  <c r="M30" i="38"/>
  <c r="I30" i="38"/>
  <c r="I121" i="20" s="1"/>
  <c r="M29" i="38"/>
  <c r="I29" i="38"/>
  <c r="I120" i="20" s="1"/>
  <c r="M28" i="38"/>
  <c r="I28" i="38"/>
  <c r="I119" i="20" s="1"/>
  <c r="M25" i="38"/>
  <c r="I25" i="38"/>
  <c r="M23" i="38"/>
  <c r="I23" i="38"/>
  <c r="M22" i="38"/>
  <c r="I22" i="38"/>
  <c r="M21" i="38"/>
  <c r="I21" i="38"/>
  <c r="M18" i="38"/>
  <c r="I18" i="38"/>
  <c r="M17" i="38"/>
  <c r="I17" i="38"/>
  <c r="M16" i="38"/>
  <c r="I16" i="38"/>
  <c r="M15" i="38"/>
  <c r="I15" i="38"/>
  <c r="M14" i="38"/>
  <c r="I14" i="38"/>
  <c r="M13" i="38"/>
  <c r="I13" i="38"/>
  <c r="M11" i="38"/>
  <c r="I11" i="38"/>
  <c r="M10" i="38"/>
  <c r="I10" i="38"/>
  <c r="I156" i="20" s="1"/>
  <c r="M9" i="38"/>
  <c r="I9" i="38"/>
  <c r="M8" i="38"/>
  <c r="I8" i="38"/>
  <c r="M7" i="38"/>
  <c r="I7" i="38"/>
  <c r="I144" i="20" s="1"/>
  <c r="N75" i="39" l="1"/>
  <c r="N68" i="39"/>
  <c r="N72" i="39"/>
  <c r="N91" i="39"/>
  <c r="N67" i="39"/>
  <c r="N94" i="39"/>
  <c r="N49" i="39"/>
  <c r="N92" i="40"/>
  <c r="N96" i="40"/>
  <c r="N8" i="38"/>
  <c r="N13" i="38"/>
  <c r="N17" i="38"/>
  <c r="N23" i="38"/>
  <c r="N30" i="38"/>
  <c r="N34" i="38"/>
  <c r="N40" i="38"/>
  <c r="N47" i="38"/>
  <c r="N51" i="38"/>
  <c r="N56" i="38"/>
  <c r="N60" i="38"/>
  <c r="N64" i="38"/>
  <c r="N69" i="38"/>
  <c r="N73" i="38"/>
  <c r="N77" i="38"/>
  <c r="N81" i="38"/>
  <c r="N86" i="38"/>
  <c r="N92" i="38"/>
  <c r="N96" i="38"/>
  <c r="N100" i="38"/>
  <c r="N15" i="39"/>
  <c r="N28" i="39"/>
  <c r="N11" i="39"/>
  <c r="N10" i="38"/>
  <c r="N15" i="38"/>
  <c r="N21" i="38"/>
  <c r="N28" i="38"/>
  <c r="N32" i="38"/>
  <c r="N38" i="38"/>
  <c r="N43" i="38"/>
  <c r="N49" i="38"/>
  <c r="N54" i="38"/>
  <c r="N58" i="38"/>
  <c r="N62" i="38"/>
  <c r="N67" i="38"/>
  <c r="N71" i="38"/>
  <c r="N75" i="38"/>
  <c r="N79" i="38"/>
  <c r="N84" i="38"/>
  <c r="N89" i="38"/>
  <c r="N94" i="38"/>
  <c r="N98" i="38"/>
  <c r="N8" i="39"/>
  <c r="N13" i="39"/>
  <c r="N17" i="39"/>
  <c r="N23" i="39"/>
  <c r="D141" i="20"/>
  <c r="D254" i="20"/>
  <c r="I254" i="20" s="1"/>
  <c r="J254" i="20" s="1"/>
  <c r="N9" i="38"/>
  <c r="N14" i="38"/>
  <c r="N18" i="38"/>
  <c r="N25" i="38"/>
  <c r="N29" i="39"/>
  <c r="N33" i="39"/>
  <c r="N45" i="39"/>
  <c r="N9" i="40"/>
  <c r="N14" i="40"/>
  <c r="N18" i="40"/>
  <c r="N25" i="40"/>
  <c r="N31" i="40"/>
  <c r="N35" i="40"/>
  <c r="N42" i="40"/>
  <c r="N48" i="40"/>
  <c r="N52" i="40"/>
  <c r="N57" i="40"/>
  <c r="N61" i="40"/>
  <c r="N66" i="40"/>
  <c r="N70" i="40"/>
  <c r="N74" i="40"/>
  <c r="N78" i="40"/>
  <c r="N83" i="40"/>
  <c r="N32" i="39"/>
  <c r="N38" i="39"/>
  <c r="N51" i="39"/>
  <c r="N56" i="39"/>
  <c r="N71" i="39"/>
  <c r="N84" i="39"/>
  <c r="N89" i="40"/>
  <c r="N91" i="40"/>
  <c r="N93" i="40"/>
  <c r="N95" i="40"/>
  <c r="N97" i="40"/>
  <c r="N31" i="41"/>
  <c r="N33" i="41"/>
  <c r="N37" i="41"/>
  <c r="N40" i="41"/>
  <c r="N43" i="41"/>
  <c r="N46" i="41"/>
  <c r="N48" i="41"/>
  <c r="N50" i="41"/>
  <c r="N53" i="41"/>
  <c r="N55" i="41"/>
  <c r="N57" i="41"/>
  <c r="N61" i="41"/>
  <c r="N66" i="41"/>
  <c r="N70" i="41"/>
  <c r="N74" i="41"/>
  <c r="N78" i="41"/>
  <c r="N88" i="41"/>
  <c r="N16" i="38"/>
  <c r="N55" i="39"/>
  <c r="N7" i="40"/>
  <c r="N16" i="40"/>
  <c r="N33" i="40"/>
  <c r="N50" i="40"/>
  <c r="N63" i="40"/>
  <c r="N72" i="40"/>
  <c r="N40" i="39"/>
  <c r="N47" i="39"/>
  <c r="N59" i="39"/>
  <c r="N63" i="39"/>
  <c r="N97" i="39"/>
  <c r="N89" i="41"/>
  <c r="N7" i="38"/>
  <c r="N34" i="39"/>
  <c r="N88" i="39"/>
  <c r="N11" i="40"/>
  <c r="N29" i="40"/>
  <c r="N39" i="40"/>
  <c r="N55" i="40"/>
  <c r="N68" i="40"/>
  <c r="N80" i="40"/>
  <c r="N22" i="38"/>
  <c r="N30" i="39"/>
  <c r="N22" i="40"/>
  <c r="N45" i="40"/>
  <c r="N59" i="40"/>
  <c r="N76" i="40"/>
  <c r="N21" i="39"/>
  <c r="N60" i="39"/>
  <c r="N64" i="39"/>
  <c r="N80" i="39"/>
  <c r="N98" i="39"/>
  <c r="N90" i="40"/>
  <c r="N94" i="40"/>
  <c r="N98" i="40"/>
  <c r="D245" i="20"/>
  <c r="I245" i="20" s="1"/>
  <c r="J245" i="20" s="1"/>
  <c r="N11" i="38"/>
  <c r="N22" i="39"/>
  <c r="N77" i="39"/>
  <c r="N81" i="39"/>
  <c r="N99" i="39"/>
  <c r="N91" i="41"/>
  <c r="N62" i="39"/>
  <c r="N59" i="41"/>
  <c r="N64" i="41"/>
  <c r="N68" i="41"/>
  <c r="N72" i="41"/>
  <c r="N76" i="41"/>
  <c r="N92" i="41"/>
  <c r="D117" i="20"/>
  <c r="N43" i="39"/>
  <c r="N79" i="39"/>
  <c r="N10" i="39"/>
  <c r="N54" i="39"/>
  <c r="N89" i="39"/>
  <c r="N90" i="41"/>
  <c r="N14" i="39"/>
  <c r="N25" i="39"/>
  <c r="N35" i="39"/>
  <c r="N48" i="39"/>
  <c r="N57" i="39"/>
  <c r="N66" i="39"/>
  <c r="N74" i="39"/>
  <c r="N82" i="39"/>
  <c r="N93" i="39"/>
  <c r="N8" i="41"/>
  <c r="N10" i="41"/>
  <c r="N13" i="41"/>
  <c r="N15" i="41"/>
  <c r="N17" i="41"/>
  <c r="N21" i="41"/>
  <c r="N23" i="41"/>
  <c r="N28" i="41"/>
  <c r="N30" i="41"/>
  <c r="N32" i="41"/>
  <c r="N36" i="41"/>
  <c r="N38" i="41"/>
  <c r="N41" i="41"/>
  <c r="N45" i="41"/>
  <c r="N47" i="41"/>
  <c r="N49" i="41"/>
  <c r="N52" i="41"/>
  <c r="N54" i="41"/>
  <c r="N56" i="41"/>
  <c r="N58" i="41"/>
  <c r="N60" i="41"/>
  <c r="N62" i="41"/>
  <c r="N65" i="41"/>
  <c r="N67" i="41"/>
  <c r="N69" i="41"/>
  <c r="N71" i="41"/>
  <c r="N73" i="41"/>
  <c r="N75" i="41"/>
  <c r="N77" i="41"/>
  <c r="N80" i="41"/>
  <c r="N82" i="41"/>
  <c r="N93" i="41"/>
  <c r="N29" i="38"/>
  <c r="N31" i="38"/>
  <c r="N33" i="38"/>
  <c r="N35" i="38"/>
  <c r="N39" i="38"/>
  <c r="N42" i="38"/>
  <c r="N45" i="38"/>
  <c r="N48" i="38"/>
  <c r="N50" i="38"/>
  <c r="N52" i="38"/>
  <c r="N55" i="38"/>
  <c r="N57" i="38"/>
  <c r="N59" i="38"/>
  <c r="N61" i="38"/>
  <c r="N63" i="38"/>
  <c r="N66" i="38"/>
  <c r="N68" i="38"/>
  <c r="N70" i="38"/>
  <c r="N72" i="38"/>
  <c r="N74" i="38"/>
  <c r="N76" i="38"/>
  <c r="N78" i="38"/>
  <c r="N80" i="38"/>
  <c r="N82" i="38"/>
  <c r="N85" i="38"/>
  <c r="N88" i="38"/>
  <c r="N91" i="38"/>
  <c r="N93" i="38"/>
  <c r="N95" i="38"/>
  <c r="N97" i="38"/>
  <c r="N99" i="38"/>
  <c r="N7" i="39"/>
  <c r="N16" i="39"/>
  <c r="N39" i="39"/>
  <c r="N50" i="39"/>
  <c r="D231" i="20"/>
  <c r="I231" i="20" s="1"/>
  <c r="J231" i="20" s="1"/>
  <c r="N76" i="39"/>
  <c r="N85" i="39"/>
  <c r="N95" i="39"/>
  <c r="N8" i="40"/>
  <c r="N10" i="40"/>
  <c r="N13" i="40"/>
  <c r="N15" i="40"/>
  <c r="N17" i="40"/>
  <c r="N21" i="40"/>
  <c r="N23" i="40"/>
  <c r="N28" i="40"/>
  <c r="N30" i="40"/>
  <c r="N32" i="40"/>
  <c r="N34" i="40"/>
  <c r="N38" i="40"/>
  <c r="N40" i="40"/>
  <c r="N43" i="40"/>
  <c r="N47" i="40"/>
  <c r="N49" i="40"/>
  <c r="N51" i="40"/>
  <c r="N54" i="40"/>
  <c r="N56" i="40"/>
  <c r="N58" i="40"/>
  <c r="N60" i="40"/>
  <c r="N62" i="40"/>
  <c r="N64" i="40"/>
  <c r="N67" i="40"/>
  <c r="N69" i="40"/>
  <c r="N71" i="40"/>
  <c r="N73" i="40"/>
  <c r="N75" i="40"/>
  <c r="N77" i="40"/>
  <c r="N79" i="40"/>
  <c r="N82" i="40"/>
  <c r="N84" i="40"/>
  <c r="N87" i="41"/>
  <c r="N95" i="41"/>
  <c r="N9" i="39"/>
  <c r="N18" i="39"/>
  <c r="N31" i="39"/>
  <c r="N42" i="39"/>
  <c r="N52" i="39"/>
  <c r="N61" i="39"/>
  <c r="N70" i="39"/>
  <c r="N78" i="39"/>
  <c r="N7" i="41"/>
  <c r="N9" i="41"/>
  <c r="N11" i="41"/>
  <c r="N14" i="41"/>
  <c r="N16" i="41"/>
  <c r="N18" i="41"/>
  <c r="N22" i="41"/>
  <c r="N25" i="41"/>
  <c r="N29" i="41"/>
  <c r="N81" i="41"/>
  <c r="D302" i="20"/>
  <c r="D301" i="20"/>
  <c r="J199" i="20"/>
  <c r="D263" i="20"/>
  <c r="I263" i="20" s="1"/>
  <c r="J263" i="20" s="1"/>
  <c r="D272" i="20"/>
  <c r="J232" i="20"/>
  <c r="D234" i="20"/>
  <c r="I234" i="20" s="1"/>
  <c r="J234" i="20" s="1"/>
  <c r="D213" i="20"/>
  <c r="I213" i="20" s="1"/>
  <c r="D278" i="20"/>
  <c r="D258" i="20"/>
  <c r="I258" i="20" s="1"/>
  <c r="D257" i="20"/>
  <c r="I257" i="20" s="1"/>
  <c r="D284" i="20"/>
  <c r="D279" i="20"/>
  <c r="D285" i="20"/>
  <c r="D274" i="20"/>
  <c r="I117" i="20" l="1"/>
  <c r="J117" i="20" s="1"/>
  <c r="I141" i="20"/>
  <c r="J141" i="20" s="1"/>
  <c r="I285" i="20"/>
  <c r="J285" i="20" s="1"/>
  <c r="J257" i="20"/>
  <c r="I279" i="20"/>
  <c r="J279" i="20" s="1"/>
  <c r="I284" i="20"/>
  <c r="J284" i="20" s="1"/>
  <c r="D303" i="20"/>
  <c r="I303" i="20" s="1"/>
  <c r="J303" i="20" s="1"/>
  <c r="I301" i="20"/>
  <c r="J301" i="20" s="1"/>
  <c r="I274" i="20"/>
  <c r="J274" i="20" s="1"/>
  <c r="I272" i="20"/>
  <c r="J272" i="20" s="1"/>
  <c r="J258" i="20"/>
  <c r="I278" i="20"/>
  <c r="J278" i="20" s="1"/>
  <c r="J213" i="20"/>
  <c r="D304" i="20"/>
  <c r="I304" i="20" s="1"/>
  <c r="J304" i="20" s="1"/>
  <c r="I302" i="20"/>
  <c r="J302" i="20" s="1"/>
  <c r="D319" i="20"/>
  <c r="I319" i="20" s="1"/>
  <c r="D318" i="20"/>
  <c r="I318" i="20" s="1"/>
  <c r="J318" i="20" l="1"/>
  <c r="J319" i="20"/>
  <c r="M93" i="36"/>
  <c r="I93" i="36"/>
  <c r="M92" i="36"/>
  <c r="N92" i="36" s="1"/>
  <c r="M91" i="36"/>
  <c r="I91" i="36"/>
  <c r="M90" i="36"/>
  <c r="N90" i="36" s="1"/>
  <c r="I90" i="36"/>
  <c r="M89" i="36"/>
  <c r="I89" i="36"/>
  <c r="M88" i="36"/>
  <c r="I88" i="36"/>
  <c r="M87" i="36"/>
  <c r="I87" i="36"/>
  <c r="M86" i="36"/>
  <c r="N86" i="36" s="1"/>
  <c r="I86" i="36"/>
  <c r="M85" i="36"/>
  <c r="I85" i="36"/>
  <c r="M83" i="36"/>
  <c r="I83" i="36"/>
  <c r="M82" i="36"/>
  <c r="I82" i="36"/>
  <c r="M81" i="36"/>
  <c r="N81" i="36" s="1"/>
  <c r="I81" i="36"/>
  <c r="M79" i="36"/>
  <c r="I79" i="36"/>
  <c r="M78" i="36"/>
  <c r="I78" i="36"/>
  <c r="M76" i="36"/>
  <c r="I76" i="36"/>
  <c r="M75" i="36"/>
  <c r="N75" i="36" s="1"/>
  <c r="I75" i="36"/>
  <c r="M74" i="36"/>
  <c r="I74" i="36"/>
  <c r="N74" i="36" s="1"/>
  <c r="M73" i="36"/>
  <c r="I73" i="36"/>
  <c r="M72" i="36"/>
  <c r="I72" i="36"/>
  <c r="M71" i="36"/>
  <c r="N71" i="36" s="1"/>
  <c r="I71" i="36"/>
  <c r="M70" i="36"/>
  <c r="I70" i="36"/>
  <c r="M69" i="36"/>
  <c r="I69" i="36"/>
  <c r="M68" i="36"/>
  <c r="I68" i="36"/>
  <c r="M66" i="36"/>
  <c r="I66" i="36"/>
  <c r="M65" i="36"/>
  <c r="I65" i="36"/>
  <c r="M64" i="36"/>
  <c r="I64" i="36"/>
  <c r="M63" i="36"/>
  <c r="I63" i="36"/>
  <c r="M62" i="36"/>
  <c r="I62" i="36"/>
  <c r="M60" i="36"/>
  <c r="I60" i="36"/>
  <c r="I176" i="20" s="1"/>
  <c r="D174" i="20" s="1"/>
  <c r="M59" i="36"/>
  <c r="I59" i="36"/>
  <c r="M58" i="36"/>
  <c r="I58" i="36"/>
  <c r="I86" i="20" s="1"/>
  <c r="M57" i="36"/>
  <c r="I57" i="36"/>
  <c r="M55" i="36"/>
  <c r="I55" i="36"/>
  <c r="N55" i="36" s="1"/>
  <c r="M54" i="36"/>
  <c r="I54" i="36"/>
  <c r="M52" i="36"/>
  <c r="I52" i="36"/>
  <c r="M51" i="36"/>
  <c r="I51" i="36"/>
  <c r="I85" i="20" s="1"/>
  <c r="M48" i="36"/>
  <c r="I48" i="36"/>
  <c r="M47" i="36"/>
  <c r="I47" i="36"/>
  <c r="M45" i="36"/>
  <c r="I45" i="36"/>
  <c r="M44" i="36"/>
  <c r="I44" i="36"/>
  <c r="M43" i="36"/>
  <c r="I43" i="36"/>
  <c r="M40" i="36"/>
  <c r="I40" i="36"/>
  <c r="M38" i="36"/>
  <c r="I38" i="36"/>
  <c r="I136" i="20" s="1"/>
  <c r="M37" i="36"/>
  <c r="I37" i="36"/>
  <c r="M34" i="36"/>
  <c r="I34" i="36"/>
  <c r="M32" i="36"/>
  <c r="I32" i="36"/>
  <c r="M31" i="36"/>
  <c r="I31" i="36"/>
  <c r="M30" i="36"/>
  <c r="I30" i="36"/>
  <c r="M27" i="36"/>
  <c r="I27" i="36"/>
  <c r="M26" i="36"/>
  <c r="I26" i="36"/>
  <c r="M25" i="36"/>
  <c r="I25" i="36"/>
  <c r="M24" i="36"/>
  <c r="I24" i="36"/>
  <c r="M23" i="36"/>
  <c r="I23" i="36"/>
  <c r="M22" i="36"/>
  <c r="I22" i="36"/>
  <c r="M21" i="36"/>
  <c r="I21" i="36"/>
  <c r="M20" i="36"/>
  <c r="I20" i="36"/>
  <c r="M19" i="36"/>
  <c r="I19" i="36"/>
  <c r="M18" i="36"/>
  <c r="I18" i="36"/>
  <c r="M17" i="36"/>
  <c r="I17" i="36"/>
  <c r="M16" i="36"/>
  <c r="I16" i="36"/>
  <c r="M15" i="36"/>
  <c r="I15" i="36"/>
  <c r="M14" i="36"/>
  <c r="I14" i="36"/>
  <c r="M12" i="36"/>
  <c r="I12" i="36"/>
  <c r="M11" i="36"/>
  <c r="I11" i="36"/>
  <c r="M10" i="36"/>
  <c r="I10" i="36"/>
  <c r="I57" i="20" s="1"/>
  <c r="M9" i="36"/>
  <c r="I9" i="36"/>
  <c r="M8" i="36"/>
  <c r="I8" i="36"/>
  <c r="M7" i="36"/>
  <c r="I7" i="36"/>
  <c r="I140" i="20" s="1"/>
  <c r="N73" i="36" l="1"/>
  <c r="N83" i="36"/>
  <c r="N31" i="36"/>
  <c r="N85" i="36"/>
  <c r="N68" i="36"/>
  <c r="N17" i="36"/>
  <c r="N21" i="36"/>
  <c r="N23" i="36"/>
  <c r="N25" i="36"/>
  <c r="N34" i="36"/>
  <c r="I174" i="20"/>
  <c r="J174" i="20" s="1"/>
  <c r="N48" i="36"/>
  <c r="N63" i="36"/>
  <c r="N89" i="36"/>
  <c r="N7" i="36"/>
  <c r="N16" i="36"/>
  <c r="N70" i="36"/>
  <c r="N72" i="36"/>
  <c r="N76" i="36"/>
  <c r="N79" i="36"/>
  <c r="N91" i="36"/>
  <c r="N20" i="36"/>
  <c r="N15" i="36"/>
  <c r="N27" i="36"/>
  <c r="N37" i="36"/>
  <c r="N44" i="36"/>
  <c r="N51" i="36"/>
  <c r="N57" i="36"/>
  <c r="N64" i="36"/>
  <c r="N8" i="36"/>
  <c r="N12" i="36"/>
  <c r="N24" i="36"/>
  <c r="N30" i="36"/>
  <c r="N65" i="36"/>
  <c r="N82" i="36"/>
  <c r="N87" i="36"/>
  <c r="N60" i="36"/>
  <c r="N38" i="36"/>
  <c r="N45" i="36"/>
  <c r="N62" i="36"/>
  <c r="N66" i="36"/>
  <c r="N10" i="36"/>
  <c r="N19" i="36"/>
  <c r="N52" i="36"/>
  <c r="N58" i="36"/>
  <c r="N93" i="36"/>
  <c r="N11" i="36"/>
  <c r="N43" i="36"/>
  <c r="N14" i="36"/>
  <c r="N22" i="36"/>
  <c r="N32" i="36"/>
  <c r="N47" i="36"/>
  <c r="N59" i="36"/>
  <c r="N69" i="36"/>
  <c r="N78" i="36"/>
  <c r="N88" i="36"/>
  <c r="N9" i="36"/>
  <c r="N18" i="36"/>
  <c r="N26" i="36"/>
  <c r="N40" i="36"/>
  <c r="N54" i="36"/>
  <c r="M93" i="37"/>
  <c r="I93" i="37"/>
  <c r="M92" i="37"/>
  <c r="N92" i="37" s="1"/>
  <c r="M91" i="37"/>
  <c r="I91" i="37"/>
  <c r="M90" i="37"/>
  <c r="I90" i="37"/>
  <c r="M89" i="37"/>
  <c r="I89" i="37"/>
  <c r="M88" i="37"/>
  <c r="I88" i="37"/>
  <c r="M87" i="37"/>
  <c r="I87" i="37"/>
  <c r="M86" i="37"/>
  <c r="I86" i="37"/>
  <c r="M85" i="37"/>
  <c r="I85" i="37"/>
  <c r="M83" i="37"/>
  <c r="I83" i="37"/>
  <c r="M82" i="37"/>
  <c r="I82" i="37"/>
  <c r="M81" i="37"/>
  <c r="I81" i="37"/>
  <c r="M79" i="37"/>
  <c r="I79" i="37"/>
  <c r="M78" i="37"/>
  <c r="I78" i="37"/>
  <c r="M76" i="37"/>
  <c r="I76" i="37"/>
  <c r="N76" i="37" s="1"/>
  <c r="M75" i="37"/>
  <c r="I75" i="37"/>
  <c r="D247" i="20" s="1"/>
  <c r="I247" i="20" s="1"/>
  <c r="J247" i="20" s="1"/>
  <c r="M74" i="37"/>
  <c r="I74" i="37"/>
  <c r="M73" i="37"/>
  <c r="I73" i="37"/>
  <c r="M72" i="37"/>
  <c r="I72" i="37"/>
  <c r="M71" i="37"/>
  <c r="I71" i="37"/>
  <c r="M70" i="37"/>
  <c r="I70" i="37"/>
  <c r="M69" i="37"/>
  <c r="I69" i="37"/>
  <c r="M68" i="37"/>
  <c r="I68" i="37"/>
  <c r="N68" i="37" s="1"/>
  <c r="M66" i="37"/>
  <c r="I66" i="37"/>
  <c r="M65" i="37"/>
  <c r="I65" i="37"/>
  <c r="D217" i="20" s="1"/>
  <c r="M64" i="37"/>
  <c r="I64" i="37"/>
  <c r="M63" i="37"/>
  <c r="I63" i="37"/>
  <c r="M62" i="37"/>
  <c r="I62" i="37"/>
  <c r="M60" i="37"/>
  <c r="I60" i="37"/>
  <c r="M59" i="37"/>
  <c r="I59" i="37"/>
  <c r="I84" i="20" s="1"/>
  <c r="M58" i="37"/>
  <c r="I58" i="37"/>
  <c r="I83" i="20" s="1"/>
  <c r="M57" i="37"/>
  <c r="I57" i="37"/>
  <c r="M55" i="37"/>
  <c r="I55" i="37"/>
  <c r="M54" i="37"/>
  <c r="I54" i="37"/>
  <c r="M52" i="37"/>
  <c r="I52" i="37"/>
  <c r="M51" i="37"/>
  <c r="I51" i="37"/>
  <c r="I82" i="20" s="1"/>
  <c r="M48" i="37"/>
  <c r="I48" i="37"/>
  <c r="M47" i="37"/>
  <c r="I47" i="37"/>
  <c r="M45" i="37"/>
  <c r="I45" i="37"/>
  <c r="I167" i="20" s="1"/>
  <c r="M44" i="37"/>
  <c r="I44" i="37"/>
  <c r="I170" i="20" s="1"/>
  <c r="D168" i="20" s="1"/>
  <c r="M43" i="37"/>
  <c r="I43" i="37"/>
  <c r="I166" i="20" s="1"/>
  <c r="M40" i="37"/>
  <c r="I40" i="37"/>
  <c r="M38" i="37"/>
  <c r="I38" i="37"/>
  <c r="I134" i="20" s="1"/>
  <c r="D131" i="20" s="1"/>
  <c r="M37" i="37"/>
  <c r="I37" i="37"/>
  <c r="I160" i="20" s="1"/>
  <c r="M34" i="37"/>
  <c r="I34" i="37"/>
  <c r="M32" i="37"/>
  <c r="I32" i="37"/>
  <c r="M31" i="37"/>
  <c r="I31" i="37"/>
  <c r="M30" i="37"/>
  <c r="I30" i="37"/>
  <c r="I173" i="20" s="1"/>
  <c r="D171" i="20" s="1"/>
  <c r="M27" i="37"/>
  <c r="I27" i="37"/>
  <c r="M26" i="37"/>
  <c r="I26" i="37"/>
  <c r="M25" i="37"/>
  <c r="I25" i="37"/>
  <c r="M24" i="37"/>
  <c r="I24" i="37"/>
  <c r="M23" i="37"/>
  <c r="I23" i="37"/>
  <c r="M22" i="37"/>
  <c r="I22" i="37"/>
  <c r="M21" i="37"/>
  <c r="I21" i="37"/>
  <c r="M20" i="37"/>
  <c r="I20" i="37"/>
  <c r="M19" i="37"/>
  <c r="I19" i="37"/>
  <c r="M18" i="37"/>
  <c r="I18" i="37"/>
  <c r="M17" i="37"/>
  <c r="I17" i="37"/>
  <c r="M16" i="37"/>
  <c r="I16" i="37"/>
  <c r="M15" i="37"/>
  <c r="I15" i="37"/>
  <c r="M14" i="37"/>
  <c r="I14" i="37"/>
  <c r="M12" i="37"/>
  <c r="I12" i="37"/>
  <c r="M11" i="37"/>
  <c r="I11" i="37"/>
  <c r="M10" i="37"/>
  <c r="I10" i="37"/>
  <c r="M9" i="37"/>
  <c r="I9" i="37"/>
  <c r="I159" i="20" s="1"/>
  <c r="M8" i="37"/>
  <c r="I8" i="37"/>
  <c r="I184" i="20" s="1"/>
  <c r="M7" i="37"/>
  <c r="I7" i="37"/>
  <c r="N54" i="37" l="1"/>
  <c r="N10" i="37"/>
  <c r="N12" i="37"/>
  <c r="N23" i="37"/>
  <c r="N27" i="37"/>
  <c r="N31" i="37"/>
  <c r="N25" i="37"/>
  <c r="N45" i="37"/>
  <c r="I131" i="20"/>
  <c r="J131" i="20" s="1"/>
  <c r="I217" i="20"/>
  <c r="J217" i="20" s="1"/>
  <c r="I171" i="20"/>
  <c r="J171" i="20" s="1"/>
  <c r="I168" i="20"/>
  <c r="J168" i="20" s="1"/>
  <c r="N38" i="37"/>
  <c r="N93" i="37"/>
  <c r="N18" i="37"/>
  <c r="N26" i="37"/>
  <c r="N48" i="37"/>
  <c r="N52" i="37"/>
  <c r="N55" i="37"/>
  <c r="N58" i="37"/>
  <c r="N79" i="37"/>
  <c r="N85" i="37"/>
  <c r="N87" i="37"/>
  <c r="N89" i="37"/>
  <c r="N9" i="37"/>
  <c r="N21" i="37"/>
  <c r="D164" i="20"/>
  <c r="N15" i="37"/>
  <c r="N19" i="37"/>
  <c r="N40" i="37"/>
  <c r="N63" i="37"/>
  <c r="N72" i="37"/>
  <c r="N34" i="37"/>
  <c r="N43" i="37"/>
  <c r="N64" i="37"/>
  <c r="N82" i="37"/>
  <c r="N73" i="37"/>
  <c r="N91" i="37"/>
  <c r="N17" i="37"/>
  <c r="N60" i="37"/>
  <c r="N65" i="37"/>
  <c r="N83" i="37"/>
  <c r="N8" i="37"/>
  <c r="N70" i="37"/>
  <c r="N74" i="37"/>
  <c r="N30" i="37"/>
  <c r="N44" i="37"/>
  <c r="N57" i="37"/>
  <c r="N66" i="37"/>
  <c r="N11" i="37"/>
  <c r="N20" i="37"/>
  <c r="N75" i="37"/>
  <c r="N86" i="37"/>
  <c r="N14" i="37"/>
  <c r="N32" i="37"/>
  <c r="N47" i="37"/>
  <c r="N59" i="37"/>
  <c r="N69" i="37"/>
  <c r="N78" i="37"/>
  <c r="N88" i="37"/>
  <c r="N22" i="37"/>
  <c r="N7" i="37"/>
  <c r="D157" i="20"/>
  <c r="N16" i="37"/>
  <c r="N24" i="37"/>
  <c r="N37" i="37"/>
  <c r="N51" i="37"/>
  <c r="N62" i="37"/>
  <c r="N71" i="37"/>
  <c r="N81" i="37"/>
  <c r="N90" i="37"/>
  <c r="D348" i="20"/>
  <c r="D346" i="20"/>
  <c r="D344" i="20"/>
  <c r="D295" i="20"/>
  <c r="I295" i="20" s="1"/>
  <c r="J295" i="20" s="1"/>
  <c r="D350" i="20"/>
  <c r="D343" i="20"/>
  <c r="D409" i="20"/>
  <c r="D408" i="20"/>
  <c r="D405" i="20"/>
  <c r="D407" i="20"/>
  <c r="D404" i="20"/>
  <c r="D400" i="20"/>
  <c r="I400" i="20" s="1"/>
  <c r="J400" i="20" s="1"/>
  <c r="D399" i="20"/>
  <c r="I399" i="20" s="1"/>
  <c r="D398" i="20"/>
  <c r="D397" i="20"/>
  <c r="J396" i="20"/>
  <c r="I164" i="20" l="1"/>
  <c r="J164" i="20" s="1"/>
  <c r="I397" i="20"/>
  <c r="J397" i="20" s="1"/>
  <c r="I157" i="20"/>
  <c r="J157" i="20" s="1"/>
  <c r="J399" i="20"/>
  <c r="I398" i="20"/>
  <c r="J398" i="20" s="1"/>
  <c r="I408" i="20"/>
  <c r="J408" i="20" s="1"/>
  <c r="I409" i="20"/>
  <c r="J409" i="20" s="1"/>
  <c r="I407" i="20"/>
  <c r="J407" i="20" s="1"/>
  <c r="I404" i="20"/>
  <c r="J404" i="20" s="1"/>
  <c r="I405" i="20"/>
  <c r="J405" i="20" s="1"/>
  <c r="D345" i="20"/>
  <c r="I345" i="20" s="1"/>
  <c r="J345" i="20" s="1"/>
  <c r="I344" i="20"/>
  <c r="J344" i="20" s="1"/>
  <c r="D390" i="20" l="1"/>
  <c r="I390" i="20" s="1"/>
  <c r="D389" i="20"/>
  <c r="I389" i="20" s="1"/>
  <c r="D387" i="20"/>
  <c r="D386" i="20"/>
  <c r="I386" i="20" l="1"/>
  <c r="J386" i="20" s="1"/>
  <c r="I387" i="20"/>
  <c r="J387" i="20" s="1"/>
  <c r="D299" i="20"/>
  <c r="I299" i="20" s="1"/>
  <c r="J299" i="20" s="1"/>
  <c r="J195" i="20"/>
  <c r="D277" i="20" l="1"/>
  <c r="I277" i="20" l="1"/>
  <c r="J277" i="20" s="1"/>
  <c r="G37" i="23"/>
  <c r="D73" i="20" l="1"/>
  <c r="G73" i="20" s="1"/>
  <c r="G72" i="20"/>
  <c r="D71" i="20"/>
  <c r="G71" i="20" s="1"/>
  <c r="D61" i="20"/>
  <c r="G61" i="20" s="1"/>
  <c r="I61" i="20" s="1"/>
  <c r="D64" i="20"/>
  <c r="D60" i="20"/>
  <c r="G60" i="20" s="1"/>
  <c r="D55" i="20"/>
  <c r="I106" i="34"/>
  <c r="I105" i="34"/>
  <c r="I104" i="34"/>
  <c r="I103" i="34"/>
  <c r="I102" i="34"/>
  <c r="I101" i="34"/>
  <c r="I100" i="34"/>
  <c r="I99" i="34"/>
  <c r="I98" i="34"/>
  <c r="I97" i="34"/>
  <c r="I96" i="34"/>
  <c r="I95" i="34"/>
  <c r="I94" i="34"/>
  <c r="I93" i="34"/>
  <c r="I92" i="34"/>
  <c r="I91" i="34"/>
  <c r="I90" i="34"/>
  <c r="I89" i="34"/>
  <c r="I88" i="34"/>
  <c r="I87" i="34"/>
  <c r="I86" i="34"/>
  <c r="I85" i="34"/>
  <c r="I84" i="34"/>
  <c r="I83" i="34"/>
  <c r="I82" i="34"/>
  <c r="I81" i="34"/>
  <c r="I80" i="34"/>
  <c r="I79" i="34"/>
  <c r="I78" i="34"/>
  <c r="I77" i="34"/>
  <c r="I76" i="34"/>
  <c r="I75" i="34"/>
  <c r="I74" i="34"/>
  <c r="I73" i="34"/>
  <c r="I72" i="34"/>
  <c r="I71" i="34"/>
  <c r="I70" i="34"/>
  <c r="I69" i="34"/>
  <c r="I68" i="34"/>
  <c r="I67" i="34"/>
  <c r="I66" i="34"/>
  <c r="I65" i="34"/>
  <c r="I64" i="34"/>
  <c r="I63" i="34"/>
  <c r="I62" i="34"/>
  <c r="I61" i="34"/>
  <c r="I60" i="34"/>
  <c r="I59" i="34"/>
  <c r="I58" i="34"/>
  <c r="I57" i="34"/>
  <c r="I56" i="34"/>
  <c r="I55" i="34"/>
  <c r="I54" i="34"/>
  <c r="I52" i="34"/>
  <c r="I51" i="34"/>
  <c r="I50" i="34"/>
  <c r="I48" i="34"/>
  <c r="I47" i="34"/>
  <c r="I46" i="34"/>
  <c r="I45" i="34"/>
  <c r="I44" i="34"/>
  <c r="I43" i="34"/>
  <c r="I42" i="34"/>
  <c r="I39" i="34"/>
  <c r="I38" i="34"/>
  <c r="I37" i="34"/>
  <c r="I36" i="34"/>
  <c r="I34" i="34"/>
  <c r="I33" i="34"/>
  <c r="I32" i="34"/>
  <c r="I31" i="34"/>
  <c r="I30" i="34"/>
  <c r="I29" i="34"/>
  <c r="I28" i="34"/>
  <c r="I27" i="34"/>
  <c r="I26" i="34"/>
  <c r="I23" i="34"/>
  <c r="I21" i="34"/>
  <c r="I20" i="34"/>
  <c r="I19" i="34"/>
  <c r="I18" i="34"/>
  <c r="I15" i="34"/>
  <c r="I14" i="34"/>
  <c r="I13" i="34"/>
  <c r="I12" i="34"/>
  <c r="I62" i="20" s="1"/>
  <c r="I11" i="34"/>
  <c r="I10" i="34"/>
  <c r="I105" i="33"/>
  <c r="I104" i="33"/>
  <c r="I103" i="33"/>
  <c r="I102" i="33"/>
  <c r="I101" i="33"/>
  <c r="I100" i="33"/>
  <c r="I99" i="33"/>
  <c r="I98" i="33"/>
  <c r="I97" i="33"/>
  <c r="I96" i="33"/>
  <c r="I95" i="33"/>
  <c r="I94" i="33"/>
  <c r="I93" i="33"/>
  <c r="I92" i="33"/>
  <c r="I91" i="33"/>
  <c r="I90" i="33"/>
  <c r="I89" i="33"/>
  <c r="I88" i="33"/>
  <c r="I87" i="33"/>
  <c r="I86" i="33"/>
  <c r="I85" i="33"/>
  <c r="I84" i="33"/>
  <c r="I83" i="33"/>
  <c r="I82" i="33"/>
  <c r="I81" i="33"/>
  <c r="I80" i="33"/>
  <c r="I79" i="33"/>
  <c r="I78" i="33"/>
  <c r="I77" i="33"/>
  <c r="I76" i="33"/>
  <c r="I75" i="33"/>
  <c r="I74" i="33"/>
  <c r="I73" i="33"/>
  <c r="I72" i="33"/>
  <c r="I71" i="33"/>
  <c r="I70" i="33"/>
  <c r="I69" i="33"/>
  <c r="I68" i="33"/>
  <c r="I67" i="33"/>
  <c r="I66" i="33"/>
  <c r="I65" i="33"/>
  <c r="I64" i="33"/>
  <c r="I63" i="33"/>
  <c r="I62" i="33"/>
  <c r="I61" i="33"/>
  <c r="I60" i="33"/>
  <c r="I59" i="33"/>
  <c r="I58" i="33"/>
  <c r="I57" i="33"/>
  <c r="I56" i="33"/>
  <c r="I55" i="33"/>
  <c r="I54" i="33"/>
  <c r="I53" i="33"/>
  <c r="I51" i="33"/>
  <c r="I50" i="33"/>
  <c r="I49" i="33"/>
  <c r="I47" i="33"/>
  <c r="I46" i="33"/>
  <c r="I45" i="33"/>
  <c r="I44" i="33"/>
  <c r="I43" i="33"/>
  <c r="I42" i="33"/>
  <c r="I41" i="33"/>
  <c r="I38" i="33"/>
  <c r="I37" i="33"/>
  <c r="I36" i="33"/>
  <c r="I35" i="33"/>
  <c r="I33" i="33"/>
  <c r="I32" i="33"/>
  <c r="I31" i="33"/>
  <c r="I30" i="33"/>
  <c r="I29" i="33"/>
  <c r="I28" i="33"/>
  <c r="I27" i="33"/>
  <c r="I26" i="33"/>
  <c r="I25" i="33"/>
  <c r="I22" i="33"/>
  <c r="I20" i="33"/>
  <c r="I19" i="33"/>
  <c r="I18" i="33"/>
  <c r="I17" i="33"/>
  <c r="I14" i="33"/>
  <c r="I13" i="33"/>
  <c r="I12" i="33"/>
  <c r="I11" i="33"/>
  <c r="I106" i="32"/>
  <c r="I105" i="32"/>
  <c r="I104" i="32"/>
  <c r="I103" i="32"/>
  <c r="I102" i="32"/>
  <c r="I101" i="32"/>
  <c r="I100" i="32"/>
  <c r="I99" i="32"/>
  <c r="I98" i="32"/>
  <c r="I97" i="32"/>
  <c r="I96" i="32"/>
  <c r="I95" i="32"/>
  <c r="I94" i="32"/>
  <c r="D381" i="20" s="1"/>
  <c r="I381" i="20" s="1"/>
  <c r="I93" i="32"/>
  <c r="D376" i="20" s="1"/>
  <c r="I92" i="32"/>
  <c r="D374" i="20" s="1"/>
  <c r="I374" i="20" s="1"/>
  <c r="I91" i="32"/>
  <c r="I90" i="32"/>
  <c r="I89" i="32"/>
  <c r="I88" i="32"/>
  <c r="I87" i="32"/>
  <c r="I86" i="32"/>
  <c r="I85" i="32"/>
  <c r="I84" i="32"/>
  <c r="I83" i="32"/>
  <c r="I82" i="32"/>
  <c r="D411" i="20" s="1"/>
  <c r="I411" i="20" s="1"/>
  <c r="I81" i="32"/>
  <c r="I80" i="32"/>
  <c r="I79" i="32"/>
  <c r="I78" i="32"/>
  <c r="I77" i="32"/>
  <c r="I76" i="32"/>
  <c r="D197" i="20" s="1"/>
  <c r="I197" i="20" s="1"/>
  <c r="I75" i="32"/>
  <c r="I74" i="32"/>
  <c r="D378" i="20" s="1"/>
  <c r="D379" i="20" s="1"/>
  <c r="I73" i="32"/>
  <c r="D403" i="20" s="1"/>
  <c r="I403" i="20" s="1"/>
  <c r="I72" i="32"/>
  <c r="I71" i="32"/>
  <c r="I70" i="32"/>
  <c r="D314" i="20" s="1"/>
  <c r="I69" i="32"/>
  <c r="D204" i="20" s="1"/>
  <c r="I204" i="20" s="1"/>
  <c r="I68" i="32"/>
  <c r="D205" i="20" s="1"/>
  <c r="I205" i="20" s="1"/>
  <c r="I67" i="32"/>
  <c r="I66" i="32"/>
  <c r="I64" i="32"/>
  <c r="I63" i="32"/>
  <c r="I62" i="32"/>
  <c r="I61" i="32"/>
  <c r="I60" i="32"/>
  <c r="I59" i="32"/>
  <c r="I58" i="32"/>
  <c r="I57" i="32"/>
  <c r="D309" i="20" s="1"/>
  <c r="I309" i="20" s="1"/>
  <c r="J309" i="20" s="1"/>
  <c r="I56" i="32"/>
  <c r="I55" i="32"/>
  <c r="I54" i="32"/>
  <c r="I51" i="32"/>
  <c r="I50" i="32"/>
  <c r="D216" i="20" s="1"/>
  <c r="I216" i="20" s="1"/>
  <c r="I49" i="32"/>
  <c r="I47" i="32"/>
  <c r="I46" i="32"/>
  <c r="I45" i="32"/>
  <c r="I91" i="20" s="1"/>
  <c r="D88" i="20" s="1"/>
  <c r="I88" i="20" s="1"/>
  <c r="I44" i="32"/>
  <c r="I56" i="20" s="1"/>
  <c r="I43" i="32"/>
  <c r="I110" i="20" s="1"/>
  <c r="I42" i="32"/>
  <c r="I152" i="20" s="1"/>
  <c r="I41" i="32"/>
  <c r="I183" i="20" s="1"/>
  <c r="D181" i="20" s="1"/>
  <c r="I181" i="20" s="1"/>
  <c r="J181" i="20" s="1"/>
  <c r="I38" i="32"/>
  <c r="I37" i="32"/>
  <c r="D198" i="20" s="1"/>
  <c r="I198" i="20" s="1"/>
  <c r="I36" i="32"/>
  <c r="I35" i="32"/>
  <c r="I33" i="32"/>
  <c r="I32" i="32"/>
  <c r="I30" i="32"/>
  <c r="I29" i="32"/>
  <c r="I28" i="32"/>
  <c r="I27" i="32"/>
  <c r="I106" i="20" s="1"/>
  <c r="I26" i="32"/>
  <c r="I105" i="20" s="1"/>
  <c r="I25" i="32"/>
  <c r="I22" i="32"/>
  <c r="I20" i="32"/>
  <c r="I153" i="20" s="1"/>
  <c r="I19" i="32"/>
  <c r="I18" i="32"/>
  <c r="I17" i="32"/>
  <c r="I14" i="32"/>
  <c r="I151" i="20" s="1"/>
  <c r="I13" i="32"/>
  <c r="I109" i="20" s="1"/>
  <c r="I12" i="32"/>
  <c r="I104" i="20" s="1"/>
  <c r="I11" i="32"/>
  <c r="I10" i="32"/>
  <c r="I314" i="20" l="1"/>
  <c r="J314" i="20" s="1"/>
  <c r="I376" i="20"/>
  <c r="J376" i="20" s="1"/>
  <c r="D107" i="20"/>
  <c r="I107" i="20" s="1"/>
  <c r="J107" i="20" s="1"/>
  <c r="D102" i="20"/>
  <c r="I102" i="20" s="1"/>
  <c r="J102" i="20" s="1"/>
  <c r="J216" i="20"/>
  <c r="J161" i="20"/>
  <c r="I71" i="20"/>
  <c r="I72" i="20"/>
  <c r="I60" i="20"/>
  <c r="I73" i="20"/>
  <c r="J390" i="20" l="1"/>
  <c r="J389" i="20" l="1"/>
  <c r="D401" i="20" l="1"/>
  <c r="D256" i="20"/>
  <c r="I256" i="20" s="1"/>
  <c r="J256" i="20" s="1"/>
  <c r="D266" i="20"/>
  <c r="I266" i="20" s="1"/>
  <c r="J266" i="20" s="1"/>
  <c r="I401" i="20" l="1"/>
  <c r="J401" i="20" s="1"/>
  <c r="D286" i="20"/>
  <c r="D283" i="20"/>
  <c r="I283" i="20" l="1"/>
  <c r="J283" i="20" s="1"/>
  <c r="I286" i="20"/>
  <c r="J286" i="20" s="1"/>
  <c r="D406" i="20"/>
  <c r="I406" i="20" l="1"/>
  <c r="J406" i="20" s="1"/>
  <c r="O67" i="20"/>
  <c r="L374" i="20" l="1"/>
  <c r="D136" i="16" l="1"/>
  <c r="D135" i="16"/>
  <c r="D36" i="16"/>
  <c r="D29" i="16"/>
  <c r="D28" i="16"/>
  <c r="G62" i="23" l="1"/>
  <c r="L66" i="23"/>
  <c r="M66" i="23" s="1"/>
  <c r="K65" i="23"/>
  <c r="K66" i="23"/>
  <c r="G49" i="23"/>
  <c r="N374" i="20" l="1"/>
  <c r="J374" i="20" l="1"/>
  <c r="A75" i="3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47" i="3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5" i="31"/>
  <c r="A6" i="31" s="1"/>
  <c r="A7" i="31" s="1"/>
  <c r="A8" i="31" s="1"/>
  <c r="A9" i="31" s="1"/>
  <c r="A10" i="31" s="1"/>
  <c r="A11" i="31" s="1"/>
  <c r="A12" i="31" s="1"/>
  <c r="A13" i="31" s="1"/>
  <c r="F90" i="31"/>
  <c r="H91" i="31" s="1"/>
  <c r="F75" i="31"/>
  <c r="F65" i="31"/>
  <c r="A14" i="31" l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l="1"/>
  <c r="A29" i="31" s="1"/>
  <c r="A30" i="31" s="1"/>
  <c r="A31" i="31" s="1"/>
  <c r="A32" i="31" s="1"/>
  <c r="I348" i="20"/>
  <c r="J348" i="20" s="1"/>
  <c r="I346" i="20"/>
  <c r="J346" i="20" s="1"/>
  <c r="I343" i="20"/>
  <c r="J343" i="20" s="1"/>
  <c r="A33" i="31" l="1"/>
  <c r="A34" i="31" s="1"/>
  <c r="A35" i="31" s="1"/>
  <c r="A36" i="31" l="1"/>
  <c r="A37" i="31" s="1"/>
  <c r="A38" i="31" s="1"/>
  <c r="A39" i="31" s="1"/>
  <c r="A40" i="31" l="1"/>
  <c r="A41" i="31" s="1"/>
  <c r="A42" i="31" s="1"/>
  <c r="G64" i="20"/>
  <c r="J42" i="6" l="1"/>
  <c r="J39" i="7"/>
  <c r="J38" i="7"/>
  <c r="B240" i="16" l="1"/>
  <c r="D410" i="20"/>
  <c r="J52" i="7"/>
  <c r="J52" i="9"/>
  <c r="J52" i="29"/>
  <c r="J54" i="8"/>
  <c r="J54" i="7"/>
  <c r="J59" i="6"/>
  <c r="I410" i="20" l="1"/>
  <c r="J410" i="20" s="1"/>
  <c r="J377" i="20"/>
  <c r="D337" i="20"/>
  <c r="I337" i="20" s="1"/>
  <c r="J337" i="20" s="1"/>
  <c r="D294" i="20"/>
  <c r="I294" i="20" s="1"/>
  <c r="J294" i="20" s="1"/>
  <c r="J225" i="20"/>
  <c r="J291" i="20" s="1"/>
  <c r="D194" i="20"/>
  <c r="I194" i="20" s="1"/>
  <c r="D98" i="20"/>
  <c r="D54" i="20"/>
  <c r="C18" i="31" l="1"/>
  <c r="C19" i="31"/>
  <c r="D338" i="20"/>
  <c r="I338" i="20" s="1"/>
  <c r="J338" i="20" s="1"/>
  <c r="J56" i="8"/>
  <c r="J68" i="8"/>
  <c r="J66" i="8"/>
  <c r="J64" i="8"/>
  <c r="J63" i="8"/>
  <c r="J62" i="8"/>
  <c r="J61" i="8"/>
  <c r="J60" i="8"/>
  <c r="J59" i="8"/>
  <c r="J57" i="8"/>
  <c r="J55" i="8"/>
  <c r="J53" i="8"/>
  <c r="J52" i="8"/>
  <c r="J51" i="8"/>
  <c r="J50" i="8"/>
  <c r="J49" i="8"/>
  <c r="D385" i="20" s="1"/>
  <c r="I385" i="20" s="1"/>
  <c r="J48" i="8"/>
  <c r="J47" i="8"/>
  <c r="J46" i="8"/>
  <c r="J45" i="8"/>
  <c r="J44" i="8"/>
  <c r="J43" i="8"/>
  <c r="J42" i="8"/>
  <c r="J41" i="8"/>
  <c r="J40" i="8"/>
  <c r="J39" i="8"/>
  <c r="J38" i="8"/>
  <c r="J37" i="8"/>
  <c r="J54" i="9"/>
  <c r="J55" i="9"/>
  <c r="J66" i="9"/>
  <c r="J64" i="9"/>
  <c r="J62" i="9"/>
  <c r="J61" i="9"/>
  <c r="J60" i="9"/>
  <c r="J59" i="9"/>
  <c r="J58" i="9"/>
  <c r="J57" i="9"/>
  <c r="J53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54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35" i="29"/>
  <c r="J36" i="29"/>
  <c r="J385" i="20" l="1"/>
  <c r="D339" i="20"/>
  <c r="I339" i="20" s="1"/>
  <c r="J339" i="20" s="1"/>
  <c r="I15" i="8" l="1"/>
  <c r="I14" i="7"/>
  <c r="J32" i="9" l="1"/>
  <c r="J30" i="9"/>
  <c r="J28" i="9"/>
  <c r="J27" i="9"/>
  <c r="J26" i="9"/>
  <c r="J25" i="9"/>
  <c r="J24" i="9"/>
  <c r="J23" i="9"/>
  <c r="J22" i="9"/>
  <c r="J21" i="9"/>
  <c r="J20" i="9"/>
  <c r="J19" i="9"/>
  <c r="J16" i="9"/>
  <c r="I15" i="9"/>
  <c r="J15" i="9" s="1"/>
  <c r="J14" i="9"/>
  <c r="J13" i="9"/>
  <c r="J10" i="9"/>
  <c r="J9" i="9"/>
  <c r="J8" i="9"/>
  <c r="J7" i="9"/>
  <c r="J5" i="9"/>
  <c r="J66" i="29"/>
  <c r="J64" i="29"/>
  <c r="J62" i="29"/>
  <c r="J61" i="29"/>
  <c r="J60" i="29"/>
  <c r="J59" i="29"/>
  <c r="J58" i="29"/>
  <c r="J57" i="29"/>
  <c r="J55" i="29"/>
  <c r="J53" i="29"/>
  <c r="J51" i="29"/>
  <c r="J50" i="29"/>
  <c r="J32" i="29"/>
  <c r="J30" i="29"/>
  <c r="J28" i="29"/>
  <c r="J27" i="29"/>
  <c r="J26" i="29"/>
  <c r="J25" i="29"/>
  <c r="J24" i="29"/>
  <c r="J23" i="29"/>
  <c r="J22" i="29"/>
  <c r="J21" i="29"/>
  <c r="J20" i="29"/>
  <c r="J19" i="29"/>
  <c r="J16" i="29"/>
  <c r="I15" i="29"/>
  <c r="J15" i="29" s="1"/>
  <c r="J14" i="29"/>
  <c r="J13" i="29"/>
  <c r="J10" i="29"/>
  <c r="J9" i="29"/>
  <c r="J8" i="29"/>
  <c r="J7" i="29"/>
  <c r="J5" i="29"/>
  <c r="J34" i="8"/>
  <c r="J32" i="8"/>
  <c r="J30" i="8"/>
  <c r="J29" i="8"/>
  <c r="J28" i="8"/>
  <c r="J27" i="8"/>
  <c r="J26" i="8"/>
  <c r="J25" i="8"/>
  <c r="J24" i="8"/>
  <c r="J23" i="8"/>
  <c r="J22" i="8"/>
  <c r="J21" i="8"/>
  <c r="J18" i="8"/>
  <c r="I17" i="8"/>
  <c r="J17" i="8" s="1"/>
  <c r="I16" i="8"/>
  <c r="J16" i="8" s="1"/>
  <c r="J15" i="8"/>
  <c r="J14" i="8"/>
  <c r="J13" i="8"/>
  <c r="J10" i="8"/>
  <c r="J9" i="8"/>
  <c r="J8" i="8"/>
  <c r="J7" i="8"/>
  <c r="J5" i="8"/>
  <c r="J66" i="7"/>
  <c r="J64" i="7"/>
  <c r="J62" i="7"/>
  <c r="D384" i="20" s="1"/>
  <c r="I384" i="20" s="1"/>
  <c r="J61" i="7"/>
  <c r="J60" i="7"/>
  <c r="J59" i="7"/>
  <c r="J58" i="7"/>
  <c r="D402" i="20" s="1"/>
  <c r="I402" i="20" s="1"/>
  <c r="J57" i="7"/>
  <c r="J55" i="7"/>
  <c r="J53" i="7"/>
  <c r="J51" i="7"/>
  <c r="J50" i="7"/>
  <c r="J48" i="7"/>
  <c r="D219" i="20" s="1"/>
  <c r="I219" i="20" s="1"/>
  <c r="J47" i="7"/>
  <c r="J33" i="7"/>
  <c r="J31" i="7"/>
  <c r="J29" i="7"/>
  <c r="J28" i="7"/>
  <c r="J27" i="7"/>
  <c r="D220" i="20" s="1"/>
  <c r="I220" i="20" s="1"/>
  <c r="J26" i="7"/>
  <c r="J25" i="7"/>
  <c r="J24" i="7"/>
  <c r="J23" i="7"/>
  <c r="J22" i="7"/>
  <c r="D221" i="20" s="1"/>
  <c r="J21" i="7"/>
  <c r="J20" i="7"/>
  <c r="I139" i="20" s="1"/>
  <c r="D137" i="20" s="1"/>
  <c r="I137" i="20" s="1"/>
  <c r="J17" i="7"/>
  <c r="I116" i="20" s="1"/>
  <c r="D114" i="20" s="1"/>
  <c r="I114" i="20" s="1"/>
  <c r="I16" i="7"/>
  <c r="J16" i="7" s="1"/>
  <c r="I64" i="20" s="1"/>
  <c r="I15" i="7"/>
  <c r="J15" i="7" s="1"/>
  <c r="J14" i="7"/>
  <c r="J13" i="7"/>
  <c r="J12" i="7"/>
  <c r="J9" i="7"/>
  <c r="J8" i="7"/>
  <c r="J7" i="7"/>
  <c r="I154" i="20" s="1"/>
  <c r="J5" i="7"/>
  <c r="J72" i="6"/>
  <c r="J70" i="6"/>
  <c r="J68" i="6"/>
  <c r="J67" i="6"/>
  <c r="J66" i="6"/>
  <c r="J65" i="6"/>
  <c r="J64" i="6"/>
  <c r="J63" i="6"/>
  <c r="J62" i="6"/>
  <c r="J61" i="6"/>
  <c r="J60" i="6"/>
  <c r="J58" i="6"/>
  <c r="J57" i="6"/>
  <c r="J56" i="6"/>
  <c r="J55" i="6"/>
  <c r="J54" i="6"/>
  <c r="J53" i="6"/>
  <c r="J52" i="6"/>
  <c r="D313" i="20" s="1"/>
  <c r="I313" i="20" s="1"/>
  <c r="J51" i="6"/>
  <c r="J50" i="6"/>
  <c r="J49" i="6"/>
  <c r="J48" i="6"/>
  <c r="J47" i="6"/>
  <c r="J46" i="6"/>
  <c r="J45" i="6"/>
  <c r="J43" i="6"/>
  <c r="J36" i="6"/>
  <c r="D383" i="20" s="1"/>
  <c r="I383" i="20" s="1"/>
  <c r="J34" i="6"/>
  <c r="J32" i="6"/>
  <c r="J31" i="6"/>
  <c r="J30" i="6"/>
  <c r="J29" i="6"/>
  <c r="J28" i="6"/>
  <c r="J27" i="6"/>
  <c r="J26" i="6"/>
  <c r="J25" i="6"/>
  <c r="J24" i="6"/>
  <c r="J23" i="6"/>
  <c r="J19" i="6"/>
  <c r="J18" i="6"/>
  <c r="I17" i="6"/>
  <c r="J17" i="6" s="1"/>
  <c r="J16" i="6"/>
  <c r="J15" i="6"/>
  <c r="J12" i="6"/>
  <c r="J11" i="6"/>
  <c r="I113" i="20" s="1"/>
  <c r="D111" i="20" s="1"/>
  <c r="I111" i="20" s="1"/>
  <c r="J10" i="6"/>
  <c r="I155" i="20" s="1"/>
  <c r="J403" i="20"/>
  <c r="J88" i="20"/>
  <c r="D215" i="20" l="1"/>
  <c r="I215" i="20" s="1"/>
  <c r="J215" i="20" s="1"/>
  <c r="D149" i="20"/>
  <c r="I149" i="20" s="1"/>
  <c r="D58" i="20"/>
  <c r="I58" i="20" s="1"/>
  <c r="I221" i="20"/>
  <c r="J221" i="20" s="1"/>
  <c r="D218" i="20"/>
  <c r="J402" i="20"/>
  <c r="J220" i="20"/>
  <c r="J411" i="20"/>
  <c r="J381" i="20"/>
  <c r="J384" i="20"/>
  <c r="I379" i="20"/>
  <c r="J379" i="20" s="1"/>
  <c r="J378" i="20"/>
  <c r="J383" i="20"/>
  <c r="J313" i="20"/>
  <c r="J325" i="20" s="1"/>
  <c r="J219" i="20"/>
  <c r="I218" i="20" l="1"/>
  <c r="J218" i="20" s="1"/>
  <c r="D412" i="20"/>
  <c r="D70" i="20"/>
  <c r="D52" i="20"/>
  <c r="D53" i="20"/>
  <c r="I412" i="20" l="1"/>
  <c r="J412" i="20" s="1"/>
  <c r="J415" i="20" s="1"/>
  <c r="G53" i="20"/>
  <c r="I53" i="20" s="1"/>
  <c r="C58" i="31" l="1"/>
  <c r="C57" i="31"/>
  <c r="C56" i="31"/>
  <c r="C55" i="31"/>
  <c r="C52" i="31"/>
  <c r="C84" i="31" s="1"/>
  <c r="C51" i="31"/>
  <c r="C83" i="31" s="1"/>
  <c r="C50" i="31"/>
  <c r="C82" i="31" s="1"/>
  <c r="J10" i="21"/>
  <c r="C69" i="31"/>
  <c r="C68" i="31"/>
  <c r="D349" i="20"/>
  <c r="I349" i="20" s="1"/>
  <c r="J349" i="20" s="1"/>
  <c r="D347" i="20"/>
  <c r="I347" i="20" s="1"/>
  <c r="J347" i="20" s="1"/>
  <c r="D340" i="20"/>
  <c r="I340" i="20" s="1"/>
  <c r="J340" i="20" s="1"/>
  <c r="D334" i="20"/>
  <c r="I334" i="20" s="1"/>
  <c r="J334" i="20" s="1"/>
  <c r="D331" i="20"/>
  <c r="I331" i="20" s="1"/>
  <c r="J331" i="20" s="1"/>
  <c r="D328" i="20"/>
  <c r="C79" i="31"/>
  <c r="C78" i="31"/>
  <c r="D298" i="20"/>
  <c r="I298" i="20" s="1"/>
  <c r="J298" i="20" s="1"/>
  <c r="J310" i="20" s="1"/>
  <c r="C31" i="31"/>
  <c r="C23" i="31"/>
  <c r="C15" i="31"/>
  <c r="C28" i="31"/>
  <c r="C27" i="31"/>
  <c r="D329" i="20" l="1"/>
  <c r="I328" i="20"/>
  <c r="J328" i="20" s="1"/>
  <c r="D335" i="20"/>
  <c r="I335" i="20" s="1"/>
  <c r="J335" i="20" s="1"/>
  <c r="D341" i="20"/>
  <c r="I341" i="20" s="1"/>
  <c r="J341" i="20" s="1"/>
  <c r="D332" i="20"/>
  <c r="I332" i="20" s="1"/>
  <c r="J332" i="20" s="1"/>
  <c r="I350" i="20"/>
  <c r="J350" i="20" s="1"/>
  <c r="H25" i="31"/>
  <c r="F25" i="31" s="1"/>
  <c r="C25" i="31"/>
  <c r="P195" i="20"/>
  <c r="P101" i="20"/>
  <c r="C8" i="31"/>
  <c r="C7" i="31"/>
  <c r="N95" i="20"/>
  <c r="G55" i="20"/>
  <c r="I55" i="20" s="1"/>
  <c r="D330" i="20" l="1"/>
  <c r="I330" i="20" s="1"/>
  <c r="J330" i="20" s="1"/>
  <c r="I329" i="20"/>
  <c r="J329" i="20" s="1"/>
  <c r="D333" i="20"/>
  <c r="I333" i="20" s="1"/>
  <c r="J333" i="20" s="1"/>
  <c r="D351" i="20"/>
  <c r="I351" i="20" s="1"/>
  <c r="J351" i="20" s="1"/>
  <c r="D342" i="20"/>
  <c r="I342" i="20" s="1"/>
  <c r="J342" i="20" s="1"/>
  <c r="D336" i="20"/>
  <c r="I336" i="20" s="1"/>
  <c r="J336" i="20" s="1"/>
  <c r="E248" i="27"/>
  <c r="E249" i="27"/>
  <c r="D253" i="27"/>
  <c r="E241" i="27"/>
  <c r="E242" i="27"/>
  <c r="E243" i="27"/>
  <c r="E244" i="27"/>
  <c r="E245" i="27"/>
  <c r="E246" i="27"/>
  <c r="E247" i="27"/>
  <c r="E252" i="27"/>
  <c r="F222" i="27"/>
  <c r="G222" i="27" s="1"/>
  <c r="F223" i="27"/>
  <c r="G223" i="27" s="1"/>
  <c r="F224" i="27"/>
  <c r="G224" i="27" s="1"/>
  <c r="F225" i="27"/>
  <c r="G225" i="27" s="1"/>
  <c r="F226" i="27"/>
  <c r="G226" i="27" s="1"/>
  <c r="F227" i="27"/>
  <c r="G227" i="27" s="1"/>
  <c r="F228" i="27"/>
  <c r="G228" i="27" s="1"/>
  <c r="F231" i="27"/>
  <c r="G231" i="27" s="1"/>
  <c r="F232" i="27"/>
  <c r="G232" i="27" s="1"/>
  <c r="F233" i="27"/>
  <c r="G233" i="27" s="1"/>
  <c r="F234" i="27"/>
  <c r="G234" i="27" s="1"/>
  <c r="F221" i="27"/>
  <c r="G221" i="27" s="1"/>
  <c r="G229" i="27"/>
  <c r="G230" i="27"/>
  <c r="G235" i="27"/>
  <c r="G236" i="27"/>
  <c r="G237" i="27"/>
  <c r="F218" i="27"/>
  <c r="D218" i="27"/>
  <c r="G201" i="27"/>
  <c r="G202" i="27"/>
  <c r="G203" i="27"/>
  <c r="G204" i="27"/>
  <c r="G205" i="27"/>
  <c r="G206" i="27"/>
  <c r="G207" i="27"/>
  <c r="G208" i="27"/>
  <c r="G209" i="27"/>
  <c r="G210" i="27"/>
  <c r="G211" i="27"/>
  <c r="G212" i="27"/>
  <c r="G213" i="27"/>
  <c r="G214" i="27"/>
  <c r="G215" i="27"/>
  <c r="G216" i="27"/>
  <c r="G217" i="27"/>
  <c r="F193" i="27"/>
  <c r="F192" i="27"/>
  <c r="G192" i="27" s="1"/>
  <c r="F190" i="27"/>
  <c r="G190" i="27" s="1"/>
  <c r="D198" i="27"/>
  <c r="G161" i="27"/>
  <c r="G162" i="27"/>
  <c r="G163" i="27"/>
  <c r="G164" i="27"/>
  <c r="G165" i="27"/>
  <c r="G166" i="27"/>
  <c r="G167" i="27"/>
  <c r="G168" i="27"/>
  <c r="G169" i="27"/>
  <c r="G170" i="27"/>
  <c r="G171" i="27"/>
  <c r="G172" i="27"/>
  <c r="G173" i="27"/>
  <c r="G174" i="27"/>
  <c r="G175" i="27"/>
  <c r="G176" i="27"/>
  <c r="G177" i="27"/>
  <c r="G178" i="27"/>
  <c r="G179" i="27"/>
  <c r="G180" i="27"/>
  <c r="G181" i="27"/>
  <c r="G182" i="27"/>
  <c r="G183" i="27"/>
  <c r="G184" i="27"/>
  <c r="G185" i="27"/>
  <c r="G186" i="27"/>
  <c r="G187" i="27"/>
  <c r="G188" i="27"/>
  <c r="G189" i="27"/>
  <c r="G191" i="27"/>
  <c r="G194" i="27"/>
  <c r="G195" i="27"/>
  <c r="G196" i="27"/>
  <c r="G197" i="27"/>
  <c r="F158" i="27"/>
  <c r="D158" i="27"/>
  <c r="G150" i="27"/>
  <c r="G151" i="27"/>
  <c r="G152" i="27"/>
  <c r="G153" i="27"/>
  <c r="G154" i="27"/>
  <c r="G155" i="27"/>
  <c r="G156" i="27"/>
  <c r="G157" i="27"/>
  <c r="F147" i="27"/>
  <c r="D147" i="27"/>
  <c r="G137" i="27"/>
  <c r="G138" i="27"/>
  <c r="G139" i="27"/>
  <c r="G140" i="27"/>
  <c r="G141" i="27"/>
  <c r="G142" i="27"/>
  <c r="G143" i="27"/>
  <c r="G144" i="27"/>
  <c r="G145" i="27"/>
  <c r="G146" i="27"/>
  <c r="F134" i="27"/>
  <c r="D134" i="27"/>
  <c r="G114" i="27"/>
  <c r="G115" i="27"/>
  <c r="G116" i="27"/>
  <c r="G117" i="27"/>
  <c r="G118" i="27"/>
  <c r="G119" i="27"/>
  <c r="G120" i="27"/>
  <c r="G121" i="27"/>
  <c r="G122" i="27"/>
  <c r="G123" i="27"/>
  <c r="G124" i="27"/>
  <c r="G125" i="27"/>
  <c r="G126" i="27"/>
  <c r="G127" i="27"/>
  <c r="G128" i="27"/>
  <c r="G129" i="27"/>
  <c r="G130" i="27"/>
  <c r="G131" i="27"/>
  <c r="G132" i="27"/>
  <c r="G133" i="27"/>
  <c r="G101" i="27"/>
  <c r="G102" i="27"/>
  <c r="G103" i="27"/>
  <c r="G104" i="27"/>
  <c r="G105" i="27"/>
  <c r="G107" i="27"/>
  <c r="G109" i="27"/>
  <c r="G110" i="27"/>
  <c r="F111" i="27"/>
  <c r="F98" i="27"/>
  <c r="D98" i="27"/>
  <c r="F91" i="27"/>
  <c r="D91" i="27"/>
  <c r="G94" i="27"/>
  <c r="G95" i="27"/>
  <c r="G96" i="27"/>
  <c r="G97" i="27"/>
  <c r="G85" i="27"/>
  <c r="G86" i="27"/>
  <c r="G87" i="27"/>
  <c r="G88" i="27"/>
  <c r="G89" i="27"/>
  <c r="G90" i="27"/>
  <c r="F238" i="27"/>
  <c r="D238" i="27"/>
  <c r="F82" i="27"/>
  <c r="D82" i="27"/>
  <c r="G80" i="27"/>
  <c r="G81" i="27"/>
  <c r="F77" i="27"/>
  <c r="D77" i="27"/>
  <c r="G62" i="27"/>
  <c r="G63" i="27"/>
  <c r="G64" i="27"/>
  <c r="G65" i="27"/>
  <c r="G66" i="27"/>
  <c r="G67" i="27"/>
  <c r="G68" i="27"/>
  <c r="G69" i="27"/>
  <c r="G70" i="27"/>
  <c r="G71" i="27"/>
  <c r="G72" i="27"/>
  <c r="G73" i="27"/>
  <c r="G74" i="27"/>
  <c r="G75" i="27"/>
  <c r="G76" i="27"/>
  <c r="G57" i="27"/>
  <c r="G58" i="27"/>
  <c r="F59" i="27"/>
  <c r="D59" i="27"/>
  <c r="G49" i="27"/>
  <c r="G50" i="27"/>
  <c r="G51" i="27"/>
  <c r="G53" i="27"/>
  <c r="G48" i="27"/>
  <c r="F54" i="27"/>
  <c r="E251" i="27"/>
  <c r="E250" i="27"/>
  <c r="H210" i="27"/>
  <c r="C189" i="27"/>
  <c r="C186" i="27"/>
  <c r="C187" i="27" s="1"/>
  <c r="C183" i="27"/>
  <c r="C184" i="27" s="1"/>
  <c r="J126" i="27"/>
  <c r="J125" i="27"/>
  <c r="H117" i="27"/>
  <c r="D108" i="27"/>
  <c r="G108" i="27" s="1"/>
  <c r="D106" i="27"/>
  <c r="G106" i="27" s="1"/>
  <c r="H102" i="27"/>
  <c r="I102" i="27" s="1"/>
  <c r="I97" i="27"/>
  <c r="I95" i="27"/>
  <c r="I93" i="27"/>
  <c r="C88" i="27"/>
  <c r="L87" i="27"/>
  <c r="J86" i="27"/>
  <c r="H86" i="27"/>
  <c r="J80" i="27"/>
  <c r="L79" i="27"/>
  <c r="L80" i="27" s="1"/>
  <c r="L78" i="27"/>
  <c r="I74" i="27"/>
  <c r="I73" i="27"/>
  <c r="J71" i="27"/>
  <c r="J70" i="27"/>
  <c r="I65" i="27"/>
  <c r="I63" i="27"/>
  <c r="C57" i="27"/>
  <c r="D52" i="27"/>
  <c r="D54" i="27" s="1"/>
  <c r="C52" i="27"/>
  <c r="I51" i="27"/>
  <c r="I50" i="27"/>
  <c r="J371" i="20" l="1"/>
  <c r="G82" i="27"/>
  <c r="J87" i="27"/>
  <c r="K87" i="27" s="1"/>
  <c r="G59" i="27"/>
  <c r="G77" i="27"/>
  <c r="G91" i="27"/>
  <c r="F198" i="27"/>
  <c r="E264" i="27" s="1"/>
  <c r="D24" i="27" s="1"/>
  <c r="G193" i="27"/>
  <c r="D111" i="27"/>
  <c r="G111" i="27" s="1"/>
  <c r="G98" i="27"/>
  <c r="G134" i="27"/>
  <c r="G147" i="27"/>
  <c r="G158" i="27"/>
  <c r="G218" i="27"/>
  <c r="G238" i="27"/>
  <c r="G52" i="27"/>
  <c r="G54" i="27"/>
  <c r="K126" i="27"/>
  <c r="K127" i="27" s="1"/>
  <c r="I80" i="27"/>
  <c r="C182" i="27"/>
  <c r="C185" i="27"/>
  <c r="C188" i="27"/>
  <c r="H205" i="27"/>
  <c r="I205" i="27" s="1"/>
  <c r="C253" i="27"/>
  <c r="E253" i="27" s="1"/>
  <c r="G198" i="27" l="1"/>
  <c r="C264" i="27"/>
  <c r="B24" i="27" s="1"/>
  <c r="N195" i="20"/>
  <c r="P196" i="20"/>
  <c r="G264" i="27" l="1"/>
  <c r="C37" i="31" l="1"/>
  <c r="L195" i="20"/>
  <c r="N196" i="20" s="1"/>
  <c r="O196" i="20" s="1"/>
  <c r="M149" i="20" l="1"/>
  <c r="C24" i="31" l="1"/>
  <c r="P180" i="20"/>
  <c r="P181" i="20" s="1"/>
  <c r="P179" i="20"/>
  <c r="H31" i="31" l="1"/>
  <c r="F31" i="31" s="1"/>
  <c r="C34" i="31" l="1"/>
  <c r="D15" i="16" l="1"/>
  <c r="L383" i="20" l="1"/>
  <c r="N181" i="20" l="1"/>
  <c r="B242" i="16" l="1"/>
  <c r="B241" i="16"/>
  <c r="H34" i="31" l="1"/>
  <c r="F34" i="31" s="1"/>
  <c r="G96" i="31" l="1"/>
  <c r="F45" i="21" l="1"/>
  <c r="F44" i="21"/>
  <c r="F43" i="21"/>
  <c r="F42" i="21"/>
  <c r="F41" i="21"/>
  <c r="F40" i="21"/>
  <c r="F39" i="21"/>
  <c r="F38" i="21"/>
  <c r="F37" i="21"/>
  <c r="F36" i="21"/>
  <c r="F35" i="21"/>
  <c r="F34" i="21"/>
  <c r="H26" i="31" l="1"/>
  <c r="C26" i="31"/>
  <c r="C63" i="31" s="1"/>
  <c r="C76" i="31" s="1"/>
  <c r="G47" i="21"/>
  <c r="I47" i="21" s="1"/>
  <c r="M204" i="20"/>
  <c r="M203" i="20"/>
  <c r="H63" i="31" l="1"/>
  <c r="F26" i="31"/>
  <c r="F63" i="31" l="1"/>
  <c r="H76" i="31"/>
  <c r="F76" i="31" s="1"/>
  <c r="C62" i="31" l="1"/>
  <c r="C39" i="31" l="1"/>
  <c r="D375" i="20" l="1"/>
  <c r="I375" i="20" s="1"/>
  <c r="H39" i="31"/>
  <c r="F39" i="31" s="1"/>
  <c r="J375" i="20" l="1"/>
  <c r="J393" i="20" s="1"/>
  <c r="J58" i="20"/>
  <c r="C42" i="31"/>
  <c r="C70" i="31" s="1"/>
  <c r="H42" i="31" l="1"/>
  <c r="H70" i="31" l="1"/>
  <c r="F70" i="31" s="1"/>
  <c r="F42" i="31"/>
  <c r="C36" i="31"/>
  <c r="C40" i="31" l="1"/>
  <c r="C49" i="31"/>
  <c r="C81" i="31" s="1"/>
  <c r="C59" i="31"/>
  <c r="C85" i="31" s="1"/>
  <c r="C48" i="31"/>
  <c r="C80" i="31" s="1"/>
  <c r="C74" i="31"/>
  <c r="C67" i="31"/>
  <c r="C77" i="31" s="1"/>
  <c r="C21" i="31"/>
  <c r="C46" i="31" s="1"/>
  <c r="C20" i="31"/>
  <c r="C41" i="31"/>
  <c r="C66" i="31" s="1"/>
  <c r="C17" i="31"/>
  <c r="C14" i="31"/>
  <c r="C10" i="31"/>
  <c r="C13" i="31"/>
  <c r="C9" i="31"/>
  <c r="C61" i="31"/>
  <c r="C12" i="31"/>
  <c r="C6" i="31" l="1"/>
  <c r="C22" i="31"/>
  <c r="C53" i="31"/>
  <c r="C54" i="31"/>
  <c r="H61" i="31"/>
  <c r="F61" i="31" s="1"/>
  <c r="H16" i="31" l="1"/>
  <c r="F16" i="31" s="1"/>
  <c r="C16" i="31"/>
  <c r="H5" i="31"/>
  <c r="F5" i="31" s="1"/>
  <c r="C35" i="31" l="1"/>
  <c r="C30" i="31"/>
  <c r="C29" i="31"/>
  <c r="H10" i="31" l="1"/>
  <c r="F10" i="31" s="1"/>
  <c r="H24" i="31" l="1"/>
  <c r="F24" i="31" s="1"/>
  <c r="G24" i="23" l="1"/>
  <c r="H23" i="31"/>
  <c r="F23" i="31" s="1"/>
  <c r="H29" i="31"/>
  <c r="F29" i="31" s="1"/>
  <c r="G54" i="20"/>
  <c r="I54" i="20" s="1"/>
  <c r="G69" i="20"/>
  <c r="I69" i="20" s="1"/>
  <c r="G52" i="20"/>
  <c r="I52" i="20" s="1"/>
  <c r="F15" i="22"/>
  <c r="C29" i="21" s="1"/>
  <c r="D29" i="21" s="1"/>
  <c r="F14" i="22"/>
  <c r="C28" i="21" s="1"/>
  <c r="D28" i="21" s="1"/>
  <c r="F13" i="22"/>
  <c r="C27" i="21" s="1"/>
  <c r="F11" i="22"/>
  <c r="C25" i="21" s="1"/>
  <c r="D25" i="21" s="1"/>
  <c r="F10" i="22"/>
  <c r="C24" i="21" s="1"/>
  <c r="D24" i="21" s="1"/>
  <c r="F8" i="22"/>
  <c r="C22" i="21" s="1"/>
  <c r="F7" i="22"/>
  <c r="C21" i="21" s="1"/>
  <c r="D21" i="21" s="1"/>
  <c r="F6" i="22"/>
  <c r="C20" i="21" s="1"/>
  <c r="D20" i="21" s="1"/>
  <c r="C47" i="22"/>
  <c r="F12" i="22" s="1"/>
  <c r="C26" i="21" s="1"/>
  <c r="D26" i="21" s="1"/>
  <c r="C46" i="22"/>
  <c r="F9" i="22" s="1"/>
  <c r="C23" i="21" s="1"/>
  <c r="D23" i="21" s="1"/>
  <c r="C45" i="22"/>
  <c r="F5" i="22"/>
  <c r="C19" i="21" s="1"/>
  <c r="D19" i="21" s="1"/>
  <c r="C10" i="21"/>
  <c r="D10" i="21" s="1"/>
  <c r="F10" i="21" s="1"/>
  <c r="H10" i="21" s="1"/>
  <c r="C11" i="21"/>
  <c r="D11" i="21" s="1"/>
  <c r="F11" i="21" s="1"/>
  <c r="H11" i="21" s="1"/>
  <c r="C15" i="21"/>
  <c r="D15" i="21" s="1"/>
  <c r="F15" i="21" s="1"/>
  <c r="H15" i="21" s="1"/>
  <c r="C14" i="21"/>
  <c r="D14" i="21" s="1"/>
  <c r="F14" i="21" s="1"/>
  <c r="H14" i="21" s="1"/>
  <c r="C13" i="21"/>
  <c r="D13" i="21" s="1"/>
  <c r="F13" i="21" s="1"/>
  <c r="H13" i="21" s="1"/>
  <c r="C7" i="21"/>
  <c r="D7" i="21" s="1"/>
  <c r="C8" i="21"/>
  <c r="D8" i="21" s="1"/>
  <c r="C9" i="21"/>
  <c r="D9" i="21" s="1"/>
  <c r="C6" i="21"/>
  <c r="D6" i="21" s="1"/>
  <c r="C5" i="21"/>
  <c r="D5" i="21" s="1"/>
  <c r="C4" i="21"/>
  <c r="D4" i="21" s="1"/>
  <c r="H54" i="31"/>
  <c r="F54" i="31" s="1"/>
  <c r="H58" i="31"/>
  <c r="F58" i="31" s="1"/>
  <c r="H57" i="31"/>
  <c r="F57" i="31" s="1"/>
  <c r="H56" i="31"/>
  <c r="F56" i="31" s="1"/>
  <c r="H55" i="31"/>
  <c r="F55" i="31" s="1"/>
  <c r="H52" i="31"/>
  <c r="H51" i="31"/>
  <c r="H50" i="31"/>
  <c r="H69" i="31"/>
  <c r="F69" i="31" s="1"/>
  <c r="H68" i="31"/>
  <c r="F68" i="31" s="1"/>
  <c r="H79" i="31"/>
  <c r="F79" i="31" s="1"/>
  <c r="H78" i="31"/>
  <c r="F78" i="31" s="1"/>
  <c r="H62" i="31"/>
  <c r="F62" i="31" s="1"/>
  <c r="H36" i="31"/>
  <c r="F36" i="31" s="1"/>
  <c r="H35" i="31"/>
  <c r="F35" i="31" s="1"/>
  <c r="H15" i="31"/>
  <c r="F15" i="31" s="1"/>
  <c r="J209" i="20"/>
  <c r="H27" i="31"/>
  <c r="F27" i="31" s="1"/>
  <c r="J204" i="20"/>
  <c r="H20" i="31"/>
  <c r="F20" i="31" s="1"/>
  <c r="J196" i="20"/>
  <c r="C11" i="31"/>
  <c r="H67" i="31"/>
  <c r="H17" i="31"/>
  <c r="F17" i="31" s="1"/>
  <c r="D50" i="20" l="1"/>
  <c r="I50" i="20" s="1"/>
  <c r="J50" i="20" s="1"/>
  <c r="H21" i="31"/>
  <c r="F21" i="31" s="1"/>
  <c r="H28" i="31"/>
  <c r="F28" i="31" s="1"/>
  <c r="H47" i="31"/>
  <c r="F47" i="31" s="1"/>
  <c r="H19" i="31"/>
  <c r="F19" i="31" s="1"/>
  <c r="H77" i="31"/>
  <c r="F77" i="31" s="1"/>
  <c r="F67" i="31"/>
  <c r="H82" i="31"/>
  <c r="F82" i="31" s="1"/>
  <c r="F50" i="31"/>
  <c r="H83" i="31"/>
  <c r="F83" i="31" s="1"/>
  <c r="F51" i="31"/>
  <c r="H84" i="31"/>
  <c r="F84" i="31" s="1"/>
  <c r="F52" i="31"/>
  <c r="D22" i="21"/>
  <c r="F22" i="21" s="1"/>
  <c r="H22" i="21" s="1"/>
  <c r="F6" i="21"/>
  <c r="H6" i="21" s="1"/>
  <c r="F7" i="21"/>
  <c r="H7" i="21" s="1"/>
  <c r="D27" i="21"/>
  <c r="F27" i="21" s="1"/>
  <c r="H27" i="21" s="1"/>
  <c r="H48" i="31"/>
  <c r="H59" i="31"/>
  <c r="H49" i="31"/>
  <c r="J194" i="20"/>
  <c r="F21" i="21"/>
  <c r="H21" i="21" s="1"/>
  <c r="F20" i="21"/>
  <c r="H20" i="21" s="1"/>
  <c r="F19" i="21"/>
  <c r="H19" i="21" s="1"/>
  <c r="F24" i="21"/>
  <c r="H24" i="21" s="1"/>
  <c r="F28" i="21"/>
  <c r="H28" i="21" s="1"/>
  <c r="G97" i="20"/>
  <c r="I97" i="20" s="1"/>
  <c r="F23" i="21"/>
  <c r="H23" i="21" s="1"/>
  <c r="F25" i="21"/>
  <c r="H25" i="21" s="1"/>
  <c r="F29" i="21"/>
  <c r="H29" i="21" s="1"/>
  <c r="J222" i="20"/>
  <c r="F26" i="21"/>
  <c r="H26" i="21" s="1"/>
  <c r="G70" i="20"/>
  <c r="I70" i="20" s="1"/>
  <c r="C60" i="31"/>
  <c r="C86" i="31" s="1"/>
  <c r="H40" i="31"/>
  <c r="F40" i="31" s="1"/>
  <c r="F8" i="21"/>
  <c r="H8" i="21" s="1"/>
  <c r="H53" i="31"/>
  <c r="F53" i="31" s="1"/>
  <c r="H41" i="31"/>
  <c r="G94" i="31"/>
  <c r="F5" i="21"/>
  <c r="H5" i="21" s="1"/>
  <c r="F4" i="21"/>
  <c r="H4" i="21" s="1"/>
  <c r="G98" i="20"/>
  <c r="I98" i="20" s="1"/>
  <c r="F9" i="21"/>
  <c r="H9" i="21" s="1"/>
  <c r="H6" i="31"/>
  <c r="F6" i="31" s="1"/>
  <c r="J111" i="20"/>
  <c r="H37" i="31"/>
  <c r="F37" i="31" s="1"/>
  <c r="H14" i="31"/>
  <c r="F14" i="31" s="1"/>
  <c r="H30" i="31"/>
  <c r="F30" i="31" s="1"/>
  <c r="J137" i="20"/>
  <c r="H11" i="31" s="1"/>
  <c r="F11" i="31" s="1"/>
  <c r="G75" i="20"/>
  <c r="I75" i="20" s="1"/>
  <c r="D95" i="20" l="1"/>
  <c r="H46" i="31"/>
  <c r="F46" i="31" s="1"/>
  <c r="D67" i="20"/>
  <c r="I67" i="20" s="1"/>
  <c r="J67" i="20" s="1"/>
  <c r="H7" i="31"/>
  <c r="F7" i="31" s="1"/>
  <c r="H18" i="31"/>
  <c r="F18" i="31" s="1"/>
  <c r="G97" i="31"/>
  <c r="H66" i="31"/>
  <c r="F66" i="31" s="1"/>
  <c r="F41" i="31"/>
  <c r="H81" i="31"/>
  <c r="F81" i="31" s="1"/>
  <c r="F49" i="31"/>
  <c r="H85" i="31"/>
  <c r="F85" i="31" s="1"/>
  <c r="F59" i="31"/>
  <c r="H80" i="31"/>
  <c r="F80" i="31" s="1"/>
  <c r="F48" i="31"/>
  <c r="H33" i="31"/>
  <c r="F33" i="31" s="1"/>
  <c r="C33" i="31"/>
  <c r="J197" i="20"/>
  <c r="H74" i="31" s="1"/>
  <c r="F74" i="31" s="1"/>
  <c r="J198" i="20"/>
  <c r="J205" i="20"/>
  <c r="M181" i="20"/>
  <c r="H30" i="21"/>
  <c r="J114" i="20"/>
  <c r="H8" i="31" s="1"/>
  <c r="F8" i="31" s="1"/>
  <c r="J149" i="20"/>
  <c r="H12" i="31" s="1"/>
  <c r="F12" i="31" s="1"/>
  <c r="H16" i="21"/>
  <c r="G95" i="31" s="1"/>
  <c r="H9" i="31"/>
  <c r="F9" i="31" s="1"/>
  <c r="H13" i="31"/>
  <c r="F13" i="31" s="1"/>
  <c r="J191" i="20"/>
  <c r="I95" i="20" l="1"/>
  <c r="J95" i="20" s="1"/>
  <c r="J99" i="20" s="1"/>
  <c r="J178" i="20"/>
  <c r="H22" i="31"/>
  <c r="F22" i="31" s="1"/>
  <c r="J206" i="20"/>
  <c r="J201" i="20"/>
  <c r="D423" i="20"/>
  <c r="G98" i="31"/>
  <c r="H60" i="31"/>
  <c r="C38" i="31"/>
  <c r="H32" i="31"/>
  <c r="H64" i="31" l="1"/>
  <c r="F64" i="31" s="1"/>
  <c r="F32" i="31"/>
  <c r="H38" i="31"/>
  <c r="F38" i="31" s="1"/>
  <c r="H86" i="31"/>
  <c r="F86" i="31" s="1"/>
  <c r="H87" i="31" s="1"/>
  <c r="F60" i="31"/>
  <c r="H71" i="31" l="1"/>
  <c r="C5" i="31" l="1"/>
  <c r="H4" i="31" l="1"/>
  <c r="F4" i="31" s="1"/>
  <c r="H43" i="31" s="1"/>
  <c r="H104" i="31" s="1"/>
  <c r="J92" i="20"/>
  <c r="D28" i="20" s="1"/>
  <c r="C4" i="31"/>
  <c r="N67" i="20"/>
  <c r="M67" i="20"/>
  <c r="J424" i="20" l="1"/>
</calcChain>
</file>

<file path=xl/sharedStrings.xml><?xml version="1.0" encoding="utf-8"?>
<sst xmlns="http://schemas.openxmlformats.org/spreadsheetml/2006/main" count="9385" uniqueCount="1762">
  <si>
    <t>ТРВ-13</t>
  </si>
  <si>
    <t>ТРВ-17</t>
  </si>
  <si>
    <t>Детали</t>
  </si>
  <si>
    <t>-</t>
  </si>
  <si>
    <t>Кольцо срезное</t>
  </si>
  <si>
    <t>Кольцо срезное ПК</t>
  </si>
  <si>
    <t>Коробка 920</t>
  </si>
  <si>
    <t>Мембрана ПК</t>
  </si>
  <si>
    <t>Порошок</t>
  </si>
  <si>
    <t>Стакан распылителя</t>
  </si>
  <si>
    <t>Трубка ПВХ</t>
  </si>
  <si>
    <t>Фильтр</t>
  </si>
  <si>
    <t>Этикетка ПАВ</t>
  </si>
  <si>
    <t>Ураган-3</t>
  </si>
  <si>
    <t>Распылитель</t>
  </si>
  <si>
    <t>Ураган-5м</t>
  </si>
  <si>
    <t>Итого:</t>
  </si>
  <si>
    <t>№ п/п</t>
  </si>
  <si>
    <t>Обозначение ДСЕ</t>
  </si>
  <si>
    <t>Наименование ДСЕ</t>
  </si>
  <si>
    <t>Наименование, Марка</t>
  </si>
  <si>
    <t>КИ</t>
  </si>
  <si>
    <t>ЕВ</t>
  </si>
  <si>
    <t>МД</t>
  </si>
  <si>
    <t>Норма на деталь</t>
  </si>
  <si>
    <t>На деталь</t>
  </si>
  <si>
    <t>Всего</t>
  </si>
  <si>
    <t>Полукорпус верхний</t>
  </si>
  <si>
    <t>ГОСТ 19904-90                                                ГОСТ 9045-93</t>
  </si>
  <si>
    <t>кг</t>
  </si>
  <si>
    <t>Полукорпус нижний</t>
  </si>
  <si>
    <t>ГОСТ 2590-2006                                       ГОСТ 1050-88</t>
  </si>
  <si>
    <t>Штуцер нижний</t>
  </si>
  <si>
    <t>ГОСТ 8732-78                    ГОСТ 1050-88</t>
  </si>
  <si>
    <t>Кронштейн-крепление</t>
  </si>
  <si>
    <t>ГОСТ 19903-74                                                ГОСТ 14637-89</t>
  </si>
  <si>
    <t>ГОСТ 481-80</t>
  </si>
  <si>
    <t>ГОСТ 21488-97</t>
  </si>
  <si>
    <t>Гайка</t>
  </si>
  <si>
    <t>м</t>
  </si>
  <si>
    <t>ГГУ - 86</t>
  </si>
  <si>
    <t>ГОСТ 2590-88</t>
  </si>
  <si>
    <t>Уплотнитель ЭА</t>
  </si>
  <si>
    <t>ГОСТ 6467-79</t>
  </si>
  <si>
    <t>шт</t>
  </si>
  <si>
    <t>Прокладка</t>
  </si>
  <si>
    <t>Технопластина ТМКЩ-С 1мм</t>
  </si>
  <si>
    <t>ГОСТ 7338-90</t>
  </si>
  <si>
    <t>Демпфер</t>
  </si>
  <si>
    <t>ГОСТ16381–77</t>
  </si>
  <si>
    <t>Баллон 45-178 без литографии</t>
  </si>
  <si>
    <t>ТУ 6405793.417-09-89</t>
  </si>
  <si>
    <t>Прочие изделия</t>
  </si>
  <si>
    <t>ТУ 5551-045-07513903-2006</t>
  </si>
  <si>
    <t>Материалы</t>
  </si>
  <si>
    <t>ТУ 2257-181-402450042-2006</t>
  </si>
  <si>
    <t>Вспомогательные материалы</t>
  </si>
  <si>
    <t>Паспорт "Ураган"</t>
  </si>
  <si>
    <t>Наклейка на МПП "Ураган"</t>
  </si>
  <si>
    <t>ТУ 4854-002-44270574-2005</t>
  </si>
  <si>
    <t>Порошок огнетушащий</t>
  </si>
  <si>
    <t>ТУ 2149-001-57847408-04</t>
  </si>
  <si>
    <t>Картон Т25С</t>
  </si>
  <si>
    <t>ГОСТ 9142-90</t>
  </si>
  <si>
    <t>Вкладыш 290х290</t>
  </si>
  <si>
    <t>Вкладыш 390х390</t>
  </si>
  <si>
    <t>Стаканчик</t>
  </si>
  <si>
    <t>м²</t>
  </si>
  <si>
    <t>Шайба усиленная 8</t>
  </si>
  <si>
    <t>DIN 9021</t>
  </si>
  <si>
    <t>Стрейч-пленка</t>
  </si>
  <si>
    <t>Скотч 44х66 45 мкм</t>
  </si>
  <si>
    <t>ТУ 2245-001-45077247-2007</t>
  </si>
  <si>
    <t>Этал-1474</t>
  </si>
  <si>
    <t>ТУ 2257-1471-18826195-04</t>
  </si>
  <si>
    <t>Сварочная проволока типа СВ08Г2С</t>
  </si>
  <si>
    <t>ТУ 14-4-863-77</t>
  </si>
  <si>
    <t>Шприц иньекционный</t>
  </si>
  <si>
    <t>ТУ 62-2-506-91</t>
  </si>
  <si>
    <t>Циатим-201</t>
  </si>
  <si>
    <t>ГОСТ 6267-74</t>
  </si>
  <si>
    <t>Двуокись углерода жидкая</t>
  </si>
  <si>
    <t>ГОСТ 8050-85</t>
  </si>
  <si>
    <t xml:space="preserve">Пила кольцевая М42 </t>
  </si>
  <si>
    <t>ISO 9001</t>
  </si>
  <si>
    <t>СОЖ РАТАК 6210R</t>
  </si>
  <si>
    <t>ТУ 0258-002-00190118-99</t>
  </si>
  <si>
    <t>СОЖ ЭПМ-2</t>
  </si>
  <si>
    <t>ТУ 0258-004-11850138-01</t>
  </si>
  <si>
    <t>Концентрат технического очищающего средства МР-5</t>
  </si>
  <si>
    <t>ТУ 8110-003-11850138-99</t>
  </si>
  <si>
    <t>Перчатки</t>
  </si>
  <si>
    <t>ГОСТ 12.4.010-75</t>
  </si>
  <si>
    <t>Перчатки спилковые</t>
  </si>
  <si>
    <t>Нетканое полотно</t>
  </si>
  <si>
    <t>ТУ 858-5586-2003</t>
  </si>
  <si>
    <t xml:space="preserve">Составил: </t>
  </si>
  <si>
    <t>Крем для защиты кожи рук</t>
  </si>
  <si>
    <t>ГОСТ 29189-91</t>
  </si>
  <si>
    <t>Щетка-сметка</t>
  </si>
  <si>
    <t>ГОСТ Р 50962-96</t>
  </si>
  <si>
    <t>Респиратор 3М 8122</t>
  </si>
  <si>
    <t>ГОСТ Р 12.4.191-99</t>
  </si>
  <si>
    <t>Согласовано:</t>
  </si>
  <si>
    <t>Перчатки латекс</t>
  </si>
  <si>
    <t>ГОСТ 20010-93</t>
  </si>
  <si>
    <t>пара</t>
  </si>
  <si>
    <t xml:space="preserve">Спрей для коректировки </t>
  </si>
  <si>
    <t xml:space="preserve">RAL 9016 </t>
  </si>
  <si>
    <t>Корпус МПП-3</t>
  </si>
  <si>
    <t>Мембрана</t>
  </si>
  <si>
    <t>ТУ 48-21-854-88</t>
  </si>
  <si>
    <t>Кронштейн универсальный</t>
  </si>
  <si>
    <t>Наклейка на тару</t>
  </si>
  <si>
    <t>ГГЭ-63</t>
  </si>
  <si>
    <t>Гофроящик 360х150х160</t>
  </si>
  <si>
    <t>Стаканчик 800х50</t>
  </si>
  <si>
    <t>Болт М8х20 цинк</t>
  </si>
  <si>
    <t>DIN 33</t>
  </si>
  <si>
    <t>Гайка М8 цинк</t>
  </si>
  <si>
    <t>DIN 934</t>
  </si>
  <si>
    <t>Клей 88 СА</t>
  </si>
  <si>
    <t>ТУ 2513-005-13238275-96</t>
  </si>
  <si>
    <t>л</t>
  </si>
  <si>
    <t>Насадок</t>
  </si>
  <si>
    <t>ГГУ - 120</t>
  </si>
  <si>
    <t>Таблетка верхняя</t>
  </si>
  <si>
    <t>Элемент газогенерирующий СТК-24 УФ 40/0-20</t>
  </si>
  <si>
    <t>N</t>
  </si>
  <si>
    <t>Таблетка</t>
  </si>
  <si>
    <t>Крепление специальное высотное</t>
  </si>
  <si>
    <t>ГГЭ-100</t>
  </si>
  <si>
    <t>СОЖ РАТАК-2</t>
  </si>
  <si>
    <t>Ткань ситец</t>
  </si>
  <si>
    <t>Штуцер ПК</t>
  </si>
  <si>
    <t>Штуцер верхний</t>
  </si>
  <si>
    <t>Дно стакана распылителя</t>
  </si>
  <si>
    <t>Жесткий ПВХ</t>
  </si>
  <si>
    <t>Кольцо срезное ТРВ</t>
  </si>
  <si>
    <t xml:space="preserve"> </t>
  </si>
  <si>
    <t>Полипропилен</t>
  </si>
  <si>
    <t>ГОСТ 26996-86</t>
  </si>
  <si>
    <t>Трубка попловка</t>
  </si>
  <si>
    <t>Ксилол</t>
  </si>
  <si>
    <t>Растворитель Р-4</t>
  </si>
  <si>
    <t>ГОСТ 7827-74</t>
  </si>
  <si>
    <t>Коробка 300х300х450</t>
  </si>
  <si>
    <t>Коробка 560х120х130</t>
  </si>
  <si>
    <t>ГОСТ 10354-82</t>
  </si>
  <si>
    <t>Респиратор  РПГ-67</t>
  </si>
  <si>
    <t>ГОСТ 12.4.041-2001</t>
  </si>
  <si>
    <t>Патрон для респератора РПГ 67</t>
  </si>
  <si>
    <t>Бриз 2201(а1)</t>
  </si>
  <si>
    <t>Перчатки для обезжиривания</t>
  </si>
  <si>
    <t>Неолат</t>
  </si>
  <si>
    <t>MOBIL VACTRA 2</t>
  </si>
  <si>
    <t>ISO VG 68</t>
  </si>
  <si>
    <t xml:space="preserve">Калий уксуснокислый </t>
  </si>
  <si>
    <t>ГОСТ 5220-78</t>
  </si>
  <si>
    <t>Пакет ПВД 38х56х180 мкм</t>
  </si>
  <si>
    <t>ГОСТ 19360-74</t>
  </si>
  <si>
    <t>Коробка 300х300х600</t>
  </si>
  <si>
    <t>Материал</t>
  </si>
  <si>
    <t>Лист Б-3,0 Ст3пс</t>
  </si>
  <si>
    <t>Лист Паронит ПМБ-2</t>
  </si>
  <si>
    <t>Лента М-1 ДПРНТ 0,1х300</t>
  </si>
  <si>
    <t>Круг Ø30 Д16Т</t>
  </si>
  <si>
    <t>Ящик 920</t>
  </si>
  <si>
    <t>Коробка 360х150х160</t>
  </si>
  <si>
    <t>Прокладка 290</t>
  </si>
  <si>
    <t>Прокладка 390</t>
  </si>
  <si>
    <t>Гофролист 1260х800</t>
  </si>
  <si>
    <t>Скотч</t>
  </si>
  <si>
    <t>Стретч</t>
  </si>
  <si>
    <t>Проволока сварочная</t>
  </si>
  <si>
    <t>Круг Ø30</t>
  </si>
  <si>
    <t>Заглушка STI</t>
  </si>
  <si>
    <t>Последняя цена (за кг/шт/л)</t>
  </si>
  <si>
    <t>Дата последней покупки/созвона</t>
  </si>
  <si>
    <t>Калий уксуснокислый</t>
  </si>
  <si>
    <t>Перчатки х/б</t>
  </si>
  <si>
    <t>Кронштейн крепления</t>
  </si>
  <si>
    <t>Итого необходимо (кг/шт/л)</t>
  </si>
  <si>
    <t>Остаток в деталях</t>
  </si>
  <si>
    <t>Остаток в материале</t>
  </si>
  <si>
    <t>Шпилька М12х1000</t>
  </si>
  <si>
    <t>Черный листовой металлопрокат</t>
  </si>
  <si>
    <t>Наименование</t>
  </si>
  <si>
    <t>Характеристики</t>
  </si>
  <si>
    <t>Лист Ст08ю х/к</t>
  </si>
  <si>
    <t>1,5х1250х2500мм</t>
  </si>
  <si>
    <t>Лист Ст3пс г/к</t>
  </si>
  <si>
    <t>3х1250х2500мм</t>
  </si>
  <si>
    <t>5х2500х6000мм</t>
  </si>
  <si>
    <t>Лист перфарированный 08ПС RV1.1-2.0</t>
  </si>
  <si>
    <t>1х1000х2000мм</t>
  </si>
  <si>
    <t>Цветной листовой металлопрокат</t>
  </si>
  <si>
    <t>Лист АМЦН</t>
  </si>
  <si>
    <t>0,5х1500х3000мм</t>
  </si>
  <si>
    <t>Лента ДПРНТ</t>
  </si>
  <si>
    <t>0,1х300мм</t>
  </si>
  <si>
    <t>Черный металлопрокат</t>
  </si>
  <si>
    <t>Труба Ст20 г/к, ц/т, б/ш</t>
  </si>
  <si>
    <r>
      <rPr>
        <sz val="11"/>
        <color theme="1"/>
        <rFont val="Calibri"/>
        <family val="2"/>
        <charset val="204"/>
      </rPr>
      <t>Ø</t>
    </r>
    <r>
      <rPr>
        <sz val="11"/>
        <color theme="1"/>
        <rFont val="Calibri"/>
        <family val="2"/>
        <charset val="204"/>
        <scheme val="minor"/>
      </rPr>
      <t>76х6мм</t>
    </r>
  </si>
  <si>
    <r>
      <rPr>
        <sz val="11"/>
        <color theme="1"/>
        <rFont val="Calibri"/>
        <family val="2"/>
        <charset val="204"/>
      </rPr>
      <t>Ø</t>
    </r>
    <r>
      <rPr>
        <sz val="11"/>
        <color theme="1"/>
        <rFont val="Calibri"/>
        <family val="2"/>
        <charset val="204"/>
        <scheme val="minor"/>
      </rPr>
      <t>76х4мм</t>
    </r>
  </si>
  <si>
    <r>
      <rPr>
        <sz val="11"/>
        <color theme="1"/>
        <rFont val="Calibri"/>
        <family val="2"/>
        <charset val="204"/>
      </rPr>
      <t>Ø</t>
    </r>
    <r>
      <rPr>
        <sz val="11"/>
        <color theme="1"/>
        <rFont val="Calibri"/>
        <family val="2"/>
        <charset val="204"/>
        <scheme val="minor"/>
      </rPr>
      <t>60х4мм</t>
    </r>
  </si>
  <si>
    <r>
      <rPr>
        <sz val="11"/>
        <color theme="1"/>
        <rFont val="Calibri"/>
        <family val="2"/>
        <charset val="204"/>
      </rPr>
      <t>Ø57</t>
    </r>
    <r>
      <rPr>
        <sz val="11"/>
        <color theme="1"/>
        <rFont val="Calibri"/>
        <family val="2"/>
        <charset val="204"/>
        <scheme val="minor"/>
      </rPr>
      <t>х4мм</t>
    </r>
  </si>
  <si>
    <r>
      <rPr>
        <sz val="11"/>
        <color theme="1"/>
        <rFont val="Calibri"/>
        <family val="2"/>
        <charset val="204"/>
      </rPr>
      <t>Ø51</t>
    </r>
    <r>
      <rPr>
        <sz val="11"/>
        <color theme="1"/>
        <rFont val="Calibri"/>
        <family val="2"/>
        <charset val="204"/>
        <scheme val="minor"/>
      </rPr>
      <t>х4мм</t>
    </r>
  </si>
  <si>
    <t>Труба Ст08пс г/к, э/с</t>
  </si>
  <si>
    <r>
      <rPr>
        <sz val="11"/>
        <color theme="1"/>
        <rFont val="Calibri"/>
        <family val="2"/>
        <charset val="204"/>
      </rPr>
      <t>Ø14</t>
    </r>
    <r>
      <rPr>
        <sz val="11"/>
        <color theme="1"/>
        <rFont val="Calibri"/>
        <family val="2"/>
        <charset val="204"/>
        <scheme val="minor"/>
      </rPr>
      <t>х1мм</t>
    </r>
  </si>
  <si>
    <t>Круг Ст20 г/к</t>
  </si>
  <si>
    <r>
      <rPr>
        <sz val="11"/>
        <color theme="1"/>
        <rFont val="Calibri"/>
        <family val="2"/>
        <charset val="204"/>
      </rPr>
      <t>Ø65</t>
    </r>
    <r>
      <rPr>
        <sz val="11"/>
        <color theme="1"/>
        <rFont val="Calibri"/>
        <family val="2"/>
        <charset val="204"/>
        <scheme val="minor"/>
      </rPr>
      <t>мм</t>
    </r>
  </si>
  <si>
    <r>
      <rPr>
        <sz val="11"/>
        <color theme="1"/>
        <rFont val="Calibri"/>
        <family val="2"/>
        <charset val="204"/>
      </rPr>
      <t>Ø48</t>
    </r>
    <r>
      <rPr>
        <sz val="11"/>
        <color theme="1"/>
        <rFont val="Calibri"/>
        <family val="2"/>
        <charset val="204"/>
        <scheme val="minor"/>
      </rPr>
      <t>мм</t>
    </r>
  </si>
  <si>
    <r>
      <rPr>
        <sz val="11"/>
        <color theme="1"/>
        <rFont val="Calibri"/>
        <family val="2"/>
        <charset val="204"/>
      </rPr>
      <t>Ø30</t>
    </r>
    <r>
      <rPr>
        <sz val="11"/>
        <color theme="1"/>
        <rFont val="Calibri"/>
        <family val="2"/>
        <charset val="204"/>
        <scheme val="minor"/>
      </rPr>
      <t>мм</t>
    </r>
  </si>
  <si>
    <r>
      <rPr>
        <sz val="11"/>
        <color theme="1"/>
        <rFont val="Calibri"/>
        <family val="2"/>
        <charset val="204"/>
      </rPr>
      <t>Ø28</t>
    </r>
    <r>
      <rPr>
        <sz val="11"/>
        <color theme="1"/>
        <rFont val="Calibri"/>
        <family val="2"/>
        <charset val="204"/>
        <scheme val="minor"/>
      </rPr>
      <t>мм</t>
    </r>
  </si>
  <si>
    <r>
      <rPr>
        <sz val="11"/>
        <color theme="1"/>
        <rFont val="Calibri"/>
        <family val="2"/>
        <charset val="204"/>
      </rPr>
      <t>Ø23</t>
    </r>
    <r>
      <rPr>
        <sz val="11"/>
        <color theme="1"/>
        <rFont val="Calibri"/>
        <family val="2"/>
        <charset val="204"/>
        <scheme val="minor"/>
      </rPr>
      <t>мм</t>
    </r>
  </si>
  <si>
    <t>Шестигранник калибр Ст20</t>
  </si>
  <si>
    <t>Цветной металлопрокат</t>
  </si>
  <si>
    <r>
      <rPr>
        <sz val="11"/>
        <color theme="1"/>
        <rFont val="Calibri"/>
        <family val="2"/>
        <charset val="204"/>
      </rPr>
      <t>Ø20</t>
    </r>
    <r>
      <rPr>
        <sz val="11"/>
        <color theme="1"/>
        <rFont val="Calibri"/>
        <family val="2"/>
        <charset val="204"/>
        <scheme val="minor"/>
      </rPr>
      <t>мм</t>
    </r>
  </si>
  <si>
    <t>Резинотехнические изделия</t>
  </si>
  <si>
    <t>Лист ПМБ2</t>
  </si>
  <si>
    <t>1000х2000мм</t>
  </si>
  <si>
    <t>Лист ПМБ1</t>
  </si>
  <si>
    <t xml:space="preserve">Кольцо пластикат </t>
  </si>
  <si>
    <t>2мм, G3/4</t>
  </si>
  <si>
    <t xml:space="preserve">Кольцо паронитовое </t>
  </si>
  <si>
    <t>Кольцо В14-ТНА</t>
  </si>
  <si>
    <t>023-028-03</t>
  </si>
  <si>
    <t xml:space="preserve">Шнур ТМКЩ-С </t>
  </si>
  <si>
    <r>
      <rPr>
        <sz val="11"/>
        <color theme="1"/>
        <rFont val="Calibri"/>
        <family val="2"/>
        <charset val="204"/>
      </rPr>
      <t>Ø10</t>
    </r>
    <r>
      <rPr>
        <sz val="11"/>
        <color theme="1"/>
        <rFont val="Calibri"/>
        <family val="2"/>
        <charset val="204"/>
        <scheme val="minor"/>
      </rPr>
      <t>мм</t>
    </r>
  </si>
  <si>
    <t xml:space="preserve">Техпластина          ТМКЩ-С </t>
  </si>
  <si>
    <t>1,3мм</t>
  </si>
  <si>
    <t>Трубка изол. ФРЗ         Е-28</t>
  </si>
  <si>
    <t>Покупные полуфабрикаты и детали</t>
  </si>
  <si>
    <r>
      <t xml:space="preserve">П/к </t>
    </r>
    <r>
      <rPr>
        <sz val="11"/>
        <color theme="1"/>
        <rFont val="Calibri"/>
        <family val="2"/>
        <charset val="204"/>
      </rPr>
      <t>Ø380мм</t>
    </r>
  </si>
  <si>
    <r>
      <t xml:space="preserve">П/к </t>
    </r>
    <r>
      <rPr>
        <sz val="11"/>
        <color theme="1"/>
        <rFont val="Calibri"/>
        <family val="2"/>
        <charset val="204"/>
      </rPr>
      <t>Ø140мм</t>
    </r>
  </si>
  <si>
    <t>Электороактиватор ЭПН-1</t>
  </si>
  <si>
    <t>Трубочка "Махито"</t>
  </si>
  <si>
    <r>
      <rPr>
        <sz val="11"/>
        <color theme="1"/>
        <rFont val="Calibri"/>
        <family val="2"/>
        <charset val="204"/>
      </rPr>
      <t>Ø6</t>
    </r>
    <r>
      <rPr>
        <sz val="11"/>
        <color theme="1"/>
        <rFont val="Calibri"/>
        <family val="2"/>
        <charset val="204"/>
        <scheme val="minor"/>
      </rPr>
      <t>мм</t>
    </r>
  </si>
  <si>
    <t>Воронка пластик</t>
  </si>
  <si>
    <t>Бутылка ПВХ</t>
  </si>
  <si>
    <t>0,1л</t>
  </si>
  <si>
    <t>Крышка ПВХ</t>
  </si>
  <si>
    <t xml:space="preserve">Пакет ПВД </t>
  </si>
  <si>
    <t>38х56х180 мкм</t>
  </si>
  <si>
    <t>Дробь</t>
  </si>
  <si>
    <t>Камеры "KENDA"</t>
  </si>
  <si>
    <t>26х2.35-2.75Extreme стенка 1.20мм</t>
  </si>
  <si>
    <t>Ураган-1м</t>
  </si>
  <si>
    <t>Исходные данные (план)</t>
  </si>
  <si>
    <t>ТРВ-13(В)</t>
  </si>
  <si>
    <t>ТРВ-13(В) плоский</t>
  </si>
  <si>
    <t>ТРВ-17(В)</t>
  </si>
  <si>
    <t>Оплачено</t>
  </si>
  <si>
    <t>Выставлен счет</t>
  </si>
  <si>
    <t xml:space="preserve">Дефицит </t>
  </si>
  <si>
    <t>№0000 (0,74г)</t>
  </si>
  <si>
    <t>Порошок                   "Вексон-АВС 70"</t>
  </si>
  <si>
    <t xml:space="preserve">Элемент газогенерирующий </t>
  </si>
  <si>
    <t>СТК-24 УФ 40/0-20</t>
  </si>
  <si>
    <t>АБСК</t>
  </si>
  <si>
    <t>Эпоксидный компаунд</t>
  </si>
  <si>
    <t>Хим сырье сборочного участка</t>
  </si>
  <si>
    <t>Хим сырье участка покраски</t>
  </si>
  <si>
    <t>Гофротара</t>
  </si>
  <si>
    <t>300х300х300мм</t>
  </si>
  <si>
    <t>Ур-3</t>
  </si>
  <si>
    <t>ТРВ-13/13(В)</t>
  </si>
  <si>
    <t>ТРВ-17/17(В)</t>
  </si>
  <si>
    <t>290х290мм</t>
  </si>
  <si>
    <t>390х390мм</t>
  </si>
  <si>
    <t>Направление гофры по длинной стороне листа</t>
  </si>
  <si>
    <t>Сырье упаковки</t>
  </si>
  <si>
    <t>44х66 45 мкм</t>
  </si>
  <si>
    <t>Спрей для удаления дефектов</t>
  </si>
  <si>
    <t>RAL9016</t>
  </si>
  <si>
    <t>Штрих</t>
  </si>
  <si>
    <t>С кисточкой не на водной основе</t>
  </si>
  <si>
    <t>Чистящее средство</t>
  </si>
  <si>
    <t>COMET (фиолетовый)</t>
  </si>
  <si>
    <t>Документация</t>
  </si>
  <si>
    <t>Паспорт Ур-1м</t>
  </si>
  <si>
    <t>Этикетка на корпус    Ур-1м</t>
  </si>
  <si>
    <t>Паспорт Ур-3</t>
  </si>
  <si>
    <t>Этикетка на корпус      Ур-3</t>
  </si>
  <si>
    <t>Этикетка на коробку      Ур-3</t>
  </si>
  <si>
    <t>Паспорт Ур-5м</t>
  </si>
  <si>
    <t>Этикетка на корпус       Ур-5м</t>
  </si>
  <si>
    <t>Паспорт ТРВ-13</t>
  </si>
  <si>
    <t>Этикетка на корпус      ТРВ-13</t>
  </si>
  <si>
    <t>Этикетка на коробку      ТРВ-13</t>
  </si>
  <si>
    <t>Этикетка     распылителя-13</t>
  </si>
  <si>
    <t>Паспорт ТРВ-13(В)</t>
  </si>
  <si>
    <t>Этикетка на корпус      ТРВ-13(В)</t>
  </si>
  <si>
    <t>Этикетка на коробку      ТРВ-13(В)</t>
  </si>
  <si>
    <t>Этикетка ПОД 4,5кг</t>
  </si>
  <si>
    <t>Этикетка     распылителя-13(В)</t>
  </si>
  <si>
    <t>Паспорт ТРВ-13(В) плоский</t>
  </si>
  <si>
    <t>Этикетка на корпус      ТРВ-13(В) плоский</t>
  </si>
  <si>
    <t>Этикетка на коробку      ТРВ-13(В) плоский</t>
  </si>
  <si>
    <t>Паспорт ТРВ-17</t>
  </si>
  <si>
    <t>Этикетка на корпус      ТРВ-17</t>
  </si>
  <si>
    <t>Этикетка на коробку      ТРВ-17</t>
  </si>
  <si>
    <t>Паспорт ТРВ-17(В)</t>
  </si>
  <si>
    <t>Этикетка на корпус      ТРВ-17(В)</t>
  </si>
  <si>
    <t>Этикетка на коробку      ТРВ-17(В)</t>
  </si>
  <si>
    <t>Этикетка ПОД 6кг</t>
  </si>
  <si>
    <t>ТОС "МР-5"</t>
  </si>
  <si>
    <t>СОЖ</t>
  </si>
  <si>
    <t>Кислород</t>
  </si>
  <si>
    <t>Спирт</t>
  </si>
  <si>
    <t>Углекислота</t>
  </si>
  <si>
    <t>СОЖ "ЭПМ-2"</t>
  </si>
  <si>
    <t>Расходные материалы</t>
  </si>
  <si>
    <t>СВ08Г2С 1,0мм</t>
  </si>
  <si>
    <t>Наконечники медные</t>
  </si>
  <si>
    <t>М6 L=28мм 0,8мм</t>
  </si>
  <si>
    <t>М8 L=30мм 1,0мм</t>
  </si>
  <si>
    <t>Инструмент токарный</t>
  </si>
  <si>
    <t>Инструмент ЧПУ</t>
  </si>
  <si>
    <t>СИЗ и охрана труда</t>
  </si>
  <si>
    <t>Перчатки КЩС</t>
  </si>
  <si>
    <t>Перчатки кислостойкие</t>
  </si>
  <si>
    <t>Верхонки</t>
  </si>
  <si>
    <t>Краги сварщика</t>
  </si>
  <si>
    <t>Нарукавники сварщика</t>
  </si>
  <si>
    <t>Респиратор 3М</t>
  </si>
  <si>
    <t>Кассеты к респиратору</t>
  </si>
  <si>
    <t>Пленка защитная</t>
  </si>
  <si>
    <t>Вафельное полотно</t>
  </si>
  <si>
    <t>Хоз нужды</t>
  </si>
  <si>
    <t>Циатим</t>
  </si>
  <si>
    <t>Стекло защитное прозрачное</t>
  </si>
  <si>
    <t>Стекло защитное</t>
  </si>
  <si>
    <t>Герметик</t>
  </si>
  <si>
    <t>Клей 88</t>
  </si>
  <si>
    <t>110х90мм</t>
  </si>
  <si>
    <t>Шпритц 20мл</t>
  </si>
  <si>
    <t>Двухкомпанентный</t>
  </si>
  <si>
    <t>Затраты на услуги сторонних организаций</t>
  </si>
  <si>
    <t>ООО "Рассвет"</t>
  </si>
  <si>
    <t>ИП Каплин В.В.</t>
  </si>
  <si>
    <t>Вид услуг</t>
  </si>
  <si>
    <t>Стоимость</t>
  </si>
  <si>
    <t>Полимерное покрытие</t>
  </si>
  <si>
    <t>Цинкование</t>
  </si>
  <si>
    <t>Транспортные услуги</t>
  </si>
  <si>
    <t>Термоэтикетки</t>
  </si>
  <si>
    <t>58х60мм, ТОП, 450шт/рул 48рул/уп</t>
  </si>
  <si>
    <t>Оплата СП/Максима</t>
  </si>
  <si>
    <t>Всего затрат:</t>
  </si>
  <si>
    <t>"Неолан"</t>
  </si>
  <si>
    <t>Транспортные расходы</t>
  </si>
  <si>
    <t>1,5т 1ч</t>
  </si>
  <si>
    <t>3т 1ч</t>
  </si>
  <si>
    <t>Другой транспорт</t>
  </si>
  <si>
    <t>Расход</t>
  </si>
  <si>
    <t>цена</t>
  </si>
  <si>
    <t>3-й цех</t>
  </si>
  <si>
    <t>Резцы</t>
  </si>
  <si>
    <t>Резьбовой наружн</t>
  </si>
  <si>
    <t>Т15к6 25х16</t>
  </si>
  <si>
    <t>Резьбовой внутр</t>
  </si>
  <si>
    <t>Т15к6 25х25</t>
  </si>
  <si>
    <t>Расточной</t>
  </si>
  <si>
    <t>Подрезной</t>
  </si>
  <si>
    <t>Отрезной</t>
  </si>
  <si>
    <t>Норма</t>
  </si>
  <si>
    <t>Остаток</t>
  </si>
  <si>
    <t>дефицит</t>
  </si>
  <si>
    <t>Сумма</t>
  </si>
  <si>
    <t>Итого</t>
  </si>
  <si>
    <t>Проходной отогн</t>
  </si>
  <si>
    <t>ЧПУ</t>
  </si>
  <si>
    <t>Пластины</t>
  </si>
  <si>
    <t>М18</t>
  </si>
  <si>
    <t>Фрезы</t>
  </si>
  <si>
    <t>Отрезная</t>
  </si>
  <si>
    <t>1мм</t>
  </si>
  <si>
    <t>2мм</t>
  </si>
  <si>
    <t>1,6мм</t>
  </si>
  <si>
    <t>Стакан 74936504.634233.010.201</t>
  </si>
  <si>
    <t>Режущий инструмент</t>
  </si>
  <si>
    <t>Пластина для точения CNMG 120408 (проходной)</t>
  </si>
  <si>
    <t>Пластина для отрезки и точения канавок MGMN300-M</t>
  </si>
  <si>
    <t>Пластина для точения CNMG 120408 (расточной)</t>
  </si>
  <si>
    <t>Пластина для внутренней резьбы  RS66.OU-16</t>
  </si>
  <si>
    <t>Пластина для точения VNMG 160408</t>
  </si>
  <si>
    <t>Штуцер нижний 74936504.634233.001.103</t>
  </si>
  <si>
    <t>Пластина для наружной резьбы RS66.OS-16MM01</t>
  </si>
  <si>
    <t>Пластина для точения CNMG 120408</t>
  </si>
  <si>
    <t>Штуцер нижний ТРВ 74936504.634233.010.014</t>
  </si>
  <si>
    <t>Пластина для точения CNMG 120408 (отрезной)</t>
  </si>
  <si>
    <t>Труба стакана 74936504.634233.010.411</t>
  </si>
  <si>
    <t>Стопорная гайка 74936504.634233.010.402</t>
  </si>
  <si>
    <t>Пластина для точения CCMT09T304-UR</t>
  </si>
  <si>
    <t>Сверло ф18</t>
  </si>
  <si>
    <t>Заготовка Коллектор 74936504.634233.010.511/015.211</t>
  </si>
  <si>
    <t>Пластина для внутренней резьбы RS66.OKF-16-16</t>
  </si>
  <si>
    <t>Штуцер ПК 74936504.634233.010.103</t>
  </si>
  <si>
    <t>Пластина для отрезки и точения канавок A4G0305M03U02GMN KCU25</t>
  </si>
  <si>
    <t xml:space="preserve">Заготовка Форсунка 74936504.634233.018.101 </t>
  </si>
  <si>
    <t>Пластина для внутренней резьбы 11IR</t>
  </si>
  <si>
    <t>Пластина для точения CCMT060204-MP</t>
  </si>
  <si>
    <t>Сверло ф12</t>
  </si>
  <si>
    <t>Ротор 74936504.634233.010.401</t>
  </si>
  <si>
    <t>Пластина для точения CNMG 120408120408</t>
  </si>
  <si>
    <t>Пластина для отрезки и точения канавок MGMN400-M</t>
  </si>
  <si>
    <t>Сверло ф16</t>
  </si>
  <si>
    <t>Гайка накидная 74936504.634233.010.006</t>
  </si>
  <si>
    <t>Крышка 74936504.634233.013.001</t>
  </si>
  <si>
    <t>Пластина для отрезки MGMN400-M</t>
  </si>
  <si>
    <t>Пластина для отрезки MGMN300-M</t>
  </si>
  <si>
    <t>Резец R1,5мм</t>
  </si>
  <si>
    <t>Сверло ф6,5</t>
  </si>
  <si>
    <t>Сверло ф10,5</t>
  </si>
  <si>
    <t>Винт установочный 74936504.634233.013.003</t>
  </si>
  <si>
    <t xml:space="preserve">Пластина для отрезки и точения канавок MGMN300-M  </t>
  </si>
  <si>
    <t>Сверло ф5</t>
  </si>
  <si>
    <t>Итого на один ТРВ</t>
  </si>
  <si>
    <t>П/к д280</t>
  </si>
  <si>
    <t>Деталь</t>
  </si>
  <si>
    <t>Необходимо (шт)</t>
  </si>
  <si>
    <t>Остаток (ШТ)</t>
  </si>
  <si>
    <t>Дефицит (шт)</t>
  </si>
  <si>
    <t>Дефицит (кг)</t>
  </si>
  <si>
    <t>Первый заказ</t>
  </si>
  <si>
    <t>Всего куплено по настоящий момент</t>
  </si>
  <si>
    <t>26.12.16г</t>
  </si>
  <si>
    <t>21.08.17г</t>
  </si>
  <si>
    <t>Изготовление дополнительных кронштейнов</t>
  </si>
  <si>
    <t>КР-1</t>
  </si>
  <si>
    <t>КР-2</t>
  </si>
  <si>
    <r>
      <t>КР-3 (30</t>
    </r>
    <r>
      <rPr>
        <sz val="11"/>
        <color theme="1"/>
        <rFont val="Calibri"/>
        <family val="2"/>
        <charset val="204"/>
      </rPr>
      <t>°</t>
    </r>
    <r>
      <rPr>
        <sz val="12.65"/>
        <color theme="1"/>
        <rFont val="Calibri"/>
        <family val="2"/>
        <charset val="204"/>
      </rPr>
      <t>,45°,50°)</t>
    </r>
  </si>
  <si>
    <t>Полоса Ст3пс</t>
  </si>
  <si>
    <t>4х40мм</t>
  </si>
  <si>
    <t>Норма расхода материала на изготовление кронштейнов</t>
  </si>
  <si>
    <t>Кронштейн    КР-1</t>
  </si>
  <si>
    <t>Пластина 40х350</t>
  </si>
  <si>
    <t>Полоса 4х40 Ст3пс</t>
  </si>
  <si>
    <t>ГОСТ 103-76</t>
  </si>
  <si>
    <t>Болт М8х20</t>
  </si>
  <si>
    <t>Проволока сварочная 1,0</t>
  </si>
  <si>
    <t>Кронштейн КР-2(под шпильку)</t>
  </si>
  <si>
    <t>Лист 3х1250х2500 Ст3пс</t>
  </si>
  <si>
    <t>ГОСТ 6009-74</t>
  </si>
  <si>
    <t>Гайка М10 цинк</t>
  </si>
  <si>
    <t>Смазочно-охлаждающая жидкость ЭПМ-2</t>
  </si>
  <si>
    <t>ТОС МР-5</t>
  </si>
  <si>
    <t>Ткань протирочная</t>
  </si>
  <si>
    <t>Кронштейн КР-3-30</t>
  </si>
  <si>
    <t>Заготовка(120х220)</t>
  </si>
  <si>
    <t>Лист 3*1250*2500 Ст3</t>
  </si>
  <si>
    <t xml:space="preserve">ГОСТ 19904-90 </t>
  </si>
  <si>
    <t>Заготовка(120х169)</t>
  </si>
  <si>
    <t>Сверло д.8,5</t>
  </si>
  <si>
    <t>Кронштейн КР-3-45</t>
  </si>
  <si>
    <t>Заготовка(120х122)</t>
  </si>
  <si>
    <t>Кронштейн КР-4</t>
  </si>
  <si>
    <t>Гайка соединительная М16</t>
  </si>
  <si>
    <t xml:space="preserve">ГОСТ 1051-73 </t>
  </si>
  <si>
    <t>Болт М8*20 цинк</t>
  </si>
  <si>
    <t>Кронштейн "Босс"</t>
  </si>
  <si>
    <t>Лист 1,5х1250х2500</t>
  </si>
  <si>
    <t>Болт М5х20 цинк</t>
  </si>
  <si>
    <t>Шайба №8</t>
  </si>
  <si>
    <t>Гайка переходная М16</t>
  </si>
  <si>
    <t>Лист 3*1250*2500 Ст2</t>
  </si>
  <si>
    <t>3000х1500х0,7мм</t>
  </si>
  <si>
    <t xml:space="preserve"> ТРВ-15М</t>
  </si>
  <si>
    <t>ТРВ-17М</t>
  </si>
  <si>
    <r>
      <rPr>
        <sz val="11"/>
        <color theme="1"/>
        <rFont val="Calibri"/>
        <family val="2"/>
        <charset val="204"/>
      </rPr>
      <t>Ø</t>
    </r>
    <r>
      <rPr>
        <sz val="11"/>
        <color theme="1"/>
        <rFont val="Calibri"/>
        <family val="2"/>
        <charset val="204"/>
        <scheme val="minor"/>
      </rPr>
      <t>70х8мм</t>
    </r>
  </si>
  <si>
    <t>Баллон 52 без литографии</t>
  </si>
  <si>
    <t>Паспорт ТРВ-15М</t>
  </si>
  <si>
    <t>Этикетка на корпус      ТРВ-15М</t>
  </si>
  <si>
    <t>Этикетка на коробку      ТРВ-15М</t>
  </si>
  <si>
    <t>Этикетка ПОД 5,2кг</t>
  </si>
  <si>
    <t>Паспорт ТРВ-17М</t>
  </si>
  <si>
    <t>Этикетка на корпус      ТРВ-17М</t>
  </si>
  <si>
    <t>Этикетка на коробку      ТРВ-17М</t>
  </si>
  <si>
    <t>Кольцо фторопласт</t>
  </si>
  <si>
    <t>Скотч армированый</t>
  </si>
  <si>
    <t>Fome Flex Thermo красный, 300 мл</t>
  </si>
  <si>
    <t>Клейкая лента TPL 50ммх40м серый Klebebander/36/6</t>
  </si>
  <si>
    <t>Силиконовый клей-герметик Fome Flex Thermo красный, 300 мл</t>
  </si>
  <si>
    <t>Дробь №0000</t>
  </si>
  <si>
    <r>
      <rPr>
        <sz val="11"/>
        <color theme="1"/>
        <rFont val="Calibri"/>
        <family val="2"/>
        <charset val="204"/>
      </rPr>
      <t>Ø56</t>
    </r>
    <r>
      <rPr>
        <sz val="11"/>
        <color theme="1"/>
        <rFont val="Calibri"/>
        <family val="2"/>
        <charset val="204"/>
        <scheme val="minor"/>
      </rPr>
      <t>мм</t>
    </r>
  </si>
  <si>
    <t>Грунт Эмаль "АНТИ-КОР ЭП 3 в 1" Profi</t>
  </si>
  <si>
    <t>Коробка 390х390х400</t>
  </si>
  <si>
    <t>RATAK 6220 R 10л.</t>
  </si>
  <si>
    <t>4х1500х3000мм</t>
  </si>
  <si>
    <t>Пила ленточная</t>
  </si>
  <si>
    <t>М42 34*1,1*5/8 х3 950</t>
  </si>
  <si>
    <t>Спрей для защиты сопла</t>
  </si>
  <si>
    <t>Пила ленточная М42 34*1,1*5/8 х3 950</t>
  </si>
  <si>
    <t>Abikor Binzel, 400 мл.</t>
  </si>
  <si>
    <t>Дефицит деталей и материалов</t>
  </si>
  <si>
    <t>Проверил:</t>
  </si>
  <si>
    <t xml:space="preserve">Разработал: </t>
  </si>
  <si>
    <t>2х1250х2500мм</t>
  </si>
  <si>
    <t>Изготовление деталей</t>
  </si>
  <si>
    <t>Круг  Ø48</t>
  </si>
  <si>
    <t xml:space="preserve">КР-4 </t>
  </si>
  <si>
    <t>КР-4 (усиленный)</t>
  </si>
  <si>
    <t>BECHEM AVANTIN 361 I-N 18 кг</t>
  </si>
  <si>
    <t>Этикетка на коробку      Ур-1м</t>
  </si>
  <si>
    <t>Этикетка на коробку      Ур-5м</t>
  </si>
  <si>
    <t>Этикетка ПОД 6,4кг</t>
  </si>
  <si>
    <t>Углекислота (баллон 24кг)</t>
  </si>
  <si>
    <t>Аргоноуглекислотная смесь (баллон 7,43кг)</t>
  </si>
  <si>
    <t>Наименование инструмента</t>
  </si>
  <si>
    <t>Производитель</t>
  </si>
  <si>
    <t>Обозначение</t>
  </si>
  <si>
    <t>Расход в месяц, исходя из количества 3500 изделий шт.</t>
  </si>
  <si>
    <t>ориентировочная стоимость 1-ой позиции</t>
  </si>
  <si>
    <t>Стоимость в месяц</t>
  </si>
  <si>
    <t>Пластина отрезня</t>
  </si>
  <si>
    <t>ISCAR</t>
  </si>
  <si>
    <t>DGN 3002C-XL IC808</t>
  </si>
  <si>
    <t>Пластина канавочная</t>
  </si>
  <si>
    <t>GRIP 5005Y IC908</t>
  </si>
  <si>
    <t>GRIP 3015Y IC908</t>
  </si>
  <si>
    <t>DGR 2200JS-15D IC20</t>
  </si>
  <si>
    <t>Пластина для сверла</t>
  </si>
  <si>
    <t>Komet</t>
  </si>
  <si>
    <t>SOEX 050204-01 BK8425</t>
  </si>
  <si>
    <t>Пластина резьбонарезная</t>
  </si>
  <si>
    <t>Vargus (Верден)</t>
  </si>
  <si>
    <t>3IR2.0ISOVTX</t>
  </si>
  <si>
    <t>2IR1.5ISOVTX</t>
  </si>
  <si>
    <t>Tool-Flo(Ками)</t>
  </si>
  <si>
    <t>16ERM AG60-CP AC22A</t>
  </si>
  <si>
    <t>Пластина токарная</t>
  </si>
  <si>
    <t>Blacksmith (Ками)</t>
  </si>
  <si>
    <t>CNMG 120408-MG BS40T</t>
  </si>
  <si>
    <t>Mitsubishi</t>
  </si>
  <si>
    <t>CNMG 120404-MP MC6025</t>
  </si>
  <si>
    <t>CCMT 09T304-MP BS30T</t>
  </si>
  <si>
    <t>Kennametal (Ками)</t>
  </si>
  <si>
    <t>A4G0305M03U02-GMN KCU25</t>
  </si>
  <si>
    <t>Изделия: Гайка, Крышка ГГУ, Штуцер верхний, Штуцер нижний, Труба стакана</t>
  </si>
  <si>
    <t>Итого на одно изделие</t>
  </si>
  <si>
    <t>Доставка материалов</t>
  </si>
  <si>
    <t>Меланти</t>
  </si>
  <si>
    <t>Паллеты</t>
  </si>
  <si>
    <t>800х1200</t>
  </si>
  <si>
    <t>Mobil VACTRA 2 20л</t>
  </si>
  <si>
    <t>ТРВ-9М</t>
  </si>
  <si>
    <t xml:space="preserve"> ТРВ-9М</t>
  </si>
  <si>
    <t>Коробка 390х390х300</t>
  </si>
  <si>
    <t>таблетки</t>
  </si>
  <si>
    <t>Эпоксидка</t>
  </si>
  <si>
    <t>Паронит/пластикат</t>
  </si>
  <si>
    <t>Алтай-кровля</t>
  </si>
  <si>
    <t>Перфолист</t>
  </si>
  <si>
    <t>Таблетки СТК</t>
  </si>
  <si>
    <t>ТРВ 15М/17М</t>
  </si>
  <si>
    <t>Круг Д16Т</t>
  </si>
  <si>
    <t>Кронштейн КР-4 усиленный</t>
  </si>
  <si>
    <t>ООО "Феррит"</t>
  </si>
  <si>
    <t>Порошок "Вексон-АВС 70"</t>
  </si>
  <si>
    <t>Лак "Колорит"</t>
  </si>
  <si>
    <t xml:space="preserve">Масло </t>
  </si>
  <si>
    <t>Предполагаемые затраты</t>
  </si>
  <si>
    <t>Фактическая закупка</t>
  </si>
  <si>
    <t>Фактические затраты</t>
  </si>
  <si>
    <t>Итого запланированно:</t>
  </si>
  <si>
    <t>Итого затрачено:</t>
  </si>
  <si>
    <t>Сумма переплаты</t>
  </si>
  <si>
    <t>Итого переплата:</t>
  </si>
  <si>
    <t>ООО ПК "Стин"</t>
  </si>
  <si>
    <t>ООО "Верден"</t>
  </si>
  <si>
    <t>Фактические затраты по дефициту на III квартал.</t>
  </si>
  <si>
    <t>Составил:</t>
  </si>
  <si>
    <t>Начальник С.Х.</t>
  </si>
  <si>
    <t>Менеджер ОМТС</t>
  </si>
  <si>
    <t>Согласовал:</t>
  </si>
  <si>
    <t>Начальник производства</t>
  </si>
  <si>
    <t>_________________</t>
  </si>
  <si>
    <t>Черников В.Е</t>
  </si>
  <si>
    <t>Корж К.С.</t>
  </si>
  <si>
    <t>Цыганков Д.А.</t>
  </si>
  <si>
    <t>Ураган-18М</t>
  </si>
  <si>
    <t>Ураган-12М</t>
  </si>
  <si>
    <t>Ураган-24М</t>
  </si>
  <si>
    <t>Вставка 62х879мм</t>
  </si>
  <si>
    <t>Вставка 112х879мм</t>
  </si>
  <si>
    <t>Вставка 86х1188мм</t>
  </si>
  <si>
    <t>Вставка 122х1188мм</t>
  </si>
  <si>
    <t>Кольцо срезное МПП</t>
  </si>
  <si>
    <t>Труба Ø60х6</t>
  </si>
  <si>
    <t>Труба Ø57х6</t>
  </si>
  <si>
    <t>МПП 36М</t>
  </si>
  <si>
    <t>Паспорт Ур-12М</t>
  </si>
  <si>
    <t>Этикетка на корпус    Ур-12М</t>
  </si>
  <si>
    <t>Этикетка на коробку      Ур-12М</t>
  </si>
  <si>
    <t>Паспорт Ур-18М</t>
  </si>
  <si>
    <t>Этикетка на корпус      Ур-18М</t>
  </si>
  <si>
    <t>Этикетка на коробку      Ур-18М</t>
  </si>
  <si>
    <t>Паспорт Ур-24М</t>
  </si>
  <si>
    <t>Этикетка на корпус       Ур-24М</t>
  </si>
  <si>
    <t>Этикетка на коробку      Ур-24М</t>
  </si>
  <si>
    <t>Паспорт Ур-36М</t>
  </si>
  <si>
    <t>Этикетка на корпус      Ур-36М</t>
  </si>
  <si>
    <t>Этикетка на коробку      Ур-36М</t>
  </si>
  <si>
    <t>Ур-12М</t>
  </si>
  <si>
    <t>Расход материалов на изготовление МПП"Ураган-12М"</t>
  </si>
  <si>
    <t>Уловитель мембраны</t>
  </si>
  <si>
    <t>Площадка</t>
  </si>
  <si>
    <t>Горловина</t>
  </si>
  <si>
    <t>Прокладка крышки ГГУ</t>
  </si>
  <si>
    <t>Начальник С.Х._________________ В.Е. Черников</t>
  </si>
  <si>
    <t>Расход материалов на изготовление МПП"Ураган-18М"</t>
  </si>
  <si>
    <t>ГГЭ-86</t>
  </si>
  <si>
    <t>Расход материалов на изготовление МПП"Ураган-24М"</t>
  </si>
  <si>
    <t>ГГУ - 100</t>
  </si>
  <si>
    <t>ГГЭ-120</t>
  </si>
  <si>
    <t xml:space="preserve">Коробка </t>
  </si>
  <si>
    <t>Мембрана МПП</t>
  </si>
  <si>
    <t>Расход материалов на изготовление МПП"Ураган-36М-ВС"</t>
  </si>
  <si>
    <t>Расход материалов на изготовление МПП"Ураган-24М-ВС"</t>
  </si>
  <si>
    <t>Ураган-24М-ВС</t>
  </si>
  <si>
    <t>Ураган-36М-ВС</t>
  </si>
  <si>
    <t>Уловитель мембраны МПП</t>
  </si>
  <si>
    <t>Корпус ТРВ-17М</t>
  </si>
  <si>
    <t>Обечайка</t>
  </si>
  <si>
    <t>74936504.634233.001.105</t>
  </si>
  <si>
    <t>Крышка ГГУ</t>
  </si>
  <si>
    <t>74936504.634233.023.205</t>
  </si>
  <si>
    <t>74936504.634233.013.004</t>
  </si>
  <si>
    <t>74936504.634233.013.006</t>
  </si>
  <si>
    <t>Прокладка верхняя</t>
  </si>
  <si>
    <t>74936504.634233.013.005</t>
  </si>
  <si>
    <t xml:space="preserve">Прокладка </t>
  </si>
  <si>
    <t>74936504.634233.023.206</t>
  </si>
  <si>
    <t>Баллончик малый</t>
  </si>
  <si>
    <t>74936504.634233.013.010-01</t>
  </si>
  <si>
    <t>Менеджер ОМТС ________________К.С. Корж</t>
  </si>
  <si>
    <t>Инженер-конструктор _____________И.В. Демин</t>
  </si>
  <si>
    <t>Инженер-технолог ________________И.К. Бобрышев</t>
  </si>
  <si>
    <t>Инженер-технолог ________________В.А.Кобяков</t>
  </si>
  <si>
    <t>Начальник производства _____________ Д.А. Цыганков</t>
  </si>
  <si>
    <t>Корпус ТРВ-9М</t>
  </si>
  <si>
    <t>Форсунка</t>
  </si>
  <si>
    <t>Корпус ТРВ-15М</t>
  </si>
  <si>
    <t>Корпус ТРВ-21М</t>
  </si>
  <si>
    <t>74936504.634233.026.101</t>
  </si>
  <si>
    <t>74936504.634233.026.102</t>
  </si>
  <si>
    <t>74936504.634233.026.001</t>
  </si>
  <si>
    <t>Гайка установочная</t>
  </si>
  <si>
    <t>74936504.634233.027.103</t>
  </si>
  <si>
    <t>74936504.634233.027.004</t>
  </si>
  <si>
    <t>Прокладка штуцера нижнего</t>
  </si>
  <si>
    <t>74936504.634233.027.003</t>
  </si>
  <si>
    <t>74936504.634233.027.002</t>
  </si>
  <si>
    <t>74936504.634233.026.002</t>
  </si>
  <si>
    <t>ГГУ - 60</t>
  </si>
  <si>
    <t>74936504.634233.027.301</t>
  </si>
  <si>
    <t>74936504.634233.027.005</t>
  </si>
  <si>
    <t>74936504.634233.027.303-03</t>
  </si>
  <si>
    <t>74936504.634233.027.302-03</t>
  </si>
  <si>
    <t>74936504.634233.027.101</t>
  </si>
  <si>
    <t>74936504.634233.027.102</t>
  </si>
  <si>
    <t>74936504.634233.027.201</t>
  </si>
  <si>
    <t>74936504.634233.027.001</t>
  </si>
  <si>
    <t>74936504.634233.027.402</t>
  </si>
  <si>
    <t>74936504.634233.027.303</t>
  </si>
  <si>
    <t>74936504.634233.027.302</t>
  </si>
  <si>
    <t>74936504.634233.028.101</t>
  </si>
  <si>
    <t>74936504.634233.028.102</t>
  </si>
  <si>
    <t>74936504.634233.027.303-01</t>
  </si>
  <si>
    <t>74936504.634233.027.302-01</t>
  </si>
  <si>
    <t>74936504.634233.028.102-01</t>
  </si>
  <si>
    <t>74936504.634233.027.303-02</t>
  </si>
  <si>
    <t>74936504.634233.027.302-02</t>
  </si>
  <si>
    <t>Термоэтикетка 58х60мм</t>
  </si>
  <si>
    <t>Коробка</t>
  </si>
  <si>
    <t>Коробка 390х390х330</t>
  </si>
  <si>
    <t>Паспорт Ур-24М-ВС</t>
  </si>
  <si>
    <t>Этикетка на корпус       Ур-24М-ВС</t>
  </si>
  <si>
    <t>Этикетка на коробку      Ур-24М-ВС</t>
  </si>
  <si>
    <t xml:space="preserve">СТК-24 УФ </t>
  </si>
  <si>
    <t>Трубка "Тилит Супер"</t>
  </si>
  <si>
    <t>Количество в партии</t>
  </si>
  <si>
    <t>К оплате</t>
  </si>
  <si>
    <t>Дата оплаты</t>
  </si>
  <si>
    <t>Общаяя сумма</t>
  </si>
  <si>
    <t>Примечание</t>
  </si>
  <si>
    <t xml:space="preserve">Лист Ст3пс г/к 3х1250х2500мм </t>
  </si>
  <si>
    <t xml:space="preserve">Лист Ст3пс г/к 4х1500х3000мм </t>
  </si>
  <si>
    <t>Труба Ст20 г/к, ц/т, б/ш Ø76х6мм</t>
  </si>
  <si>
    <t>Круг Ст20 г/к Ø65мм</t>
  </si>
  <si>
    <t>Круг Ст20 г/к Ø56мм</t>
  </si>
  <si>
    <t>Круг Ст20 г/к Ø30мм</t>
  </si>
  <si>
    <t>Шестигранник калибр Ст20 Ø30мм</t>
  </si>
  <si>
    <t>Кольцо пластикат 2мм, G3/4</t>
  </si>
  <si>
    <t xml:space="preserve">Кольцо паронитовое 2мм, G3/4 </t>
  </si>
  <si>
    <t>Печатная продукция</t>
  </si>
  <si>
    <t>СОЖ BECHEM AVANTIN 361 I-N 18 кг</t>
  </si>
  <si>
    <t>Герметик Fome Flex Thermo красный, 300 мл</t>
  </si>
  <si>
    <t>Эпоксидный компаунд Этал-1474</t>
  </si>
  <si>
    <t>Расходы в течении квартала по мере необходимости.</t>
  </si>
  <si>
    <t>Газовые смеси</t>
  </si>
  <si>
    <t>Инструмент на универсальные станки и станки с ЧПУ</t>
  </si>
  <si>
    <t>Услуги цинкования и полимерки</t>
  </si>
  <si>
    <t>Услуги доставки материалов</t>
  </si>
  <si>
    <t xml:space="preserve">Составил </t>
  </si>
  <si>
    <t>_______________</t>
  </si>
  <si>
    <t>Черников В.Е.</t>
  </si>
  <si>
    <t>Март</t>
  </si>
  <si>
    <t>Апрель</t>
  </si>
  <si>
    <t>Май</t>
  </si>
  <si>
    <t>Июнь</t>
  </si>
  <si>
    <t>12.03.19г</t>
  </si>
  <si>
    <t>Труба Ст20 г/к, ц/т, б/ш Ø60х6мм</t>
  </si>
  <si>
    <t>Труба Ст20 г/к, ц/т, б/ш Ø57х6мм</t>
  </si>
  <si>
    <t>Круг Ст20 г/к Ø48мм</t>
  </si>
  <si>
    <t>Шнур ТМКЩ-С 10мм</t>
  </si>
  <si>
    <t xml:space="preserve">Техпластина   1,3мм       ТМКЩ-С </t>
  </si>
  <si>
    <t>Ящик 920 300х300х330мм</t>
  </si>
  <si>
    <t>22.03.19г</t>
  </si>
  <si>
    <t>05.04.19г</t>
  </si>
  <si>
    <t>19.04.19г</t>
  </si>
  <si>
    <t>17.05.19г</t>
  </si>
  <si>
    <t>07.06.19г</t>
  </si>
  <si>
    <t>Лист Ст08ю х/к 2х1250х2500мм</t>
  </si>
  <si>
    <t>Лист Ст3пс х/к 3х1250х2500мм</t>
  </si>
  <si>
    <t>Лист Ст08ю х/к 1,5х1250х2500мм</t>
  </si>
  <si>
    <t>Шнур ТМКЩ-С Ø10мм</t>
  </si>
  <si>
    <t>Паронит ПМБ 1мм 1000х2000мм</t>
  </si>
  <si>
    <t>Паронит ПМБ 2мм 1000х2000мм</t>
  </si>
  <si>
    <t>Трубка "Тилит Супер" Ø25х6мм</t>
  </si>
  <si>
    <t>Лента ДПРНТ 0,1х300мм</t>
  </si>
  <si>
    <t>Элемент газогенерирующий СТК-24 УФ</t>
  </si>
  <si>
    <t xml:space="preserve">Эпоксидный компаунд 'Этал-1471' </t>
  </si>
  <si>
    <t>Трубочка коктейльная Ø6мм</t>
  </si>
  <si>
    <t>Трубка ПВХ Ø4мм</t>
  </si>
  <si>
    <t>Спрей для удаления дефектов RAL9016</t>
  </si>
  <si>
    <t>Коробка 390х390х320</t>
  </si>
  <si>
    <t>Дата составления:</t>
  </si>
  <si>
    <t>Коробка 300х300х370</t>
  </si>
  <si>
    <t>Ур-18М/24М</t>
  </si>
  <si>
    <t>Коробка 300х300х330</t>
  </si>
  <si>
    <t>0,8х1000х2000мм</t>
  </si>
  <si>
    <t>Пластина верх</t>
  </si>
  <si>
    <t>Пластина низ</t>
  </si>
  <si>
    <t>Перемычка</t>
  </si>
  <si>
    <t>Планируемые расходы по дефициту на III квартал 2019года</t>
  </si>
  <si>
    <t>ед. изм</t>
  </si>
  <si>
    <t>ООО "ЩИТ"</t>
  </si>
  <si>
    <t>Перчатки спилковые (краги для сварщика)</t>
  </si>
  <si>
    <t>Перчатки защитные латекс Щ20К20 ГОСТ 20010-93</t>
  </si>
  <si>
    <t>Щ20К20 ГОСТ 20010-93</t>
  </si>
  <si>
    <t xml:space="preserve">Перчатки для обезжиривания </t>
  </si>
  <si>
    <t>Неолат ГОСТ 20010-93
ГОСТ 12.4.183-91</t>
  </si>
  <si>
    <t xml:space="preserve">Перчатки  трикотажные с латексом </t>
  </si>
  <si>
    <t>(х/б) ГОСТ Р 12.4.252-2013, ТР ТС 019/2011</t>
  </si>
  <si>
    <t>М42 34*1,1*4/6 х3 950</t>
  </si>
  <si>
    <t>Шайба А5</t>
  </si>
  <si>
    <t>ГОСТ 6958-78</t>
  </si>
  <si>
    <t>ГОСТ 9649-78</t>
  </si>
  <si>
    <t>ГОСТ 5915-70</t>
  </si>
  <si>
    <t>DIN 933</t>
  </si>
  <si>
    <t>DIN 6334</t>
  </si>
  <si>
    <t>Болт M16x20</t>
  </si>
  <si>
    <t>Шайба пружинная М16</t>
  </si>
  <si>
    <t>DIN127</t>
  </si>
  <si>
    <t>Гайка М16</t>
  </si>
  <si>
    <t>Нитриловые</t>
  </si>
  <si>
    <t>Антиспаттер Искра (20л)</t>
  </si>
  <si>
    <t>Труба</t>
  </si>
  <si>
    <t>Круг</t>
  </si>
  <si>
    <t>Лист</t>
  </si>
  <si>
    <t>Ø30 Д16Т</t>
  </si>
  <si>
    <t>1,5х1250х2500 х/к Ст08ю</t>
  </si>
  <si>
    <t>30 Сталь 20</t>
  </si>
  <si>
    <t>ДПРНТ 0,1х300</t>
  </si>
  <si>
    <t>Шестигранник</t>
  </si>
  <si>
    <t>Лента</t>
  </si>
  <si>
    <t>3,0х1250х2500 г/к Ст3пс</t>
  </si>
  <si>
    <t>Прокладка паронитовая 18х24х2</t>
  </si>
  <si>
    <t>ТРВ-9-2М</t>
  </si>
  <si>
    <t>ТРВ-15-2М</t>
  </si>
  <si>
    <t>ТРВ-17-2М</t>
  </si>
  <si>
    <t>ТРВ-21-2М</t>
  </si>
  <si>
    <t>Утверждаю</t>
  </si>
  <si>
    <t>Директор НЗПО   ________ Д.А. Цыганков</t>
  </si>
  <si>
    <t>Нормы расхода материалов</t>
  </si>
  <si>
    <t>ТРВ-15М "Ураган-2"</t>
  </si>
  <si>
    <t>№ черт.</t>
  </si>
  <si>
    <t>Наимен. детали</t>
  </si>
  <si>
    <t>Заготовка</t>
  </si>
  <si>
    <t>Кол-во на изделие, шт.</t>
  </si>
  <si>
    <t>ЕИ</t>
  </si>
  <si>
    <t>Примичание</t>
  </si>
  <si>
    <t>тип</t>
  </si>
  <si>
    <t>размер, материал</t>
  </si>
  <si>
    <t>стандарт</t>
  </si>
  <si>
    <t>На изделие</t>
  </si>
  <si>
    <t>Сборочные еденицы</t>
  </si>
  <si>
    <t>Корпус</t>
  </si>
  <si>
    <t>1.1</t>
  </si>
  <si>
    <t>1.1.1</t>
  </si>
  <si>
    <t>43504716.634231.002.101</t>
  </si>
  <si>
    <t>Полукорпус верхний ТРВ-15М</t>
  </si>
  <si>
    <t>2,0х1250х2500 х/к Ст08ю</t>
  </si>
  <si>
    <t>ГОСТ 19904-2015/ГОСТ 9045-93</t>
  </si>
  <si>
    <t>кг.</t>
  </si>
  <si>
    <t>1.1.2</t>
  </si>
  <si>
    <t>43504716.634231.002.102</t>
  </si>
  <si>
    <t>Полукорпус нижний ТРВ-15М</t>
  </si>
  <si>
    <t>1.1.3</t>
  </si>
  <si>
    <t>43504716.634231.001.103</t>
  </si>
  <si>
    <t>Ø102х8 Сталь 20</t>
  </si>
  <si>
    <t>ГОСТ 8732-78/ГОСТ 1050-88</t>
  </si>
  <si>
    <t>1.1.4</t>
  </si>
  <si>
    <t>43504716.634231.001.104</t>
  </si>
  <si>
    <t>Ø63,5х8 Сталь 20</t>
  </si>
  <si>
    <t>1.1.5</t>
  </si>
  <si>
    <t>43504716.634231.001.105</t>
  </si>
  <si>
    <t>Ø30 Сталь 20</t>
  </si>
  <si>
    <t>ГОСТ 2590-2006/ГОСТ 1050-88</t>
  </si>
  <si>
    <t>2</t>
  </si>
  <si>
    <t>Клапан предохранительный</t>
  </si>
  <si>
    <t>2.1</t>
  </si>
  <si>
    <t>2.1.1</t>
  </si>
  <si>
    <t>43504716.634234.001.201</t>
  </si>
  <si>
    <t>Корпус ПК</t>
  </si>
  <si>
    <t>ГОСТ 2879-2006/ГОСТ 1050-88</t>
  </si>
  <si>
    <t>2.1.2</t>
  </si>
  <si>
    <t>43504716.634234.001.203</t>
  </si>
  <si>
    <t>ГОСТ 19903-2015/ГОСТ 16523-97</t>
  </si>
  <si>
    <t>2.1.3</t>
  </si>
  <si>
    <t>43504716.634234.001.202</t>
  </si>
  <si>
    <t>ГОСТ 1173-2006</t>
  </si>
  <si>
    <t>2.1.4</t>
  </si>
  <si>
    <t>43504716.634231.001.401</t>
  </si>
  <si>
    <t>Фиксатор</t>
  </si>
  <si>
    <t>2.2</t>
  </si>
  <si>
    <t>ПКИ</t>
  </si>
  <si>
    <t>2.2.1</t>
  </si>
  <si>
    <t>шт.</t>
  </si>
  <si>
    <t>ГГУ</t>
  </si>
  <si>
    <t>3.1</t>
  </si>
  <si>
    <t>3.1.1</t>
  </si>
  <si>
    <t>43504716.634231.001.201</t>
  </si>
  <si>
    <t>Втулка ГГУ</t>
  </si>
  <si>
    <t>Ø16 Сталь 20</t>
  </si>
  <si>
    <t>3.1.2</t>
  </si>
  <si>
    <t>43504716.634231.001.202</t>
  </si>
  <si>
    <t>Корпус ГГУ</t>
  </si>
  <si>
    <t>3.1.3</t>
  </si>
  <si>
    <t>43504716.634231.001.221</t>
  </si>
  <si>
    <t>Штуцер</t>
  </si>
  <si>
    <t>3.1.4</t>
  </si>
  <si>
    <t>43504716.634231.001.203</t>
  </si>
  <si>
    <t>Кольцо</t>
  </si>
  <si>
    <t>3.1.5</t>
  </si>
  <si>
    <t>43504716.634231.001.206</t>
  </si>
  <si>
    <t>Дно ГГУ</t>
  </si>
  <si>
    <t>3.1.6</t>
  </si>
  <si>
    <t>43504716.634231.001.205</t>
  </si>
  <si>
    <t>Шнур</t>
  </si>
  <si>
    <t>1-2С-10</t>
  </si>
  <si>
    <t>3.1.7</t>
  </si>
  <si>
    <t xml:space="preserve">43504716.634231.001.204 </t>
  </si>
  <si>
    <t>Фильтр сетчатый</t>
  </si>
  <si>
    <t>Сетка</t>
  </si>
  <si>
    <t>08 - 32</t>
  </si>
  <si>
    <t>ГОСТ 3826-82</t>
  </si>
  <si>
    <r>
      <t>м</t>
    </r>
    <r>
      <rPr>
        <vertAlign val="superscript"/>
        <sz val="12"/>
        <color theme="1"/>
        <rFont val="Times New Roman"/>
        <family val="1"/>
        <charset val="204"/>
      </rPr>
      <t>2</t>
    </r>
  </si>
  <si>
    <t>3.1.8</t>
  </si>
  <si>
    <t>43504716.634231.001.208</t>
  </si>
  <si>
    <t>3.1.9</t>
  </si>
  <si>
    <t>43504716.634231.001.222</t>
  </si>
  <si>
    <t>Пластина</t>
  </si>
  <si>
    <t>3.2</t>
  </si>
  <si>
    <t>3.2.1</t>
  </si>
  <si>
    <t>3.2.2</t>
  </si>
  <si>
    <t>3.2.3</t>
  </si>
  <si>
    <t>3.2.4</t>
  </si>
  <si>
    <t>4</t>
  </si>
  <si>
    <t>4.1</t>
  </si>
  <si>
    <t>4.1.1</t>
  </si>
  <si>
    <t>43504716.634231.001.301</t>
  </si>
  <si>
    <t>4.1.2</t>
  </si>
  <si>
    <t>43504716.634231.001.304</t>
  </si>
  <si>
    <t>4.1.3</t>
  </si>
  <si>
    <t>43504716.634231.001.311</t>
  </si>
  <si>
    <t>Труба стакана</t>
  </si>
  <si>
    <t>4.1.4</t>
  </si>
  <si>
    <t>43504716.634231.001.302</t>
  </si>
  <si>
    <t>Отражатель</t>
  </si>
  <si>
    <t>4.1.5</t>
  </si>
  <si>
    <t>43504716.634231.001.303</t>
  </si>
  <si>
    <t>4.1.6</t>
  </si>
  <si>
    <t>43504716.634231.001.305</t>
  </si>
  <si>
    <t>Кольцо упорное</t>
  </si>
  <si>
    <t>4.1.7</t>
  </si>
  <si>
    <t>43504716.634231.001.312</t>
  </si>
  <si>
    <t>5</t>
  </si>
  <si>
    <t>43504716.634231.001.001</t>
  </si>
  <si>
    <t>6</t>
  </si>
  <si>
    <t>43504716.634231.001.002</t>
  </si>
  <si>
    <t>ПВХ мембрана</t>
  </si>
  <si>
    <t xml:space="preserve"> 1,6 мм светло-зелёная 2,05x20м Logicbase V-ST</t>
  </si>
  <si>
    <t>СТО 72746455-3.4.3-2015</t>
  </si>
  <si>
    <t>7</t>
  </si>
  <si>
    <t>43504716.634231.001.003</t>
  </si>
  <si>
    <t>Мембрана ГГУ</t>
  </si>
  <si>
    <t>Техпластина</t>
  </si>
  <si>
    <t>ТМКЩ С-1мм</t>
  </si>
  <si>
    <t>8</t>
  </si>
  <si>
    <t>9</t>
  </si>
  <si>
    <t>10</t>
  </si>
  <si>
    <t>Картонный вкладыш 390х390</t>
  </si>
  <si>
    <t>11</t>
  </si>
  <si>
    <t>Стакан картонный</t>
  </si>
  <si>
    <t>12</t>
  </si>
  <si>
    <t>Этикетка на модуль МУПТВ-15-ГЗ-ВД ТРВ-15М Ураган-2</t>
  </si>
  <si>
    <t>13</t>
  </si>
  <si>
    <t>Этикетка на тару МУПТВ-15-ГЗ-ВД ТРВ-15М Ураган-2</t>
  </si>
  <si>
    <t>14</t>
  </si>
  <si>
    <t>Этикетка ПОД МУПТВ-15-ГЗ-ВД ТРВ-15М Ураган-2</t>
  </si>
  <si>
    <t>15</t>
  </si>
  <si>
    <t>Этикетка для штрихкода</t>
  </si>
  <si>
    <t>16</t>
  </si>
  <si>
    <t>17</t>
  </si>
  <si>
    <t>18</t>
  </si>
  <si>
    <t>19</t>
  </si>
  <si>
    <t>Грузило</t>
  </si>
  <si>
    <t>20</t>
  </si>
  <si>
    <t>21</t>
  </si>
  <si>
    <t>22</t>
  </si>
  <si>
    <t>23</t>
  </si>
  <si>
    <t>л.</t>
  </si>
  <si>
    <t>24</t>
  </si>
  <si>
    <t>Стретч-пленка</t>
  </si>
  <si>
    <t>рул.</t>
  </si>
  <si>
    <t>25</t>
  </si>
  <si>
    <t>27</t>
  </si>
  <si>
    <t>28</t>
  </si>
  <si>
    <t>29</t>
  </si>
  <si>
    <t>30</t>
  </si>
  <si>
    <t>31</t>
  </si>
  <si>
    <t>32</t>
  </si>
  <si>
    <t>33</t>
  </si>
  <si>
    <t>Пила кольцевая М42 5/8</t>
  </si>
  <si>
    <t>34</t>
  </si>
  <si>
    <t>Пила кольцевая М42 4/6</t>
  </si>
  <si>
    <t>35</t>
  </si>
  <si>
    <t>36</t>
  </si>
  <si>
    <t>Перчатки Х/Б</t>
  </si>
  <si>
    <t>37</t>
  </si>
  <si>
    <t>38</t>
  </si>
  <si>
    <t>39</t>
  </si>
  <si>
    <t>40</t>
  </si>
  <si>
    <t>41</t>
  </si>
  <si>
    <t>Перчатки защитные латекс Щ20К20</t>
  </si>
  <si>
    <t>42</t>
  </si>
  <si>
    <t>43</t>
  </si>
  <si>
    <t>44</t>
  </si>
  <si>
    <t>ГОСТ 20010-93
ГОСТ 12.4.183-91</t>
  </si>
  <si>
    <t>45</t>
  </si>
  <si>
    <t xml:space="preserve">Перчатки </t>
  </si>
  <si>
    <t>трикотажные с латексом (х/б)</t>
  </si>
  <si>
    <t>ГОСТ Р 12.4.252-2013, ТР ТС 019/2011</t>
  </si>
  <si>
    <t>46</t>
  </si>
  <si>
    <t xml:space="preserve">Нитриловые </t>
  </si>
  <si>
    <t>47</t>
  </si>
  <si>
    <t>48</t>
  </si>
  <si>
    <t>49</t>
  </si>
  <si>
    <t>50</t>
  </si>
  <si>
    <t>Антиспаттер Искра</t>
  </si>
  <si>
    <t>51</t>
  </si>
  <si>
    <t>Паллета</t>
  </si>
  <si>
    <t>52</t>
  </si>
  <si>
    <t>Медицинский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</si>
  <si>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</si>
  <si>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</si>
  <si>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</si>
  <si>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</si>
  <si>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</si>
  <si>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</si>
  <si>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</si>
  <si>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</si>
  <si>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</si>
  <si>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Аргоно-углекислотная смесь</t>
  </si>
  <si>
    <t>М.Ю. Юрин</t>
  </si>
  <si>
    <t>Инженер технолог</t>
  </si>
  <si>
    <t>К.Н. Курилов</t>
  </si>
  <si>
    <t>ТРВ-9М "Ураган-2"</t>
  </si>
  <si>
    <t>43504716.634231.001.101</t>
  </si>
  <si>
    <t>Полукорпус верхний ТРВ-9М</t>
  </si>
  <si>
    <t>43504716.634231.001.102</t>
  </si>
  <si>
    <t>Полукорпус нижний ТРВ-9М</t>
  </si>
  <si>
    <t>Этикетка на модуль МУПТВ-9-ГЗ-ВД ТРВ-9М Ураган-2</t>
  </si>
  <si>
    <t>Этикетка на тару МУПТВ-9-ГЗ-ВД ТРВ-9М Ураган-2</t>
  </si>
  <si>
    <t>Этикетка ПОД МУПТВ-9-ГЗ-ВД ТРВ-9М Ураган-2</t>
  </si>
  <si>
    <t>ТРВ-17М "Ураган-2"</t>
  </si>
  <si>
    <t>43504716.634231.003.101</t>
  </si>
  <si>
    <t>Полукорпус верхний ТРВ-17М</t>
  </si>
  <si>
    <t>43504716.634231.003.102</t>
  </si>
  <si>
    <t>Обечайка ТРВ-17М</t>
  </si>
  <si>
    <t>1.1.6</t>
  </si>
  <si>
    <t>Этикетка на модуль МУПТВ-17-ГЗ-ВД ТРВ-17М Ураган-2</t>
  </si>
  <si>
    <t>Этикетка на тару МУПТВ-17-ГЗ-ВД ТРВ-17М Ураган-2</t>
  </si>
  <si>
    <t>Этикетка ПОД МУПТВ-17-ГЗ-ВД ТРВ-17М Ураган-2</t>
  </si>
  <si>
    <t>П/к 15М2</t>
  </si>
  <si>
    <t>П/к 9М/17М/21М-2</t>
  </si>
  <si>
    <t>Дно стакана распылителя(м2)+кольцо упор</t>
  </si>
  <si>
    <t>Дно ггу+кольцо</t>
  </si>
  <si>
    <t>Пластина ГГУ+кольцо</t>
  </si>
  <si>
    <t>30х56, ТОП, 450шт/рул 48рул/уп</t>
  </si>
  <si>
    <t>Мембрана ПВХ</t>
  </si>
  <si>
    <t>Труба Ø63,5х8</t>
  </si>
  <si>
    <t>Труба Ø102х8</t>
  </si>
  <si>
    <t>Круг  Ø16</t>
  </si>
  <si>
    <t>Паспорт ТРВ Ураган-2 9М/15М/17М/21М</t>
  </si>
  <si>
    <t>Этикетка на корпус      ТРВ-9М Ураган-2</t>
  </si>
  <si>
    <t>Этикетка на коробку      ТРВ-9М Ураган-2</t>
  </si>
  <si>
    <t>Этикетка на корпус      ТРВ-15М Ураган-2</t>
  </si>
  <si>
    <t>Этикетка на коробку      ТРВ-15М Ураган-2</t>
  </si>
  <si>
    <t>Этикетка на корпус      ТРВ-17М Ураган-2</t>
  </si>
  <si>
    <t>Этикетка на коробку      ТРВ-17М Ураган-2</t>
  </si>
  <si>
    <t>Этикетка на корпус      ТРВ-21М Ураган-2</t>
  </si>
  <si>
    <t>Этикетка на коробку      ТРВ-21М Ураган-2</t>
  </si>
  <si>
    <t>43504716.634231.001.004</t>
  </si>
  <si>
    <t>Прокладка ГГУ</t>
  </si>
  <si>
    <t>ГОСТ481-80</t>
  </si>
  <si>
    <t>м2</t>
  </si>
  <si>
    <t>Паронит ПБМ 2</t>
  </si>
  <si>
    <t>1,0мм</t>
  </si>
  <si>
    <t>Коробка 360х150х160 Ур-12М</t>
  </si>
  <si>
    <t xml:space="preserve">лист </t>
  </si>
  <si>
    <t>Круг Ст35</t>
  </si>
  <si>
    <t>Круг Ст40Х</t>
  </si>
  <si>
    <t>КАЛЬКУЛЯТОР</t>
  </si>
  <si>
    <t>Кол-во модулей</t>
  </si>
  <si>
    <t>ИТОГ</t>
  </si>
  <si>
    <t>ЗПУ</t>
  </si>
  <si>
    <t>43504716.634234.001.101</t>
  </si>
  <si>
    <t>Ø48 Сталь 20</t>
  </si>
  <si>
    <t>43504716.634234.001.102</t>
  </si>
  <si>
    <t>43504716.634234.001.103</t>
  </si>
  <si>
    <t>Пробка</t>
  </si>
  <si>
    <t>Ø24 Сталь 20</t>
  </si>
  <si>
    <t>43504716.634234.001.104</t>
  </si>
  <si>
    <t>Защита</t>
  </si>
  <si>
    <t>43504716.634234.001.106-01</t>
  </si>
  <si>
    <t>Трубка манометра</t>
  </si>
  <si>
    <t>Трубка</t>
  </si>
  <si>
    <t>4х0,5 Сталь 20</t>
  </si>
  <si>
    <t>ГОСТ 8734-78/ГОСТ 1050-88</t>
  </si>
  <si>
    <t>43504716.634234.001.107</t>
  </si>
  <si>
    <t>Переходник G1/4 - M10x1</t>
  </si>
  <si>
    <t>19 Сталь 20</t>
  </si>
  <si>
    <t>1.2</t>
  </si>
  <si>
    <t>1.2.1</t>
  </si>
  <si>
    <t>Болт M8x12</t>
  </si>
  <si>
    <t xml:space="preserve"> DIN 933</t>
  </si>
  <si>
    <t>1.2.2</t>
  </si>
  <si>
    <t>Винт M8x20</t>
  </si>
  <si>
    <t xml:space="preserve"> DIN 916</t>
  </si>
  <si>
    <t>1.2.3</t>
  </si>
  <si>
    <t>Гайка М8</t>
  </si>
  <si>
    <t xml:space="preserve"> DIN 934</t>
  </si>
  <si>
    <t>1.2.4</t>
  </si>
  <si>
    <r>
      <t xml:space="preserve">Шайба пружинная </t>
    </r>
    <r>
      <rPr>
        <sz val="12"/>
        <rFont val="Calibri"/>
        <family val="2"/>
        <charset val="204"/>
      </rPr>
      <t>Ø</t>
    </r>
    <r>
      <rPr>
        <sz val="12"/>
        <rFont val="Times New Roman"/>
        <family val="1"/>
        <charset val="204"/>
      </rPr>
      <t>8</t>
    </r>
  </si>
  <si>
    <t xml:space="preserve">DIN 7980 </t>
  </si>
  <si>
    <t>1.2.5</t>
  </si>
  <si>
    <t>Манометр МП2-Уф исп.1 0-4 Мпа  M10*1</t>
  </si>
  <si>
    <t>1.2.6</t>
  </si>
  <si>
    <t>БРС Ниппель 1/4</t>
  </si>
  <si>
    <t>Артикул: 5550-02-04.m D19</t>
  </si>
  <si>
    <t>1.2.7</t>
  </si>
  <si>
    <t>БРС Розетка 1/4</t>
  </si>
  <si>
    <t>Артикул: 5550-03-04.m</t>
  </si>
  <si>
    <t>1.2.8</t>
  </si>
  <si>
    <t>Кольцо уплотнительное 15-19-25</t>
  </si>
  <si>
    <t>1.2.9</t>
  </si>
  <si>
    <t>Кольцо уплотнительное 19-22-19</t>
  </si>
  <si>
    <t>1.2.10</t>
  </si>
  <si>
    <t>Кольцо уплотнительное 4-8-25</t>
  </si>
  <si>
    <t>1.2.11</t>
  </si>
  <si>
    <t>Термоампула 5мм</t>
  </si>
  <si>
    <t>1.2.12</t>
  </si>
  <si>
    <t>Уплотнительное кольцо R1/4</t>
  </si>
  <si>
    <t>Артикул: 56010104</t>
  </si>
  <si>
    <t>1.2.13</t>
  </si>
  <si>
    <t>1.2.14</t>
  </si>
  <si>
    <t>Уплотнительное кольцо из фторопласта 8х3х2 (М10х1)</t>
  </si>
  <si>
    <t>https://www.fiztech.ru/catalog/dopolnitelnoe_oborudovanie/632/</t>
  </si>
  <si>
    <t>Трубка сифонная</t>
  </si>
  <si>
    <t>43504716.634234.001.301</t>
  </si>
  <si>
    <t>43504716.634234.001.302-01</t>
  </si>
  <si>
    <t>Ø10х2 Сталь 20</t>
  </si>
  <si>
    <t>ГОСТ 8734-75/ГОСТ 1050-88</t>
  </si>
  <si>
    <t>Кольцо уплотнительное 14-18-25</t>
  </si>
  <si>
    <t>Пиротолкатель</t>
  </si>
  <si>
    <t>43504716.634234.001.401</t>
  </si>
  <si>
    <t>Ø14 Сталь 35</t>
  </si>
  <si>
    <t>43504716.634234.001.402</t>
  </si>
  <si>
    <t>Шток</t>
  </si>
  <si>
    <t>Ø10 Сталь 40Х</t>
  </si>
  <si>
    <t>ГОСТ 2590-2006/ГОСТ 4543-71</t>
  </si>
  <si>
    <t>43504716.634234.001.403</t>
  </si>
  <si>
    <t>Втулка</t>
  </si>
  <si>
    <t>4.2</t>
  </si>
  <si>
    <t>4.2.1</t>
  </si>
  <si>
    <t>4.2.2</t>
  </si>
  <si>
    <t>Кронштейн</t>
  </si>
  <si>
    <t>5.1</t>
  </si>
  <si>
    <t>5.1.1</t>
  </si>
  <si>
    <t>Пластина гнутая</t>
  </si>
  <si>
    <t>5.1.2</t>
  </si>
  <si>
    <t>Шпилька</t>
  </si>
  <si>
    <t>Ø40 Сталь 20</t>
  </si>
  <si>
    <t>5.2</t>
  </si>
  <si>
    <t>5.2.1</t>
  </si>
  <si>
    <t>5.2.2</t>
  </si>
  <si>
    <t>Шайба 16</t>
  </si>
  <si>
    <t>DIN 125</t>
  </si>
  <si>
    <t>43504716.634234.001.001</t>
  </si>
  <si>
    <t>Хомут</t>
  </si>
  <si>
    <t>43504716.634234.001.002</t>
  </si>
  <si>
    <t>43504716.634234.001.003</t>
  </si>
  <si>
    <t>Пластина монтажная</t>
  </si>
  <si>
    <t>43504716.634234.001.105</t>
  </si>
  <si>
    <t>Переходник</t>
  </si>
  <si>
    <t>FP-LR-10-028.19.190.000</t>
  </si>
  <si>
    <t>Ресивер 10л</t>
  </si>
  <si>
    <t>ТУ 3615-001-22219466-2013</t>
  </si>
  <si>
    <t>Гайка M8-6H</t>
  </si>
  <si>
    <t>ГОСТ 11860-85</t>
  </si>
  <si>
    <t>Пластина 1Н-2-ТМКЩ-М-2</t>
  </si>
  <si>
    <r>
      <t>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.</t>
    </r>
  </si>
  <si>
    <t>Хомут 4.8х500мм</t>
  </si>
  <si>
    <t>Материаля для электромонтажа</t>
  </si>
  <si>
    <t>Коробка монтажная</t>
  </si>
  <si>
    <t>Клемная колодка 0,75-4мм2 12пар</t>
  </si>
  <si>
    <t>С обычным манометром</t>
  </si>
  <si>
    <t>Винт с потайной головкой крест. M4x12</t>
  </si>
  <si>
    <t>DIN 965</t>
  </si>
  <si>
    <t>Для крепления коробки монтажной и пластины монтажной</t>
  </si>
  <si>
    <t>Болт M4  x 8</t>
  </si>
  <si>
    <t>Гайка M4</t>
  </si>
  <si>
    <t>Хомут-стяжка 2.5х100 мм, цвет белый</t>
  </si>
  <si>
    <r>
      <t xml:space="preserve">Трубка ПВХ </t>
    </r>
    <r>
      <rPr>
        <sz val="12"/>
        <rFont val="Calibri"/>
        <family val="2"/>
        <charset val="204"/>
      </rPr>
      <t>Ø</t>
    </r>
    <r>
      <rPr>
        <sz val="12"/>
        <rFont val="Times New Roman"/>
        <family val="1"/>
        <charset val="204"/>
      </rPr>
      <t>4</t>
    </r>
  </si>
  <si>
    <t xml:space="preserve"> ТУ 2245-001-45077247-2007</t>
  </si>
  <si>
    <t>Провод ПуГВ 0,75 PE (Желто-зеленый)</t>
  </si>
  <si>
    <t>м.</t>
  </si>
  <si>
    <t>Rexant НАКОНЕЧНИК КОЛЬЦЕВОЙ изолированный 08-0016</t>
  </si>
  <si>
    <t>Хладон</t>
  </si>
  <si>
    <t>Хладон 125*</t>
  </si>
  <si>
    <t xml:space="preserve"> ТУ 2412-002-31951083-2007</t>
  </si>
  <si>
    <t>Тип и объем в зависимости от проекта</t>
  </si>
  <si>
    <t>Хладон 227*</t>
  </si>
  <si>
    <t xml:space="preserve"> ТУ 2412-003-31951083-2009</t>
  </si>
  <si>
    <t>ОПЦИИ</t>
  </si>
  <si>
    <t>26</t>
  </si>
  <si>
    <t>Пиротолкатель ПТ-5</t>
  </si>
  <si>
    <t>ТУ 7287-269-07513406-2008</t>
  </si>
  <si>
    <t>Взамем пиротолкателя</t>
  </si>
  <si>
    <t>Манометр электроконтактный ДМ2010п исп 1 0-40 бар исп.V</t>
  </si>
  <si>
    <t>Взамен манометра</t>
  </si>
  <si>
    <t>Взамен колодки с ЭК-манометром</t>
  </si>
  <si>
    <t>Герметик резьбовой Loctite 572 (50 МЛ.)</t>
  </si>
  <si>
    <t>Коробка 576х396х416 (внутр. размеры)</t>
  </si>
  <si>
    <t>НУЖНА ДРУГАЯ ТАРА!!! КД</t>
  </si>
  <si>
    <t>Картонный вкладыш 570х390</t>
  </si>
  <si>
    <t xml:space="preserve">Картон Т11 С </t>
  </si>
  <si>
    <t>ГОСТ Р 52901-2007</t>
  </si>
  <si>
    <t>???(чертеж есть, номера нет)</t>
  </si>
  <si>
    <t>Пенопласт для тары</t>
  </si>
  <si>
    <t>Пенополистирол ПСБ-С 35</t>
  </si>
  <si>
    <t>ГОСТ 15588-2014</t>
  </si>
  <si>
    <t>комп.</t>
  </si>
  <si>
    <t>Паспорт на модуль "Уран"</t>
  </si>
  <si>
    <t>Наклейка на модуль</t>
  </si>
  <si>
    <t>Подвес для упоковки МГП-10</t>
  </si>
  <si>
    <t xml:space="preserve"> Фанера береза ФК 10х130х476мм</t>
  </si>
  <si>
    <t>ГОСТ 3916.1-2018</t>
  </si>
  <si>
    <t>Азот газообразный</t>
  </si>
  <si>
    <t>ГОСТ 9293-74</t>
  </si>
  <si>
    <t>объем в зависимости от проекта</t>
  </si>
  <si>
    <t>МГП СС-0,4</t>
  </si>
  <si>
    <t>МГП СС-0,8</t>
  </si>
  <si>
    <t>МГП ЦОД 10ВС</t>
  </si>
  <si>
    <t>МГП ЦОД 20ВС</t>
  </si>
  <si>
    <t>МГП ЦОД-10П</t>
  </si>
  <si>
    <t>МГП ЦОД-20П</t>
  </si>
  <si>
    <t>43504716.634234.001.106-03</t>
  </si>
  <si>
    <t>43504716.634234.001.302-03</t>
  </si>
  <si>
    <t>43504716.634234.002.001</t>
  </si>
  <si>
    <t>43504716.634234.002.002</t>
  </si>
  <si>
    <t>С ЭК-манометром</t>
  </si>
  <si>
    <t>FP-LR-20-002.17.240.000</t>
  </si>
  <si>
    <t>Ресивер 20л</t>
  </si>
  <si>
    <t>Коробка 691х444х476 (внутр. размеры)</t>
  </si>
  <si>
    <t>Картонный вкладыш 675х440</t>
  </si>
  <si>
    <t>Подвес для упоковки МГП-20</t>
  </si>
  <si>
    <t xml:space="preserve"> Фанера береза ФК 10х150х591мм</t>
  </si>
  <si>
    <t>МГП "УРАГАН-10 СВ"</t>
  </si>
  <si>
    <t>П</t>
  </si>
  <si>
    <t>МГП "УРАГАН-20 СВ"</t>
  </si>
  <si>
    <t>2мм (м2)</t>
  </si>
  <si>
    <t>Болт М8х12</t>
  </si>
  <si>
    <t>Винт М8х20</t>
  </si>
  <si>
    <t>DIN 916</t>
  </si>
  <si>
    <t>DIN 7980</t>
  </si>
  <si>
    <t>Манометр МП2-Уф исп. 1 0-4МПа М10х1</t>
  </si>
  <si>
    <t>арт.: 5550-02-04. m D19</t>
  </si>
  <si>
    <t xml:space="preserve">арт.: 5550-03-04. m </t>
  </si>
  <si>
    <t>Кольцо уплотнительное</t>
  </si>
  <si>
    <t>15-19-25</t>
  </si>
  <si>
    <t>19-22-19</t>
  </si>
  <si>
    <t>4-8-25</t>
  </si>
  <si>
    <t>арт.: 56010104</t>
  </si>
  <si>
    <t xml:space="preserve">Ресивер 10л. </t>
  </si>
  <si>
    <t>FP-LR-10-028.19.190.000 ТУ3615-001-22219466-2013</t>
  </si>
  <si>
    <t xml:space="preserve">Ресивер 20л. </t>
  </si>
  <si>
    <t>FP-LR-20-002.17.240.000 ТУ3615-001-22219466-2013</t>
  </si>
  <si>
    <t>Гайка колпачковая М8-6Н</t>
  </si>
  <si>
    <t>ГОСТ11860-85</t>
  </si>
  <si>
    <t>14-18-25</t>
  </si>
  <si>
    <t>Коробка монтажная огнеупорная</t>
  </si>
  <si>
    <t>КМ-0(6к)-IP41</t>
  </si>
  <si>
    <t>Клемная колодка</t>
  </si>
  <si>
    <t>0,75-4мм2 12 пар</t>
  </si>
  <si>
    <t>Винт М4х12</t>
  </si>
  <si>
    <t>с потайной головкой крест DIN965</t>
  </si>
  <si>
    <t>Болт М4х8</t>
  </si>
  <si>
    <t>Гайка М4</t>
  </si>
  <si>
    <t>Хомут-стяжка</t>
  </si>
  <si>
    <t>2,5х100мм, цвет белый</t>
  </si>
  <si>
    <t>Провод ПуГВ 0,75 РЕ</t>
  </si>
  <si>
    <t>Желто-зелёный (м)</t>
  </si>
  <si>
    <t>Наконечник кольцевой Rexant</t>
  </si>
  <si>
    <t>Хладон 227</t>
  </si>
  <si>
    <t>ТУ 2412-003-31951083-2009</t>
  </si>
  <si>
    <t>Хладон 227 (кг)</t>
  </si>
  <si>
    <t>Герметик резьбовой</t>
  </si>
  <si>
    <t>Loctite 572 (50мл); (шт.)</t>
  </si>
  <si>
    <t>Коробка четырёхклапанная</t>
  </si>
  <si>
    <t>576х396х416 внутр. размер  МГП ЦОД 10</t>
  </si>
  <si>
    <t>691х444х476 внутр. размер  МГП ЦОД 20</t>
  </si>
  <si>
    <t>Вкладыш 570х390</t>
  </si>
  <si>
    <t>Картон Т11 С Гост52901-2007</t>
  </si>
  <si>
    <t>Вкладыш 675х440</t>
  </si>
  <si>
    <t>Пенополистирол ПБС-С 35  ГОСТ 15588-2014</t>
  </si>
  <si>
    <t>Подвес для упаковки</t>
  </si>
  <si>
    <t>МГП-СС 1,6 "УРАН"</t>
  </si>
  <si>
    <t>43504716.634234.003.202</t>
  </si>
  <si>
    <t>43504716.634234.003.201</t>
  </si>
  <si>
    <t>Винт M8x12</t>
  </si>
  <si>
    <t>Кольцо уплотнительное 24-29-30</t>
  </si>
  <si>
    <t>Рессивер</t>
  </si>
  <si>
    <t>43504716.634234.003.113</t>
  </si>
  <si>
    <t>Ø38х3 Сталь 20</t>
  </si>
  <si>
    <t>43504716.634234.006.111</t>
  </si>
  <si>
    <t>43504716.634234.006.112</t>
  </si>
  <si>
    <t>43504716.634234.006.114</t>
  </si>
  <si>
    <t>43504716.634234.004.103</t>
  </si>
  <si>
    <t xml:space="preserve"> Переход</t>
  </si>
  <si>
    <t>43504716.634234.004.104</t>
  </si>
  <si>
    <t>43504716.634234.004.105</t>
  </si>
  <si>
    <t>Штуцер закачной</t>
  </si>
  <si>
    <t>43504716.634234.004.115</t>
  </si>
  <si>
    <t>12.1</t>
  </si>
  <si>
    <t>43504716.634234.006.301</t>
  </si>
  <si>
    <t>Корпус нижний</t>
  </si>
  <si>
    <t>Стороннее изготовление</t>
  </si>
  <si>
    <t>12.2</t>
  </si>
  <si>
    <t>43504716.634234.006.302</t>
  </si>
  <si>
    <t>Корпус верхний</t>
  </si>
  <si>
    <t>12.3</t>
  </si>
  <si>
    <t>43504716.634234.006.305</t>
  </si>
  <si>
    <t>12.4</t>
  </si>
  <si>
    <t>43504716.634234.006.305-01</t>
  </si>
  <si>
    <t>12.5</t>
  </si>
  <si>
    <t>43504716.634234.006.204</t>
  </si>
  <si>
    <t>12.6</t>
  </si>
  <si>
    <t>Винт M3 х 6</t>
  </si>
  <si>
    <t>12.7</t>
  </si>
  <si>
    <t xml:space="preserve">Винт M3 x 10 </t>
  </si>
  <si>
    <t>12.8</t>
  </si>
  <si>
    <t>Винт M4 x 6</t>
  </si>
  <si>
    <t>12.9</t>
  </si>
  <si>
    <t>Винт  M4 x 8</t>
  </si>
  <si>
    <t>DIN 967</t>
  </si>
  <si>
    <t>12.10</t>
  </si>
  <si>
    <t>Гайка М3</t>
  </si>
  <si>
    <t>12.11</t>
  </si>
  <si>
    <t>Винт  M3 x 6</t>
  </si>
  <si>
    <t>https://rexant-shop.ru/goods/rexant_08-0016.htm</t>
  </si>
  <si>
    <t>Rexant НАКОНЕЧНИК КОЛЬЦЕВОЙ изолированный 08-0013</t>
  </si>
  <si>
    <t>https://rexant-shop.ru/goods/rexant_08-0013.htm</t>
  </si>
  <si>
    <t>Стойка для платы PCHSN-6</t>
  </si>
  <si>
    <t>РПИ-М(н) 1.5-7-0.8</t>
  </si>
  <si>
    <t>ТУ 3424-001-59861269-2004</t>
  </si>
  <si>
    <t>Коннектор RJ-12</t>
  </si>
  <si>
    <t>Скотчлок для 2-х жил</t>
  </si>
  <si>
    <t>Провод ПуГВ 0,5 PE (Желто-зеленый)</t>
  </si>
  <si>
    <t>ГОСТ 31947-2012</t>
  </si>
  <si>
    <t>Провод ПуГВ 0,5 N (Синий)</t>
  </si>
  <si>
    <t>Провод ПуГВ 0,5  (Не синий и не желто-зеленый)</t>
  </si>
  <si>
    <t>Кабель КСПВ 2х0,5</t>
  </si>
  <si>
    <t>ТУ 3581-001-39793330-2000</t>
  </si>
  <si>
    <t>Трубка термоусадочная с клеевым слоем D:4.8/2.4 желтая (1м)</t>
  </si>
  <si>
    <t>Хомут-стяжка 2.5х100 мм</t>
  </si>
  <si>
    <t>ВИНТ КРЕСТ М 4Х 6ММ</t>
  </si>
  <si>
    <t>DIN 7985</t>
  </si>
  <si>
    <t>ШАЙБА 4</t>
  </si>
  <si>
    <t>Платы печатные</t>
  </si>
  <si>
    <t>Шлейфы, разъемы</t>
  </si>
  <si>
    <t>Датчик газа</t>
  </si>
  <si>
    <t>Прибор пожарный</t>
  </si>
  <si>
    <t>Хладон 125</t>
  </si>
  <si>
    <t>Коробка 900х486х85 (внутр. размеры)</t>
  </si>
  <si>
    <t>43504716.634234.006.000У</t>
  </si>
  <si>
    <t>Прокладка 860х446х20</t>
  </si>
  <si>
    <t>Пенополистирол ПСБ-С 25</t>
  </si>
  <si>
    <t>Прокладка 876х85х20</t>
  </si>
  <si>
    <t>Прокладка 446х85х20</t>
  </si>
  <si>
    <t>Прокладка 486х85х20</t>
  </si>
  <si>
    <t>Объем в зависимости от проекта</t>
  </si>
  <si>
    <t>МГП-СС 1,2 "УРАН"</t>
  </si>
  <si>
    <t>43504716.634234.005.111</t>
  </si>
  <si>
    <t>43504716.634234.005.112</t>
  </si>
  <si>
    <t>43504716.634234.005.114</t>
  </si>
  <si>
    <t>43504716.634234.005.301</t>
  </si>
  <si>
    <t>43504716.634234.005.302</t>
  </si>
  <si>
    <t>43504716.634234.005.305</t>
  </si>
  <si>
    <t>43504716.634234.005.305-01</t>
  </si>
  <si>
    <t>Коробка 700х486х85 (внутр. размеры)</t>
  </si>
  <si>
    <t>43504716.634234.005.000У</t>
  </si>
  <si>
    <t>Прокладка 660х446х20</t>
  </si>
  <si>
    <t>Прокладка 676х85х20</t>
  </si>
  <si>
    <t>МГП-СС 0,8 "УРАН"</t>
  </si>
  <si>
    <t>43504716.634234.004.111</t>
  </si>
  <si>
    <t>43504716.634234.004.112</t>
  </si>
  <si>
    <t>43504716.634234.004.114</t>
  </si>
  <si>
    <t>43504716.634234.004.301</t>
  </si>
  <si>
    <t>43504716.634234.004.302</t>
  </si>
  <si>
    <t>43504716.634234.004.305</t>
  </si>
  <si>
    <t>43504716.634234.004.305-01</t>
  </si>
  <si>
    <t>Коробка 515х486х85 (внутр. размеры)</t>
  </si>
  <si>
    <t>43504716.634234.004.000У</t>
  </si>
  <si>
    <t>Прокладка 473х445х20</t>
  </si>
  <si>
    <t>Прокладка 491х85х20</t>
  </si>
  <si>
    <t>МГП-СС 0,4 "УРАН"</t>
  </si>
  <si>
    <t>43504716.634234.003.111</t>
  </si>
  <si>
    <t>43504716.634234.003.112</t>
  </si>
  <si>
    <t>43504716.634234.003.103</t>
  </si>
  <si>
    <t>43504716.634234.003.301</t>
  </si>
  <si>
    <t>43504716.634234.003.302</t>
  </si>
  <si>
    <t>43504716.634234.003.305</t>
  </si>
  <si>
    <t>43504716.634234.003.305-01</t>
  </si>
  <si>
    <t>Коробка 375х486х85 (внутр. размеры)</t>
  </si>
  <si>
    <t>43504716.634234.003.000У</t>
  </si>
  <si>
    <t>Прокладка 335х445х20</t>
  </si>
  <si>
    <t>Прокладка 334х85х20</t>
  </si>
  <si>
    <t>МГП СС-1,2</t>
  </si>
  <si>
    <t>МГП СС-1,6</t>
  </si>
  <si>
    <t>Винт М8х12</t>
  </si>
  <si>
    <t>24-29-30</t>
  </si>
  <si>
    <t>Винт М3х6</t>
  </si>
  <si>
    <t>Винт М3х10</t>
  </si>
  <si>
    <t>Винт М4х6</t>
  </si>
  <si>
    <t>Винт М4х8</t>
  </si>
  <si>
    <t>Стойка для платы</t>
  </si>
  <si>
    <t>PCHSN-6</t>
  </si>
  <si>
    <t>Провод ПуГВ 0,5 РЕ</t>
  </si>
  <si>
    <t>Провод ПуГВ 0,5 N</t>
  </si>
  <si>
    <t>Синий</t>
  </si>
  <si>
    <t>не желто-зелёный и не синий</t>
  </si>
  <si>
    <t>Трубка термоусадоч ная с клеевым слоем</t>
  </si>
  <si>
    <t>Винт М4х6 крест</t>
  </si>
  <si>
    <t>Шайба 4</t>
  </si>
  <si>
    <t>Коробка 900х486х85</t>
  </si>
  <si>
    <t>СС-1,6 внутр. размер ГОСТ9142-90</t>
  </si>
  <si>
    <t>СС-1,2 внутр. размер ГОСТ9142-90</t>
  </si>
  <si>
    <t>Коробка 700х486х85</t>
  </si>
  <si>
    <t>СС-0,8 внутр. размер ГОСТ9142-90</t>
  </si>
  <si>
    <t>СС-0,4 внутр. размер ГОСТ9142-90</t>
  </si>
  <si>
    <t>Коробка 375х486х85</t>
  </si>
  <si>
    <t>Коробка 515х486х85</t>
  </si>
  <si>
    <t>для МГП СС-1,6 (комплект)</t>
  </si>
  <si>
    <t>для МГП СС-1,2 (комплект)</t>
  </si>
  <si>
    <t>для МГП СС-0,8 (комплект)</t>
  </si>
  <si>
    <t>для МГП СС-0,4 (комплект)</t>
  </si>
  <si>
    <t xml:space="preserve">Прокладки для СС-1,6 </t>
  </si>
  <si>
    <t>Прокладки для СС-1,2</t>
  </si>
  <si>
    <t>Прокладки для СС-0,8</t>
  </si>
  <si>
    <t>Прокладки для СС-0,4</t>
  </si>
  <si>
    <t>Сетка №08-32        ГОСТ 3826-82</t>
  </si>
  <si>
    <t>Лист Б-1,5    2-11-08ю</t>
  </si>
  <si>
    <t>Лист Б-2,0  2-11-08ю</t>
  </si>
  <si>
    <t>Отражатель ТРВ</t>
  </si>
  <si>
    <t>Кольцо срезное ТРВ и ПК</t>
  </si>
  <si>
    <t>КР-5</t>
  </si>
  <si>
    <t xml:space="preserve">Болт мебель.М8х20 </t>
  </si>
  <si>
    <t>DIN 603 (цинк)</t>
  </si>
  <si>
    <t>ТРВ-9М-2</t>
  </si>
  <si>
    <t>ТРВ 15М/17М/21М-2</t>
  </si>
  <si>
    <t>Корпус СС-1,6</t>
  </si>
  <si>
    <t>Корпус СС-1,2</t>
  </si>
  <si>
    <t>Корпус СС-0,8</t>
  </si>
  <si>
    <t>Корпус СС-0,4</t>
  </si>
  <si>
    <t>43504716.634234.006.200</t>
  </si>
  <si>
    <t>43504716.634234.005.200</t>
  </si>
  <si>
    <t>43504716.634234.003.300</t>
  </si>
  <si>
    <t>43504716.634234.004.200</t>
  </si>
  <si>
    <t>Труба Ø38х3</t>
  </si>
  <si>
    <t>Труба Ø10х2</t>
  </si>
  <si>
    <t>Труба Ø4х0,5</t>
  </si>
  <si>
    <t>Круг  Ø40</t>
  </si>
  <si>
    <t>Круг Ø24</t>
  </si>
  <si>
    <t>Лист ПМБ-2</t>
  </si>
  <si>
    <t>Круг  Ø14 Ст35</t>
  </si>
  <si>
    <t>Круг  Ø10 Ст40Х</t>
  </si>
  <si>
    <t>Шестигранник калибр 30</t>
  </si>
  <si>
    <t>Шестигранник калибр 19</t>
  </si>
  <si>
    <t>Основные материалы (металл)</t>
  </si>
  <si>
    <t>Клей эпоксидный "Этал-1471"</t>
  </si>
  <si>
    <t>Грунт Эмаль "АНТИ-КОР ЭП    3 в 1" Profi</t>
  </si>
  <si>
    <t>Сетка №08-32 ГОСТ 3826-82</t>
  </si>
  <si>
    <t>Техпластина  ТМКЩ-С 1мм</t>
  </si>
  <si>
    <t>Шайба пружинная Ø8</t>
  </si>
  <si>
    <t>Упаковка МГП ЦОД 10 (комплект)</t>
  </si>
  <si>
    <t>Упаковка МГП ЦОД 20 (комплект)</t>
  </si>
  <si>
    <t>Ø102х8мм</t>
  </si>
  <si>
    <t>Ø63,5х8мм</t>
  </si>
  <si>
    <t>Ø60х6мм</t>
  </si>
  <si>
    <t>Ø57х6мм</t>
  </si>
  <si>
    <t>Ø38х3мм</t>
  </si>
  <si>
    <t>Ø10х2мм</t>
  </si>
  <si>
    <t>Ø48мм</t>
  </si>
  <si>
    <t>Ø40мм</t>
  </si>
  <si>
    <t>Ø30мм</t>
  </si>
  <si>
    <t>Ø24мм</t>
  </si>
  <si>
    <t>Ø16мм</t>
  </si>
  <si>
    <t>Ø14мм</t>
  </si>
  <si>
    <t>Ø10мм</t>
  </si>
  <si>
    <t>30мм</t>
  </si>
  <si>
    <t>19мм</t>
  </si>
  <si>
    <t>Ø25х6мм</t>
  </si>
  <si>
    <t>Ø6мм</t>
  </si>
  <si>
    <r>
      <t>изолированный 08-0016</t>
    </r>
    <r>
      <rPr>
        <sz val="10"/>
        <color theme="3" tint="0.39997558519241921"/>
        <rFont val="Times New Roman"/>
        <family val="1"/>
        <charset val="204"/>
      </rPr>
      <t xml:space="preserve"> </t>
    </r>
    <r>
      <rPr>
        <sz val="10"/>
        <color rgb="FF0070C0"/>
        <rFont val="Times New Roman"/>
        <family val="1"/>
        <charset val="204"/>
      </rPr>
      <t>https://rexant-shop.ru/goods/rexant_08-0016.htm</t>
    </r>
  </si>
  <si>
    <r>
      <t>изолированный 08-0013</t>
    </r>
    <r>
      <rPr>
        <sz val="10"/>
        <color theme="3" tint="0.39997558519241921"/>
        <rFont val="Times New Roman"/>
        <family val="1"/>
        <charset val="204"/>
      </rPr>
      <t xml:space="preserve"> </t>
    </r>
    <r>
      <rPr>
        <sz val="10"/>
        <color rgb="FF0070C0"/>
        <rFont val="Times New Roman"/>
        <family val="1"/>
        <charset val="204"/>
      </rPr>
      <t>https://rexant-shop.ru/goods/rexant_08-0013.htm</t>
    </r>
  </si>
  <si>
    <t>П/к Ø140мм МПП12</t>
  </si>
  <si>
    <t>Наконечник кольцевой Rexant изолированный 08-0016</t>
  </si>
  <si>
    <t>Наконечник кольцевой Rexant изолированный 08-0013</t>
  </si>
  <si>
    <t>Трубочка "Махито" Ø6мм</t>
  </si>
  <si>
    <t>Коробка 300х300х330 Ур-18М/24М</t>
  </si>
  <si>
    <t>Коробка 390х390х330 ТРВ-9М-2</t>
  </si>
  <si>
    <r>
      <t xml:space="preserve">Коробка 390х390х400 </t>
    </r>
    <r>
      <rPr>
        <sz val="9.5"/>
        <rFont val="Times New Roman"/>
        <family val="1"/>
        <charset val="204"/>
      </rPr>
      <t>ТРВ 15М/17М/21М-2</t>
    </r>
  </si>
  <si>
    <t>Коробка 300х300х370 МПП 36М</t>
  </si>
  <si>
    <t>Прокладка 290х290мм</t>
  </si>
  <si>
    <t>Прокладка 390х390мм</t>
  </si>
  <si>
    <t>Коробка четырёхклапанная 576х396х416 внутр. размер  МГП ЦОД 10</t>
  </si>
  <si>
    <t>Коробка четырёхклапанная 691х444х476 внутр. размер  МГП ЦОД 20</t>
  </si>
  <si>
    <t xml:space="preserve">Коробка 900х486х85 СС-1,6 </t>
  </si>
  <si>
    <t xml:space="preserve">Коробка 700х486х85 СС-1,2 </t>
  </si>
  <si>
    <t xml:space="preserve">Коробка 515х486х85 СС-0,8 </t>
  </si>
  <si>
    <t>Коробка 375х486х85 СС-0,4</t>
  </si>
  <si>
    <r>
      <t xml:space="preserve">Термоэтикетки </t>
    </r>
    <r>
      <rPr>
        <sz val="8"/>
        <color theme="1"/>
        <rFont val="Times New Roman"/>
        <family val="1"/>
        <charset val="204"/>
      </rPr>
      <t>30х56, ТОП, 450шт/рул 48рул/уп</t>
    </r>
  </si>
  <si>
    <t>Паллеты 800х1200</t>
  </si>
  <si>
    <t>Подвес для упаковки (Фанера берёза ФК)</t>
  </si>
  <si>
    <t>Масло Mobil VACTRA 2 20л</t>
  </si>
  <si>
    <r>
      <t xml:space="preserve">Аргоноуглекислотная смесь </t>
    </r>
    <r>
      <rPr>
        <sz val="9"/>
        <color theme="1"/>
        <rFont val="Times New Roman"/>
        <family val="1"/>
        <charset val="204"/>
      </rPr>
      <t>(баллон 7,43кг)</t>
    </r>
  </si>
  <si>
    <t>Герметик резьбовой Loctite 572 (50мл)</t>
  </si>
  <si>
    <r>
      <t xml:space="preserve">Герметик </t>
    </r>
    <r>
      <rPr>
        <sz val="9.5"/>
        <color theme="1"/>
        <rFont val="Times New Roman"/>
        <family val="1"/>
        <charset val="204"/>
      </rPr>
      <t>Fome Flex Thermo красный, 300 мл</t>
    </r>
  </si>
  <si>
    <t>Пила ленточная М42 34*1,1*4/6 х3 950</t>
  </si>
  <si>
    <t>Наконечники медные М6 L=28мм 0,8мм</t>
  </si>
  <si>
    <t>Наконечники медные М8 L=30мм 1,0мм</t>
  </si>
  <si>
    <t>Проволока сварочная СВ08Г2С 1,0мм</t>
  </si>
  <si>
    <t>Перчатки Нитриловые</t>
  </si>
  <si>
    <t>Стекло защитное прозрачное 110х90мм</t>
  </si>
  <si>
    <t>Стекло защитное 110х90мм</t>
  </si>
  <si>
    <r>
      <t xml:space="preserve">Спрей для защиты сопла </t>
    </r>
    <r>
      <rPr>
        <sz val="8"/>
        <color theme="1"/>
        <rFont val="Times New Roman"/>
        <family val="1"/>
        <charset val="204"/>
      </rPr>
      <t>Abikor Binzel, 400 мл.</t>
    </r>
  </si>
  <si>
    <t>ТРВ (полимерное покрытие)</t>
  </si>
  <si>
    <t>ТРВ (цинкование)</t>
  </si>
  <si>
    <t xml:space="preserve">Обозначение </t>
  </si>
  <si>
    <t xml:space="preserve">Название </t>
  </si>
  <si>
    <r>
      <t>площадь детали, м</t>
    </r>
    <r>
      <rPr>
        <b/>
        <vertAlign val="superscript"/>
        <sz val="12"/>
        <color theme="1"/>
        <rFont val="Times New Roman"/>
        <family val="1"/>
        <charset val="204"/>
      </rPr>
      <t>2</t>
    </r>
  </si>
  <si>
    <t>Цена, руб.</t>
  </si>
  <si>
    <t>Вес детали, кг</t>
  </si>
  <si>
    <t>1.</t>
  </si>
  <si>
    <t>43504716.634231.001.100</t>
  </si>
  <si>
    <r>
      <t>1.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 </t>
    </r>
  </si>
  <si>
    <t>2.</t>
  </si>
  <si>
    <t>43504716.634231.002.100</t>
  </si>
  <si>
    <r>
      <t>2.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 </t>
    </r>
  </si>
  <si>
    <t>43504716.634231.003.100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</si>
  <si>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 </t>
    </r>
  </si>
  <si>
    <t xml:space="preserve">Кольцо </t>
  </si>
  <si>
    <t>43504716.634231.004.100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</si>
  <si>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 </t>
    </r>
  </si>
  <si>
    <t>43504716.634231.001.220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</si>
  <si>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 </t>
    </r>
  </si>
  <si>
    <t xml:space="preserve">Фиксатор </t>
  </si>
  <si>
    <r>
      <t>6.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 </t>
    </r>
  </si>
  <si>
    <t>43504716.634231.001.310</t>
  </si>
  <si>
    <t>ТРВ-9М Ураган -2</t>
  </si>
  <si>
    <t>ТРВ-15М Ураган -2</t>
  </si>
  <si>
    <t>ТРВ-17М Ураган -2</t>
  </si>
  <si>
    <t>ТРВ-21М Ураган -2</t>
  </si>
  <si>
    <t>МПП (полимерное покрытие)</t>
  </si>
  <si>
    <t>МПП (цинкование)</t>
  </si>
  <si>
    <r>
      <t>площадь детали, м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</si>
  <si>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t>Цена, руб</t>
  </si>
  <si>
    <t>74936504.634233.026.100</t>
  </si>
  <si>
    <t>Корпус Ураган 12М</t>
  </si>
  <si>
    <t xml:space="preserve">Уловитель </t>
  </si>
  <si>
    <t>74936504.634233.027.100</t>
  </si>
  <si>
    <t>Корпус Ураган 18М</t>
  </si>
  <si>
    <t>3.</t>
  </si>
  <si>
    <t>74936504.634233.028.100</t>
  </si>
  <si>
    <t>Корпус Ураган 24М</t>
  </si>
  <si>
    <t>4.</t>
  </si>
  <si>
    <t>74936504.634233.030.100</t>
  </si>
  <si>
    <t>Корпус Ураган 36М</t>
  </si>
  <si>
    <t>5.</t>
  </si>
  <si>
    <t>74936504.634233.027.200</t>
  </si>
  <si>
    <t xml:space="preserve">Кронштейн </t>
  </si>
  <si>
    <t>6.</t>
  </si>
  <si>
    <t>74936504.634233.027.400</t>
  </si>
  <si>
    <t xml:space="preserve">Распылитель </t>
  </si>
  <si>
    <t>7.</t>
  </si>
  <si>
    <t>74936504.634233.027.401-01</t>
  </si>
  <si>
    <t xml:space="preserve">Горловина </t>
  </si>
  <si>
    <t>8.</t>
  </si>
  <si>
    <t>9.</t>
  </si>
  <si>
    <t>74936504.634233.026.300-01</t>
  </si>
  <si>
    <t>10.</t>
  </si>
  <si>
    <t>74936504.634233.026.300-02</t>
  </si>
  <si>
    <t>11.</t>
  </si>
  <si>
    <t>74936504.634233.026.003</t>
  </si>
  <si>
    <t xml:space="preserve">Крышка </t>
  </si>
  <si>
    <t>12.</t>
  </si>
  <si>
    <t xml:space="preserve">Кожух </t>
  </si>
  <si>
    <t>13.</t>
  </si>
  <si>
    <t>74936504.634233.030.400</t>
  </si>
  <si>
    <t>Крышка экрана</t>
  </si>
  <si>
    <t>14.</t>
  </si>
  <si>
    <t>74936504.634233.030.001</t>
  </si>
  <si>
    <t>МПП12М</t>
  </si>
  <si>
    <t>МПП18М</t>
  </si>
  <si>
    <t>МПП24М</t>
  </si>
  <si>
    <t>МПП24М-ВС</t>
  </si>
  <si>
    <t>МПП36М-ВС</t>
  </si>
  <si>
    <t>МГП (полимерное покрытие)</t>
  </si>
  <si>
    <t>МГП (цинкование)</t>
  </si>
  <si>
    <t>МГП (анодирование)</t>
  </si>
  <si>
    <t xml:space="preserve">Цена, руб. </t>
  </si>
  <si>
    <t xml:space="preserve"> Название </t>
  </si>
  <si>
    <t xml:space="preserve">Хомут </t>
  </si>
  <si>
    <t xml:space="preserve">Корпус </t>
  </si>
  <si>
    <t xml:space="preserve">Насадок </t>
  </si>
  <si>
    <t>43504716.634234.001.001-01</t>
  </si>
  <si>
    <t xml:space="preserve">43504716.634234.001.103 </t>
  </si>
  <si>
    <t xml:space="preserve">Пробка </t>
  </si>
  <si>
    <t xml:space="preserve">Пластина </t>
  </si>
  <si>
    <t xml:space="preserve">Защита </t>
  </si>
  <si>
    <t xml:space="preserve">Переходник </t>
  </si>
  <si>
    <t>43504716634234.001.500</t>
  </si>
  <si>
    <t>43504716.634234.001.106</t>
  </si>
  <si>
    <t>43504716.634234.001.106-02</t>
  </si>
  <si>
    <t>Переходник G 1/4"-М10×1</t>
  </si>
  <si>
    <t xml:space="preserve">Шток </t>
  </si>
  <si>
    <t xml:space="preserve">Втулка </t>
  </si>
  <si>
    <t>43504716634234.001.300</t>
  </si>
  <si>
    <t>МГП10</t>
  </si>
  <si>
    <t>МГП20</t>
  </si>
  <si>
    <t>КР (полимерное покрытие)</t>
  </si>
  <si>
    <t>площадь детали</t>
  </si>
  <si>
    <t>43504716.634231.010.725</t>
  </si>
  <si>
    <t>Пластина универсальная</t>
  </si>
  <si>
    <t>43504716.634231.010.711</t>
  </si>
  <si>
    <t xml:space="preserve">Крепление </t>
  </si>
  <si>
    <t>Этикетка на корпус                      МГП ЦОД 10 Уран</t>
  </si>
  <si>
    <t>Этикетка на корпус                       МГП ЦОД 20 Уран</t>
  </si>
  <si>
    <t>Этикетка на коробку                     МГП ЦОД 10 Уран</t>
  </si>
  <si>
    <t>Этикетка на коробку                           МГП ЦОД 20 Уран</t>
  </si>
  <si>
    <t>Этикетка на коробку                       ТРВ-21М Ураган-2</t>
  </si>
  <si>
    <t>Этикетка на корпус                        ТРВ-21М Ураган-2</t>
  </si>
  <si>
    <t>Этикетка на коробку                         ТРВ-17М Ураган-2</t>
  </si>
  <si>
    <t>Этикетка на корпус                        ТРВ-17М Ураган-2</t>
  </si>
  <si>
    <t>Этикетка на коробку                      ТРВ-15М Ураган-2</t>
  </si>
  <si>
    <t>Этикетка на корпус                        ТРВ-15М Ураган-2</t>
  </si>
  <si>
    <t>Этикетка на коробку                      ТРВ-9М Ураган-2</t>
  </si>
  <si>
    <t>Этикетка на корпус                         ТРВ-9М Ураган-2</t>
  </si>
  <si>
    <t>Этикетка на коробку Ур-24М-ВС</t>
  </si>
  <si>
    <t>Этикетка на корпус Ур-24М-ВС</t>
  </si>
  <si>
    <t>Этикетка на коробку Ур-24М</t>
  </si>
  <si>
    <t>Этикетка на корпус Ур-24М</t>
  </si>
  <si>
    <t>Этикетка на коробку Ур-18М</t>
  </si>
  <si>
    <t>Этикетка на корпус Ур-18М</t>
  </si>
  <si>
    <t>Этикетка на коробку Ур-12М</t>
  </si>
  <si>
    <t>Этикетка на корпус Ур-12М</t>
  </si>
  <si>
    <t>Паспорт МГП ЦОД</t>
  </si>
  <si>
    <t>Паспорт МГП СС</t>
  </si>
  <si>
    <t>Этикетка на корпус МГП СС-1,6</t>
  </si>
  <si>
    <t>Этикетка на корпус МГП СС-1,2</t>
  </si>
  <si>
    <t>Этикетка на корпус МГП СС-0,8</t>
  </si>
  <si>
    <t>Этикетка на корпус МГП СС-0,4</t>
  </si>
  <si>
    <t>Этикетка на коробку МГП СС-1,6</t>
  </si>
  <si>
    <t>Этикетка на коробку МГП СС-1,2</t>
  </si>
  <si>
    <t>Этикетка на коробку МГП СС-0,8</t>
  </si>
  <si>
    <t>Этикетка на коробку МГП СС-0,4</t>
  </si>
  <si>
    <t>Этикетка на корпус  МГП ЦОД 10 Уран</t>
  </si>
  <si>
    <t>Этикетка на корпус  МГП ЦОД 20 Уран</t>
  </si>
  <si>
    <t>Этикетка на коробку МГП ЦОД 20 Уран</t>
  </si>
  <si>
    <t>Этикетка на коробку МГП ЦОД 10 Уран</t>
  </si>
  <si>
    <t>Порошок  "Вексон-АВС 70"</t>
  </si>
  <si>
    <t xml:space="preserve">Техпластина ТМКЩ-С </t>
  </si>
  <si>
    <t>Паспорт Ур-36М-ВС</t>
  </si>
  <si>
    <t>Этикетка на корпус Ур-36М-ВС</t>
  </si>
  <si>
    <t>Этикетка на коробку  Ур-36М-ВС</t>
  </si>
  <si>
    <t>43504716.634231.001.801</t>
  </si>
  <si>
    <t xml:space="preserve">распорка </t>
  </si>
  <si>
    <t>43504716.634231.001.811</t>
  </si>
  <si>
    <t>пластина верхняя</t>
  </si>
  <si>
    <t>43504716.634231.001.821</t>
  </si>
  <si>
    <t>пластина нижняя</t>
  </si>
  <si>
    <t>болт М8х20</t>
  </si>
  <si>
    <t>Mushroom head bolt DIN603</t>
  </si>
  <si>
    <t>гайка М8-6Н</t>
  </si>
  <si>
    <t>шайба 8.37</t>
  </si>
  <si>
    <t>гайка удлинённая оц. М16</t>
  </si>
  <si>
    <t>DIN6334</t>
  </si>
  <si>
    <t>смесь Ar+CO2</t>
  </si>
  <si>
    <t>UJCN12.4.010-75</t>
  </si>
  <si>
    <t>ER-70S-6ArMig 1мм</t>
  </si>
  <si>
    <t>Кронштейн КР-5</t>
  </si>
  <si>
    <t>КР-4</t>
  </si>
  <si>
    <t>120шт 150х800</t>
  </si>
  <si>
    <t>16.11.21</t>
  </si>
  <si>
    <t>Кольцо паронитовое G3/4</t>
  </si>
  <si>
    <t>10.10.21</t>
  </si>
  <si>
    <t>Шлейфы, разъёмы и платы печатные</t>
  </si>
  <si>
    <t>Шлейфы, разъёмы и платы печатные для МГП СС-1,6 (комплект)</t>
  </si>
  <si>
    <t>Шлейфы и разъёмы и платы печатные для МГП СС-1,2 (комплект)</t>
  </si>
  <si>
    <t>Шлейфы и разъёмы и платы печатные для МГП СС-0,8 (комплект)</t>
  </si>
  <si>
    <t>Шлейфы и разъёмы и платы печатные для МГП СС-0,4 (комплект)</t>
  </si>
  <si>
    <t>Хомут-стяжка 2,5х100мм, цвет белый</t>
  </si>
  <si>
    <t>110х90мм (стекло)</t>
  </si>
  <si>
    <t>110х90мм (пластик)</t>
  </si>
  <si>
    <t>23.11.2021</t>
  </si>
  <si>
    <t>23.11.21</t>
  </si>
  <si>
    <t>1525х1525</t>
  </si>
  <si>
    <t>Прокладки для СС-1,6 43504716.634234.006.000У</t>
  </si>
  <si>
    <t>Прокладки для СС-1,2 43504716.634234.005.000У</t>
  </si>
  <si>
    <t>Прокладки для СС-0,8 43504716.634234.004.000У</t>
  </si>
  <si>
    <t>Прокладки для СС-0,4 43504716.634234.003.000У</t>
  </si>
  <si>
    <t>бухта</t>
  </si>
  <si>
    <t>Коммерческий директор___________________Ю.А. Шестера</t>
  </si>
  <si>
    <t xml:space="preserve">D: 4.8/2.4 желтая </t>
  </si>
  <si>
    <t>Шильдик алюминиевый МГП СС-1,6</t>
  </si>
  <si>
    <t>Шильдик алюминиевый МГП СС-1,2</t>
  </si>
  <si>
    <t>Шильдик алюминиевый МГП СС-0,8</t>
  </si>
  <si>
    <t>Шильдик алюминиевый МГП СС-0,4</t>
  </si>
  <si>
    <t>Кислирод жидкий</t>
  </si>
  <si>
    <t>Кислород жидкий</t>
  </si>
  <si>
    <t>бак</t>
  </si>
  <si>
    <t>Фанера берёза ФК; ГОСТ 3916.1 -2018  Лист10х1525х1525</t>
  </si>
  <si>
    <t>Труба  ДКРНМ М1 БТ</t>
  </si>
  <si>
    <t>4х1,0</t>
  </si>
  <si>
    <t>Труба  ДКРНМ М1 БТ 4х1,0</t>
  </si>
  <si>
    <t xml:space="preserve">Желто-зелёный </t>
  </si>
  <si>
    <t>Провод ПуГВ 0,5 РЕ не желто-зелёный и не синий</t>
  </si>
  <si>
    <t xml:space="preserve">Провод ПуГВ 0,5 РЕ желто-зелёный </t>
  </si>
  <si>
    <t>Провод ПуГВ 0,5 N синий</t>
  </si>
  <si>
    <t xml:space="preserve">Провод ПуГВ 0,75 РЕ желто-зелёный </t>
  </si>
  <si>
    <t>Бутылка ПЭТ 1,5л</t>
  </si>
  <si>
    <t>Бутылка ПЭТ 2,0л</t>
  </si>
  <si>
    <t>Бутылка ПЭТ 3,0л</t>
  </si>
  <si>
    <t>Бутылка ПЭТ 4,0л</t>
  </si>
  <si>
    <t>26.11.21</t>
  </si>
  <si>
    <t>26.11.2021</t>
  </si>
  <si>
    <t>Шайба 16 DIN 125</t>
  </si>
  <si>
    <t>Шайба 8 ГОСТ 9649-78</t>
  </si>
  <si>
    <t>Вкладыш 570х390 Картон Т11 С МГП ЦОД 10</t>
  </si>
  <si>
    <t>Вкладыш 675х440 Картон Т11 С МГП ЦОД 20</t>
  </si>
  <si>
    <t>Этикетка ПОД____</t>
  </si>
  <si>
    <t>Этикетка ПОД ____</t>
  </si>
  <si>
    <t>1м2=15,7кг</t>
  </si>
  <si>
    <t>30.11.21</t>
  </si>
  <si>
    <t>Хомут ЦОД10</t>
  </si>
  <si>
    <t>Хомут ЦОД20</t>
  </si>
  <si>
    <t>ЦОД10</t>
  </si>
  <si>
    <t>ЦОД20</t>
  </si>
  <si>
    <t>МГП СС 004.115</t>
  </si>
  <si>
    <t>Крепление</t>
  </si>
  <si>
    <t>Распорка</t>
  </si>
  <si>
    <t>Пластина верхняя</t>
  </si>
  <si>
    <t>Пластина нижняя</t>
  </si>
  <si>
    <t>Ребро</t>
  </si>
  <si>
    <t>Труба стакана распылителя</t>
  </si>
  <si>
    <t>Штуцер нижний МПП</t>
  </si>
  <si>
    <r>
      <t xml:space="preserve">Труба </t>
    </r>
    <r>
      <rPr>
        <sz val="11"/>
        <color theme="1"/>
        <rFont val="Calibri"/>
        <family val="2"/>
        <charset val="204"/>
      </rPr>
      <t>Ø38×3 L=414 (2 угла 45°)</t>
    </r>
  </si>
  <si>
    <t>Труба Ø38×3 L=658 угол 45°</t>
  </si>
  <si>
    <t>Труба Ø38×3 L=573 угол 45°</t>
  </si>
  <si>
    <t>Труба Ø38×3 L=555 R=19</t>
  </si>
  <si>
    <t>Труба Ø38×3 L=458 угол 45°</t>
  </si>
  <si>
    <t>Труба Ø38×3 L=373 угол 45°</t>
  </si>
  <si>
    <t>Труба Ø38×3 L=355 R=19</t>
  </si>
  <si>
    <t>Труба Ø38×3 L=273 угол 45°</t>
  </si>
  <si>
    <t>Труба Ø38×3 L=188 угол 45°</t>
  </si>
  <si>
    <t>Труба Ø38×3 L=170 R=19</t>
  </si>
  <si>
    <t>Труба Ø38×3 L=133 угол 45°</t>
  </si>
  <si>
    <t>Труба Ø38×3 L=48 угол 45°</t>
  </si>
  <si>
    <r>
      <t xml:space="preserve">Труба </t>
    </r>
    <r>
      <rPr>
        <sz val="11"/>
        <color theme="1"/>
        <rFont val="Calibri"/>
        <family val="2"/>
        <charset val="204"/>
      </rPr>
      <t>Ø10×2 L=130</t>
    </r>
    <r>
      <rPr>
        <sz val="11"/>
        <color theme="1"/>
        <rFont val="Times New Roman"/>
        <family val="1"/>
        <charset val="204"/>
      </rPr>
      <t xml:space="preserve"> 10П</t>
    </r>
  </si>
  <si>
    <r>
      <t xml:space="preserve">Труба </t>
    </r>
    <r>
      <rPr>
        <sz val="11"/>
        <color theme="1"/>
        <rFont val="Calibri"/>
        <family val="2"/>
        <charset val="204"/>
      </rPr>
      <t>Ø10×2 L=215</t>
    </r>
    <r>
      <rPr>
        <sz val="11"/>
        <color theme="1"/>
        <rFont val="Times New Roman"/>
        <family val="1"/>
        <charset val="204"/>
      </rPr>
      <t xml:space="preserve"> 10ВС</t>
    </r>
  </si>
  <si>
    <r>
      <t xml:space="preserve">Труба </t>
    </r>
    <r>
      <rPr>
        <sz val="11"/>
        <color theme="1"/>
        <rFont val="Calibri"/>
        <family val="2"/>
        <charset val="204"/>
      </rPr>
      <t>Ø10×2 L=</t>
    </r>
    <r>
      <rPr>
        <sz val="11"/>
        <color theme="1"/>
        <rFont val="Times New Roman"/>
        <family val="1"/>
        <charset val="204"/>
      </rPr>
      <t>155 20П</t>
    </r>
  </si>
  <si>
    <t>Труба Ø10×2 L=255 20ВС</t>
  </si>
  <si>
    <t>Крышка ГГУ МПП</t>
  </si>
  <si>
    <t>Корпус 234.001.101 (ЦОД)</t>
  </si>
  <si>
    <t>Шпилька 234.001.502</t>
  </si>
  <si>
    <t>Штуцер закачной 234.004.105</t>
  </si>
  <si>
    <t>Гайка 234.003.202</t>
  </si>
  <si>
    <t>Переход 234.004.103</t>
  </si>
  <si>
    <t>Штуцер ПК 234.004.104</t>
  </si>
  <si>
    <t>Переход 234.003.103</t>
  </si>
  <si>
    <t>Штуцер стакана распылителя</t>
  </si>
  <si>
    <t xml:space="preserve">Гайка </t>
  </si>
  <si>
    <t>Штуцер 234.003.201</t>
  </si>
  <si>
    <t>Гайка установочная МПП-12</t>
  </si>
  <si>
    <t>Пробка 234.001.103</t>
  </si>
  <si>
    <t>Пробка 234.001.301</t>
  </si>
  <si>
    <t>Корпус 234.001.401</t>
  </si>
  <si>
    <t>Втулка 234.001.403</t>
  </si>
  <si>
    <t>Втулка 231.001.201</t>
  </si>
  <si>
    <t>Шток 234.001.402</t>
  </si>
  <si>
    <t>Корпус ПК 234.001.201</t>
  </si>
  <si>
    <t>Переходник 234.001.105</t>
  </si>
  <si>
    <t>Переходник G1/4" 234.001.107</t>
  </si>
  <si>
    <t xml:space="preserve">Труба 10П </t>
  </si>
  <si>
    <t xml:space="preserve">Труба 10ВС </t>
  </si>
  <si>
    <t xml:space="preserve">Труба 20П </t>
  </si>
  <si>
    <t>Труба 20ВС</t>
  </si>
  <si>
    <t>Гайка Ø40 L=14</t>
  </si>
  <si>
    <r>
      <t xml:space="preserve">Штуцер </t>
    </r>
    <r>
      <rPr>
        <b/>
        <sz val="12"/>
        <color theme="1"/>
        <rFont val="Calibri"/>
        <family val="2"/>
        <charset val="204"/>
      </rPr>
      <t>Ø</t>
    </r>
    <r>
      <rPr>
        <b/>
        <sz val="12"/>
        <color theme="1"/>
        <rFont val="Times New Roman"/>
        <family val="1"/>
        <charset val="204"/>
      </rPr>
      <t>30 L=24</t>
    </r>
  </si>
  <si>
    <t>МГП СС</t>
  </si>
  <si>
    <t>СОЖ RATAK 6210 R 10л.</t>
  </si>
  <si>
    <t>Начальник склада________________Л.Г.Лукьянова</t>
  </si>
  <si>
    <t>Менеджер ОМТС          ______________________И.Г. Уразов</t>
  </si>
  <si>
    <t>Бухгалтер материальной группы   ______________________ В.А. Хохлов</t>
  </si>
  <si>
    <t>Шайба 8 увеличенная</t>
  </si>
  <si>
    <t>Пакет ПВД</t>
  </si>
  <si>
    <t>Манометры 0-4МПа М10х1 электроконтактные</t>
  </si>
  <si>
    <t>Начальника производства______________________ Коновалов И.И.</t>
  </si>
  <si>
    <t>Руководитель отдела продаж___________________М.О. Карикова</t>
  </si>
  <si>
    <t>Баллон 52</t>
  </si>
  <si>
    <t>НФ-00001209</t>
  </si>
  <si>
    <t>НФ-00001163</t>
  </si>
  <si>
    <t>Дефицит III квартал 2023</t>
  </si>
  <si>
    <t>Июль</t>
  </si>
  <si>
    <t>Август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</si>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</sst>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&quot;р.&quot;_-;\-* #,##0.00&quot;р.&quot;_-;_-* &quot;-&quot;??&quot;р.&quot;_-;_-@_-"/>
    <numFmt numFmtId="165" formatCode="#,##0.00&quot;р.&quot;"/>
    <numFmt numFmtId="166" formatCode="0.0000"/>
    <numFmt numFmtId="167" formatCode="0.000"/>
    <numFmt numFmtId="168" formatCode="#,##0.00\ &quot;₽&quot;"/>
    <numFmt numFmtId="169" formatCode="#,##0.00\ _₽"/>
  </numFmts>
  <fonts count="6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GOST type A"/>
      <family val="2"/>
      <charset val="204"/>
    </font>
    <font>
      <sz val="14"/>
      <color theme="1"/>
      <name val="GOST type A"/>
      <family val="2"/>
      <charset val="204"/>
    </font>
    <font>
      <sz val="14"/>
      <name val="GOST type A"/>
      <family val="2"/>
      <charset val="204"/>
    </font>
    <font>
      <sz val="12.65"/>
      <color theme="1"/>
      <name val="Calibri"/>
      <family val="2"/>
      <charset val="204"/>
    </font>
    <font>
      <b/>
      <sz val="16"/>
      <name val="Arial Cyr"/>
      <charset val="204"/>
    </font>
    <font>
      <u/>
      <sz val="10"/>
      <name val="Arial Cyr"/>
      <charset val="204"/>
    </font>
    <font>
      <sz val="16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name val="Calibri"/>
      <family val="2"/>
      <charset val="204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0"/>
      <color theme="3" tint="0.3999755851924192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9.5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vertAlign val="superscript"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Grid"/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43" fillId="0" borderId="0"/>
    <xf numFmtId="0" fontId="49" fillId="0" borderId="0" applyNumberFormat="0" applyFill="0" applyBorder="0" applyAlignment="0" applyProtection="0"/>
  </cellStyleXfs>
  <cellXfs count="85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/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7" fillId="0" borderId="1" xfId="0" applyFont="1" applyBorder="1"/>
    <xf numFmtId="0" fontId="13" fillId="0" borderId="0" xfId="0" applyFont="1"/>
    <xf numFmtId="0" fontId="14" fillId="0" borderId="0" xfId="0" applyFont="1"/>
    <xf numFmtId="0" fontId="7" fillId="2" borderId="1" xfId="0" applyFont="1" applyFill="1" applyBorder="1"/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3" fillId="0" borderId="16" xfId="0" applyFont="1" applyBorder="1"/>
    <xf numFmtId="0" fontId="13" fillId="0" borderId="0" xfId="0" applyFont="1" applyAlignment="1">
      <alignment horizontal="center"/>
    </xf>
    <xf numFmtId="0" fontId="2" fillId="2" borderId="1" xfId="0" applyFont="1" applyFill="1" applyBorder="1"/>
    <xf numFmtId="0" fontId="15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2" fontId="0" fillId="2" borderId="1" xfId="0" applyNumberFormat="1" applyFill="1" applyBorder="1" applyAlignment="1">
      <alignment horizontal="center" vertical="center"/>
    </xf>
    <xf numFmtId="165" fontId="2" fillId="0" borderId="0" xfId="0" applyNumberFormat="1" applyFont="1"/>
    <xf numFmtId="165" fontId="2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2" fontId="0" fillId="0" borderId="0" xfId="0" applyNumberFormat="1"/>
    <xf numFmtId="2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2" fontId="0" fillId="0" borderId="7" xfId="0" applyNumberFormat="1" applyBorder="1" applyAlignment="1">
      <alignment wrapText="1"/>
    </xf>
    <xf numFmtId="2" fontId="0" fillId="0" borderId="7" xfId="0" applyNumberFormat="1" applyBorder="1"/>
    <xf numFmtId="2" fontId="0" fillId="0" borderId="19" xfId="0" applyNumberFormat="1" applyBorder="1" applyAlignment="1">
      <alignment wrapText="1"/>
    </xf>
    <xf numFmtId="2" fontId="0" fillId="0" borderId="5" xfId="0" applyNumberFormat="1" applyBorder="1"/>
    <xf numFmtId="2" fontId="0" fillId="0" borderId="14" xfId="0" applyNumberFormat="1" applyBorder="1" applyAlignment="1">
      <alignment wrapText="1"/>
    </xf>
    <xf numFmtId="2" fontId="0" fillId="0" borderId="17" xfId="0" applyNumberFormat="1" applyBorder="1"/>
    <xf numFmtId="2" fontId="0" fillId="0" borderId="15" xfId="0" applyNumberFormat="1" applyBorder="1"/>
    <xf numFmtId="0" fontId="2" fillId="0" borderId="14" xfId="0" applyFont="1" applyBorder="1" applyAlignment="1">
      <alignment horizontal="left" wrapText="1"/>
    </xf>
    <xf numFmtId="0" fontId="2" fillId="0" borderId="17" xfId="0" applyFont="1" applyBorder="1" applyAlignment="1">
      <alignment wrapText="1"/>
    </xf>
    <xf numFmtId="2" fontId="2" fillId="0" borderId="17" xfId="0" applyNumberFormat="1" applyFont="1" applyBorder="1"/>
    <xf numFmtId="0" fontId="2" fillId="0" borderId="17" xfId="0" applyFont="1" applyBorder="1"/>
    <xf numFmtId="0" fontId="17" fillId="0" borderId="14" xfId="0" applyFont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7" xfId="0" applyBorder="1"/>
    <xf numFmtId="2" fontId="0" fillId="0" borderId="14" xfId="0" applyNumberFormat="1" applyBorder="1" applyAlignment="1">
      <alignment horizontal="center" wrapText="1"/>
    </xf>
    <xf numFmtId="2" fontId="0" fillId="0" borderId="17" xfId="0" applyNumberFormat="1" applyBorder="1" applyAlignment="1">
      <alignment wrapText="1"/>
    </xf>
    <xf numFmtId="2" fontId="20" fillId="0" borderId="0" xfId="0" applyNumberFormat="1" applyFont="1"/>
    <xf numFmtId="0" fontId="2" fillId="0" borderId="1" xfId="0" applyFont="1" applyBorder="1" applyAlignment="1">
      <alignment horizontal="center" vertical="center"/>
    </xf>
    <xf numFmtId="2" fontId="22" fillId="0" borderId="0" xfId="0" applyNumberFormat="1" applyFont="1"/>
    <xf numFmtId="2" fontId="0" fillId="0" borderId="6" xfId="0" applyNumberFormat="1" applyBorder="1" applyAlignment="1">
      <alignment wrapText="1"/>
    </xf>
    <xf numFmtId="2" fontId="0" fillId="2" borderId="1" xfId="0" applyNumberFormat="1" applyFill="1" applyBorder="1"/>
    <xf numFmtId="165" fontId="0" fillId="0" borderId="0" xfId="0" applyNumberFormat="1"/>
    <xf numFmtId="0" fontId="23" fillId="8" borderId="28" xfId="0" applyFont="1" applyFill="1" applyBorder="1" applyAlignment="1">
      <alignment horizontal="center" vertical="center"/>
    </xf>
    <xf numFmtId="166" fontId="24" fillId="0" borderId="30" xfId="0" applyNumberFormat="1" applyFont="1" applyBorder="1" applyAlignment="1">
      <alignment horizontal="center"/>
    </xf>
    <xf numFmtId="166" fontId="24" fillId="0" borderId="32" xfId="0" applyNumberFormat="1" applyFont="1" applyBorder="1" applyAlignment="1">
      <alignment horizontal="center"/>
    </xf>
    <xf numFmtId="166" fontId="24" fillId="0" borderId="34" xfId="0" applyNumberFormat="1" applyFont="1" applyBorder="1" applyAlignment="1">
      <alignment horizontal="center"/>
    </xf>
    <xf numFmtId="166" fontId="24" fillId="0" borderId="37" xfId="0" applyNumberFormat="1" applyFont="1" applyBorder="1" applyAlignment="1">
      <alignment horizontal="center"/>
    </xf>
    <xf numFmtId="166" fontId="24" fillId="4" borderId="30" xfId="0" applyNumberFormat="1" applyFont="1" applyFill="1" applyBorder="1" applyAlignment="1">
      <alignment horizontal="center"/>
    </xf>
    <xf numFmtId="166" fontId="24" fillId="4" borderId="32" xfId="0" applyNumberFormat="1" applyFont="1" applyFill="1" applyBorder="1" applyAlignment="1">
      <alignment horizontal="center"/>
    </xf>
    <xf numFmtId="166" fontId="24" fillId="4" borderId="34" xfId="0" applyNumberFormat="1" applyFont="1" applyFill="1" applyBorder="1" applyAlignment="1">
      <alignment horizontal="center"/>
    </xf>
    <xf numFmtId="166" fontId="24" fillId="7" borderId="32" xfId="0" applyNumberFormat="1" applyFont="1" applyFill="1" applyBorder="1" applyAlignment="1">
      <alignment horizontal="center"/>
    </xf>
    <xf numFmtId="166" fontId="24" fillId="5" borderId="32" xfId="0" applyNumberFormat="1" applyFont="1" applyFill="1" applyBorder="1" applyAlignment="1">
      <alignment horizontal="center"/>
    </xf>
    <xf numFmtId="166" fontId="24" fillId="5" borderId="34" xfId="0" applyNumberFormat="1" applyFont="1" applyFill="1" applyBorder="1" applyAlignment="1">
      <alignment horizontal="center"/>
    </xf>
    <xf numFmtId="166" fontId="24" fillId="5" borderId="37" xfId="0" applyNumberFormat="1" applyFont="1" applyFill="1" applyBorder="1" applyAlignment="1">
      <alignment horizontal="center"/>
    </xf>
    <xf numFmtId="166" fontId="24" fillId="9" borderId="30" xfId="0" applyNumberFormat="1" applyFont="1" applyFill="1" applyBorder="1" applyAlignment="1">
      <alignment horizontal="center"/>
    </xf>
    <xf numFmtId="166" fontId="24" fillId="9" borderId="32" xfId="0" applyNumberFormat="1" applyFont="1" applyFill="1" applyBorder="1" applyAlignment="1">
      <alignment horizontal="center"/>
    </xf>
    <xf numFmtId="166" fontId="24" fillId="3" borderId="32" xfId="0" applyNumberFormat="1" applyFont="1" applyFill="1" applyBorder="1" applyAlignment="1">
      <alignment horizontal="center"/>
    </xf>
    <xf numFmtId="166" fontId="24" fillId="6" borderId="32" xfId="0" applyNumberFormat="1" applyFont="1" applyFill="1" applyBorder="1" applyAlignment="1">
      <alignment horizontal="center"/>
    </xf>
    <xf numFmtId="166" fontId="24" fillId="10" borderId="37" xfId="0" applyNumberFormat="1" applyFont="1" applyFill="1" applyBorder="1" applyAlignment="1">
      <alignment horizontal="center"/>
    </xf>
    <xf numFmtId="166" fontId="24" fillId="10" borderId="32" xfId="0" applyNumberFormat="1" applyFont="1" applyFill="1" applyBorder="1" applyAlignment="1">
      <alignment horizontal="center"/>
    </xf>
    <xf numFmtId="0" fontId="24" fillId="4" borderId="29" xfId="0" applyFont="1" applyFill="1" applyBorder="1" applyAlignment="1">
      <alignment horizontal="left" vertical="top"/>
    </xf>
    <xf numFmtId="166" fontId="0" fillId="0" borderId="0" xfId="0" applyNumberFormat="1"/>
    <xf numFmtId="0" fontId="23" fillId="8" borderId="23" xfId="0" applyFont="1" applyFill="1" applyBorder="1" applyAlignment="1">
      <alignment horizontal="left" vertical="center" wrapText="1"/>
    </xf>
    <xf numFmtId="0" fontId="24" fillId="7" borderId="31" xfId="0" applyFont="1" applyFill="1" applyBorder="1" applyAlignment="1">
      <alignment horizontal="left"/>
    </xf>
    <xf numFmtId="0" fontId="24" fillId="4" borderId="31" xfId="0" applyFont="1" applyFill="1" applyBorder="1" applyAlignment="1">
      <alignment horizontal="left" vertical="top"/>
    </xf>
    <xf numFmtId="0" fontId="24" fillId="5" borderId="31" xfId="0" applyFont="1" applyFill="1" applyBorder="1" applyAlignment="1">
      <alignment horizontal="left" vertical="top"/>
    </xf>
    <xf numFmtId="0" fontId="24" fillId="0" borderId="33" xfId="0" applyFont="1" applyBorder="1" applyAlignment="1">
      <alignment horizontal="left" vertical="top"/>
    </xf>
    <xf numFmtId="0" fontId="23" fillId="8" borderId="23" xfId="0" applyFont="1" applyFill="1" applyBorder="1" applyAlignment="1">
      <alignment horizontal="center" vertical="center" wrapText="1"/>
    </xf>
    <xf numFmtId="0" fontId="24" fillId="9" borderId="29" xfId="0" applyFont="1" applyFill="1" applyBorder="1" applyAlignment="1">
      <alignment horizontal="left" vertical="top"/>
    </xf>
    <xf numFmtId="0" fontId="24" fillId="4" borderId="31" xfId="0" applyFont="1" applyFill="1" applyBorder="1" applyAlignment="1">
      <alignment horizontal="left"/>
    </xf>
    <xf numFmtId="0" fontId="24" fillId="7" borderId="31" xfId="0" applyFont="1" applyFill="1" applyBorder="1" applyAlignment="1">
      <alignment horizontal="left" vertical="top"/>
    </xf>
    <xf numFmtId="0" fontId="24" fillId="4" borderId="33" xfId="0" applyFont="1" applyFill="1" applyBorder="1" applyAlignment="1">
      <alignment horizontal="left"/>
    </xf>
    <xf numFmtId="0" fontId="25" fillId="4" borderId="29" xfId="0" applyFont="1" applyFill="1" applyBorder="1" applyAlignment="1">
      <alignment horizontal="left" vertical="top"/>
    </xf>
    <xf numFmtId="0" fontId="25" fillId="4" borderId="35" xfId="0" applyFont="1" applyFill="1" applyBorder="1" applyAlignment="1">
      <alignment horizontal="left" vertical="top"/>
    </xf>
    <xf numFmtId="0" fontId="24" fillId="5" borderId="33" xfId="0" applyFont="1" applyFill="1" applyBorder="1" applyAlignment="1">
      <alignment horizontal="left"/>
    </xf>
    <xf numFmtId="0" fontId="24" fillId="6" borderId="31" xfId="0" applyFont="1" applyFill="1" applyBorder="1" applyAlignment="1">
      <alignment horizontal="left"/>
    </xf>
    <xf numFmtId="0" fontId="24" fillId="5" borderId="36" xfId="0" applyFont="1" applyFill="1" applyBorder="1" applyAlignment="1">
      <alignment horizontal="left"/>
    </xf>
    <xf numFmtId="0" fontId="24" fillId="0" borderId="38" xfId="0" applyFont="1" applyBorder="1" applyAlignment="1">
      <alignment horizontal="left"/>
    </xf>
    <xf numFmtId="0" fontId="24" fillId="7" borderId="36" xfId="0" applyFont="1" applyFill="1" applyBorder="1" applyAlignment="1">
      <alignment horizontal="left"/>
    </xf>
    <xf numFmtId="0" fontId="24" fillId="3" borderId="31" xfId="0" applyFont="1" applyFill="1" applyBorder="1" applyAlignment="1">
      <alignment horizontal="left" vertical="top"/>
    </xf>
    <xf numFmtId="0" fontId="24" fillId="0" borderId="33" xfId="0" applyFont="1" applyBorder="1" applyAlignment="1">
      <alignment horizontal="left"/>
    </xf>
    <xf numFmtId="0" fontId="24" fillId="9" borderId="31" xfId="0" applyFont="1" applyFill="1" applyBorder="1" applyAlignment="1">
      <alignment horizontal="left"/>
    </xf>
    <xf numFmtId="0" fontId="24" fillId="0" borderId="29" xfId="0" applyFont="1" applyBorder="1" applyAlignment="1">
      <alignment horizontal="left" vertical="top"/>
    </xf>
    <xf numFmtId="0" fontId="24" fillId="0" borderId="31" xfId="0" applyFont="1" applyBorder="1" applyAlignment="1">
      <alignment horizontal="left"/>
    </xf>
    <xf numFmtId="0" fontId="24" fillId="9" borderId="31" xfId="0" applyFont="1" applyFill="1" applyBorder="1" applyAlignment="1">
      <alignment horizontal="left" vertical="top"/>
    </xf>
    <xf numFmtId="0" fontId="24" fillId="10" borderId="36" xfId="0" applyFont="1" applyFill="1" applyBorder="1" applyAlignment="1">
      <alignment horizontal="left" vertical="top"/>
    </xf>
    <xf numFmtId="0" fontId="24" fillId="7" borderId="36" xfId="0" applyFont="1" applyFill="1" applyBorder="1" applyAlignment="1">
      <alignment horizontal="left" vertical="top"/>
    </xf>
    <xf numFmtId="0" fontId="24" fillId="10" borderId="36" xfId="0" applyFont="1" applyFill="1" applyBorder="1" applyAlignment="1">
      <alignment horizontal="left"/>
    </xf>
    <xf numFmtId="0" fontId="24" fillId="0" borderId="31" xfId="0" applyFont="1" applyBorder="1" applyAlignment="1">
      <alignment horizontal="left" vertical="top"/>
    </xf>
    <xf numFmtId="0" fontId="24" fillId="0" borderId="36" xfId="0" applyFont="1" applyBorder="1" applyAlignment="1">
      <alignment horizontal="left" vertical="top"/>
    </xf>
    <xf numFmtId="0" fontId="24" fillId="0" borderId="39" xfId="0" applyFont="1" applyBorder="1" applyAlignment="1">
      <alignment horizontal="left" vertical="top" wrapText="1"/>
    </xf>
    <xf numFmtId="166" fontId="24" fillId="0" borderId="40" xfId="0" applyNumberFormat="1" applyFont="1" applyBorder="1" applyAlignment="1">
      <alignment horizontal="center" vertical="top"/>
    </xf>
    <xf numFmtId="1" fontId="0" fillId="0" borderId="0" xfId="0" applyNumberFormat="1"/>
    <xf numFmtId="2" fontId="0" fillId="9" borderId="1" xfId="0" applyNumberFormat="1" applyFill="1" applyBorder="1"/>
    <xf numFmtId="2" fontId="0" fillId="9" borderId="1" xfId="0" applyNumberFormat="1" applyFill="1" applyBorder="1" applyAlignment="1">
      <alignment wrapText="1"/>
    </xf>
    <xf numFmtId="2" fontId="0" fillId="0" borderId="41" xfId="0" applyNumberFormat="1" applyBorder="1"/>
    <xf numFmtId="2" fontId="20" fillId="0" borderId="2" xfId="0" applyNumberFormat="1" applyFont="1" applyBorder="1"/>
    <xf numFmtId="0" fontId="0" fillId="0" borderId="0" xfId="0" applyAlignment="1">
      <alignment horizontal="center"/>
    </xf>
    <xf numFmtId="0" fontId="0" fillId="0" borderId="42" xfId="0" applyBorder="1" applyAlignment="1">
      <alignment horizontal="left" vertical="center" wrapText="1"/>
    </xf>
    <xf numFmtId="0" fontId="0" fillId="0" borderId="42" xfId="0" applyBorder="1" applyAlignment="1">
      <alignment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2" xfId="0" applyBorder="1" applyAlignment="1">
      <alignment horizontal="left"/>
    </xf>
    <xf numFmtId="0" fontId="0" fillId="0" borderId="1" xfId="0" applyBorder="1" applyAlignment="1">
      <alignment horizontal="left"/>
    </xf>
    <xf numFmtId="0" fontId="28" fillId="0" borderId="1" xfId="0" applyFont="1" applyBorder="1" applyAlignment="1">
      <alignment horizontal="center" vertical="center" wrapText="1"/>
    </xf>
    <xf numFmtId="0" fontId="0" fillId="0" borderId="1" xfId="2" applyFont="1" applyBorder="1" applyAlignment="1">
      <alignment horizontal="left" vertical="center" wrapText="1"/>
    </xf>
    <xf numFmtId="0" fontId="0" fillId="0" borderId="1" xfId="2" applyFont="1" applyBorder="1" applyAlignment="1">
      <alignment horizontal="center" vertical="center" wrapText="1"/>
    </xf>
    <xf numFmtId="0" fontId="0" fillId="0" borderId="12" xfId="2" applyFont="1" applyBorder="1" applyAlignment="1">
      <alignment horizontal="left" vertical="center" wrapText="1"/>
    </xf>
    <xf numFmtId="0" fontId="0" fillId="0" borderId="12" xfId="2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2" xfId="2" applyFont="1" applyBorder="1" applyAlignment="1">
      <alignment vertical="center" wrapText="1"/>
    </xf>
    <xf numFmtId="0" fontId="0" fillId="0" borderId="42" xfId="2" applyFont="1" applyBorder="1" applyAlignment="1">
      <alignment horizontal="left" vertical="center" wrapText="1"/>
    </xf>
    <xf numFmtId="0" fontId="0" fillId="0" borderId="42" xfId="2" applyFont="1" applyBorder="1" applyAlignment="1">
      <alignment horizontal="center" vertical="center" wrapText="1"/>
    </xf>
    <xf numFmtId="0" fontId="0" fillId="0" borderId="1" xfId="2" applyFont="1" applyBorder="1" applyAlignment="1">
      <alignment vertical="center" wrapText="1"/>
    </xf>
    <xf numFmtId="0" fontId="0" fillId="0" borderId="48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12" fillId="0" borderId="1" xfId="2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42" xfId="0" applyBorder="1"/>
    <xf numFmtId="0" fontId="0" fillId="0" borderId="45" xfId="0" applyBorder="1" applyAlignment="1">
      <alignment horizontal="center" vertical="center" wrapText="1"/>
    </xf>
    <xf numFmtId="0" fontId="0" fillId="0" borderId="8" xfId="2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2" fontId="0" fillId="2" borderId="6" xfId="0" applyNumberFormat="1" applyFill="1" applyBorder="1"/>
    <xf numFmtId="2" fontId="0" fillId="0" borderId="18" xfId="0" applyNumberFormat="1" applyBorder="1" applyAlignment="1">
      <alignment wrapText="1"/>
    </xf>
    <xf numFmtId="0" fontId="7" fillId="2" borderId="6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165" fontId="22" fillId="2" borderId="1" xfId="0" applyNumberFormat="1" applyFont="1" applyFill="1" applyBorder="1"/>
    <xf numFmtId="2" fontId="0" fillId="2" borderId="1" xfId="0" applyNumberFormat="1" applyFill="1" applyBorder="1" applyAlignment="1">
      <alignment wrapText="1"/>
    </xf>
    <xf numFmtId="2" fontId="0" fillId="2" borderId="0" xfId="0" applyNumberFormat="1" applyFill="1"/>
    <xf numFmtId="0" fontId="0" fillId="0" borderId="0" xfId="0" applyAlignment="1">
      <alignment wrapText="1"/>
    </xf>
    <xf numFmtId="0" fontId="0" fillId="0" borderId="8" xfId="0" applyBorder="1" applyAlignment="1">
      <alignment horizontal="right"/>
    </xf>
    <xf numFmtId="0" fontId="0" fillId="0" borderId="8" xfId="0" applyBorder="1"/>
    <xf numFmtId="0" fontId="0" fillId="0" borderId="12" xfId="0" applyBorder="1"/>
    <xf numFmtId="0" fontId="0" fillId="0" borderId="46" xfId="0" applyBorder="1"/>
    <xf numFmtId="0" fontId="0" fillId="2" borderId="12" xfId="0" applyFill="1" applyBorder="1"/>
    <xf numFmtId="1" fontId="0" fillId="2" borderId="0" xfId="0" applyNumberFormat="1" applyFill="1"/>
    <xf numFmtId="2" fontId="0" fillId="2" borderId="1" xfId="0" applyNumberFormat="1" applyFill="1" applyBorder="1" applyAlignment="1">
      <alignment horizontal="center"/>
    </xf>
    <xf numFmtId="165" fontId="22" fillId="2" borderId="6" xfId="0" applyNumberFormat="1" applyFont="1" applyFill="1" applyBorder="1"/>
    <xf numFmtId="2" fontId="0" fillId="2" borderId="6" xfId="0" applyNumberFormat="1" applyFill="1" applyBorder="1" applyAlignment="1">
      <alignment wrapText="1"/>
    </xf>
    <xf numFmtId="2" fontId="0" fillId="2" borderId="7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2" fontId="0" fillId="2" borderId="6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/>
    <xf numFmtId="0" fontId="17" fillId="2" borderId="1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wrapText="1"/>
    </xf>
    <xf numFmtId="167" fontId="0" fillId="2" borderId="0" xfId="0" applyNumberFormat="1" applyFill="1"/>
    <xf numFmtId="2" fontId="22" fillId="2" borderId="0" xfId="0" applyNumberFormat="1" applyFont="1" applyFill="1"/>
    <xf numFmtId="2" fontId="0" fillId="2" borderId="0" xfId="0" applyNumberFormat="1" applyFill="1" applyAlignment="1">
      <alignment wrapText="1"/>
    </xf>
    <xf numFmtId="2" fontId="19" fillId="0" borderId="0" xfId="0" applyNumberFormat="1" applyFont="1"/>
    <xf numFmtId="165" fontId="0" fillId="2" borderId="7" xfId="0" applyNumberFormat="1" applyFill="1" applyBorder="1" applyAlignment="1">
      <alignment horizontal="right" wrapText="1"/>
    </xf>
    <xf numFmtId="2" fontId="31" fillId="2" borderId="1" xfId="0" applyNumberFormat="1" applyFont="1" applyFill="1" applyBorder="1" applyAlignment="1">
      <alignment wrapText="1"/>
    </xf>
    <xf numFmtId="2" fontId="31" fillId="2" borderId="1" xfId="0" applyNumberFormat="1" applyFont="1" applyFill="1" applyBorder="1"/>
    <xf numFmtId="2" fontId="0" fillId="2" borderId="7" xfId="0" applyNumberFormat="1" applyFill="1" applyBorder="1" applyAlignment="1">
      <alignment horizontal="center" wrapText="1"/>
    </xf>
    <xf numFmtId="165" fontId="20" fillId="4" borderId="49" xfId="0" applyNumberFormat="1" applyFont="1" applyFill="1" applyBorder="1" applyAlignment="1">
      <alignment horizontal="center"/>
    </xf>
    <xf numFmtId="165" fontId="20" fillId="4" borderId="23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5" xfId="0" applyNumberFormat="1" applyBorder="1" applyAlignment="1">
      <alignment horizontal="center" wrapText="1"/>
    </xf>
    <xf numFmtId="2" fontId="0" fillId="0" borderId="0" xfId="0" applyNumberFormat="1" applyAlignment="1">
      <alignment horizontal="center"/>
    </xf>
    <xf numFmtId="2" fontId="0" fillId="0" borderId="7" xfId="0" applyNumberFormat="1" applyBorder="1" applyAlignment="1">
      <alignment horizontal="center"/>
    </xf>
    <xf numFmtId="2" fontId="20" fillId="0" borderId="1" xfId="0" applyNumberFormat="1" applyFont="1" applyBorder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" fillId="2" borderId="1" xfId="0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 wrapText="1"/>
    </xf>
    <xf numFmtId="165" fontId="0" fillId="4" borderId="1" xfId="0" applyNumberForma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 vertical="center"/>
    </xf>
    <xf numFmtId="165" fontId="0" fillId="2" borderId="0" xfId="0" applyNumberFormat="1" applyFill="1" applyAlignment="1">
      <alignment horizontal="center"/>
    </xf>
    <xf numFmtId="165" fontId="29" fillId="0" borderId="0" xfId="0" applyNumberFormat="1" applyFont="1" applyAlignment="1">
      <alignment horizontal="center"/>
    </xf>
    <xf numFmtId="165" fontId="30" fillId="0" borderId="0" xfId="0" applyNumberFormat="1" applyFont="1" applyAlignment="1">
      <alignment horizontal="center"/>
    </xf>
    <xf numFmtId="2" fontId="20" fillId="7" borderId="0" xfId="0" applyNumberFormat="1" applyFont="1" applyFill="1" applyAlignment="1">
      <alignment horizontal="center" wrapText="1"/>
    </xf>
    <xf numFmtId="0" fontId="20" fillId="7" borderId="0" xfId="0" applyFont="1" applyFill="1" applyAlignment="1">
      <alignment horizontal="center" wrapText="1"/>
    </xf>
    <xf numFmtId="0" fontId="4" fillId="7" borderId="0" xfId="0" applyFont="1" applyFill="1" applyAlignment="1">
      <alignment horizontal="center" wrapText="1"/>
    </xf>
    <xf numFmtId="165" fontId="0" fillId="0" borderId="18" xfId="0" applyNumberFormat="1" applyBorder="1" applyAlignment="1">
      <alignment horizontal="center" wrapText="1"/>
    </xf>
    <xf numFmtId="165" fontId="0" fillId="2" borderId="2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 wrapText="1"/>
    </xf>
    <xf numFmtId="165" fontId="20" fillId="4" borderId="1" xfId="0" applyNumberFormat="1" applyFont="1" applyFill="1" applyBorder="1" applyAlignment="1">
      <alignment horizontal="center"/>
    </xf>
    <xf numFmtId="165" fontId="32" fillId="2" borderId="1" xfId="0" applyNumberFormat="1" applyFont="1" applyFill="1" applyBorder="1" applyAlignment="1">
      <alignment horizontal="center"/>
    </xf>
    <xf numFmtId="165" fontId="20" fillId="2" borderId="1" xfId="0" applyNumberFormat="1" applyFont="1" applyFill="1" applyBorder="1" applyAlignment="1">
      <alignment horizontal="center"/>
    </xf>
    <xf numFmtId="165" fontId="0" fillId="0" borderId="6" xfId="0" applyNumberFormat="1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  <xf numFmtId="165" fontId="0" fillId="2" borderId="1" xfId="0" applyNumberFormat="1" applyFill="1" applyBorder="1" applyAlignment="1">
      <alignment horizontal="center" wrapText="1"/>
    </xf>
    <xf numFmtId="2" fontId="19" fillId="0" borderId="1" xfId="0" applyNumberFormat="1" applyFont="1" applyBorder="1" applyAlignment="1">
      <alignment horizontal="center" wrapText="1"/>
    </xf>
    <xf numFmtId="165" fontId="19" fillId="4" borderId="1" xfId="0" applyNumberFormat="1" applyFont="1" applyFill="1" applyBorder="1" applyAlignment="1">
      <alignment horizontal="center"/>
    </xf>
    <xf numFmtId="2" fontId="19" fillId="0" borderId="1" xfId="0" applyNumberFormat="1" applyFont="1" applyBorder="1"/>
    <xf numFmtId="165" fontId="19" fillId="2" borderId="1" xfId="0" applyNumberFormat="1" applyFont="1" applyFill="1" applyBorder="1" applyAlignment="1">
      <alignment horizontal="center"/>
    </xf>
    <xf numFmtId="2" fontId="20" fillId="0" borderId="9" xfId="0" applyNumberFormat="1" applyFont="1" applyBorder="1"/>
    <xf numFmtId="2" fontId="0" fillId="2" borderId="1" xfId="0" applyNumberForma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1" fontId="0" fillId="2" borderId="1" xfId="0" applyNumberFormat="1" applyFill="1" applyBorder="1"/>
    <xf numFmtId="2" fontId="0" fillId="2" borderId="1" xfId="0" applyNumberFormat="1" applyFill="1" applyBorder="1" applyAlignment="1">
      <alignment horizontal="right"/>
    </xf>
    <xf numFmtId="1" fontId="0" fillId="2" borderId="6" xfId="0" applyNumberFormat="1" applyFill="1" applyBorder="1"/>
    <xf numFmtId="0" fontId="11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7" fontId="7" fillId="2" borderId="1" xfId="0" applyNumberFormat="1" applyFont="1" applyFill="1" applyBorder="1" applyAlignment="1">
      <alignment horizontal="center" vertical="center" wrapText="1"/>
    </xf>
    <xf numFmtId="167" fontId="7" fillId="2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2" fillId="2" borderId="1" xfId="0" applyNumberFormat="1" applyFont="1" applyFill="1" applyBorder="1"/>
    <xf numFmtId="0" fontId="2" fillId="2" borderId="0" xfId="0" applyFont="1" applyFill="1"/>
    <xf numFmtId="0" fontId="35" fillId="2" borderId="1" xfId="0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7" fillId="2" borderId="1" xfId="0" applyNumberFormat="1" applyFont="1" applyFill="1" applyBorder="1" applyAlignment="1">
      <alignment wrapText="1"/>
    </xf>
    <xf numFmtId="9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2" fontId="2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right" vertical="center" wrapText="1"/>
    </xf>
    <xf numFmtId="164" fontId="2" fillId="2" borderId="1" xfId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65" fontId="37" fillId="2" borderId="1" xfId="0" applyNumberFormat="1" applyFont="1" applyFill="1" applyBorder="1"/>
    <xf numFmtId="0" fontId="35" fillId="2" borderId="1" xfId="0" applyFont="1" applyFill="1" applyBorder="1"/>
    <xf numFmtId="165" fontId="2" fillId="2" borderId="0" xfId="0" applyNumberFormat="1" applyFont="1" applyFill="1"/>
    <xf numFmtId="0" fontId="2" fillId="2" borderId="0" xfId="0" applyFont="1" applyFill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7" fillId="2" borderId="1" xfId="0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 wrapText="1"/>
    </xf>
    <xf numFmtId="165" fontId="2" fillId="2" borderId="14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wrapText="1"/>
    </xf>
    <xf numFmtId="0" fontId="0" fillId="0" borderId="6" xfId="2" applyFont="1" applyBorder="1" applyAlignment="1">
      <alignment horizontal="center" vertical="center" wrapText="1"/>
    </xf>
    <xf numFmtId="2" fontId="22" fillId="4" borderId="1" xfId="0" applyNumberFormat="1" applyFont="1" applyFill="1" applyBorder="1"/>
    <xf numFmtId="2" fontId="22" fillId="4" borderId="17" xfId="0" applyNumberFormat="1" applyFont="1" applyFill="1" applyBorder="1"/>
    <xf numFmtId="2" fontId="22" fillId="4" borderId="0" xfId="0" applyNumberFormat="1" applyFont="1" applyFill="1"/>
    <xf numFmtId="2" fontId="22" fillId="4" borderId="6" xfId="0" applyNumberFormat="1" applyFont="1" applyFill="1" applyBorder="1"/>
    <xf numFmtId="2" fontId="40" fillId="0" borderId="0" xfId="0" applyNumberFormat="1" applyFont="1"/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" fontId="0" fillId="11" borderId="0" xfId="0" applyNumberFormat="1" applyFill="1"/>
    <xf numFmtId="1" fontId="0" fillId="2" borderId="1" xfId="0" applyNumberFormat="1" applyFill="1" applyBorder="1" applyAlignment="1">
      <alignment horizontal="center"/>
    </xf>
    <xf numFmtId="165" fontId="22" fillId="2" borderId="1" xfId="0" applyNumberFormat="1" applyFont="1" applyFill="1" applyBorder="1" applyAlignment="1">
      <alignment horizontal="right"/>
    </xf>
    <xf numFmtId="2" fontId="29" fillId="4" borderId="0" xfId="0" applyNumberFormat="1" applyFont="1" applyFill="1" applyAlignment="1">
      <alignment horizont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3" fillId="0" borderId="53" xfId="0" applyNumberFormat="1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54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22" fillId="4" borderId="5" xfId="0" applyNumberFormat="1" applyFont="1" applyFill="1" applyBorder="1" applyAlignment="1">
      <alignment horizontal="center" vertical="center" wrapText="1"/>
    </xf>
    <xf numFmtId="2" fontId="22" fillId="0" borderId="5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0" fillId="2" borderId="7" xfId="0" applyNumberForma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2" fontId="22" fillId="4" borderId="7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left" wrapText="1"/>
    </xf>
    <xf numFmtId="0" fontId="13" fillId="2" borderId="14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2" fontId="0" fillId="2" borderId="5" xfId="0" applyNumberFormat="1" applyFill="1" applyBorder="1" applyAlignment="1">
      <alignment horizontal="center" vertical="center" wrapText="1"/>
    </xf>
    <xf numFmtId="2" fontId="22" fillId="2" borderId="5" xfId="0" applyNumberFormat="1" applyFont="1" applyFill="1" applyBorder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 wrapText="1"/>
    </xf>
    <xf numFmtId="2" fontId="22" fillId="0" borderId="7" xfId="0" applyNumberFormat="1" applyFont="1" applyBorder="1" applyAlignment="1">
      <alignment horizontal="center" vertical="center" wrapText="1"/>
    </xf>
    <xf numFmtId="2" fontId="22" fillId="2" borderId="7" xfId="0" applyNumberFormat="1" applyFont="1" applyFill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49" fillId="0" borderId="12" xfId="4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6" fillId="0" borderId="46" xfId="0" applyFont="1" applyBorder="1" applyAlignment="1">
      <alignment horizontal="center" vertical="center" wrapText="1"/>
    </xf>
    <xf numFmtId="0" fontId="0" fillId="0" borderId="3" xfId="0" applyBorder="1"/>
    <xf numFmtId="0" fontId="36" fillId="0" borderId="46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wrapText="1"/>
    </xf>
    <xf numFmtId="49" fontId="3" fillId="0" borderId="64" xfId="0" applyNumberFormat="1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50" fillId="4" borderId="42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50" fillId="4" borderId="12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 wrapText="1"/>
    </xf>
    <xf numFmtId="0" fontId="22" fillId="0" borderId="0" xfId="0" applyFont="1"/>
    <xf numFmtId="0" fontId="42" fillId="0" borderId="0" xfId="0" applyFont="1" applyAlignment="1">
      <alignment horizontal="center"/>
    </xf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2" fontId="2" fillId="2" borderId="6" xfId="0" applyNumberFormat="1" applyFont="1" applyFill="1" applyBorder="1"/>
    <xf numFmtId="0" fontId="2" fillId="2" borderId="6" xfId="0" applyFont="1" applyFill="1" applyBorder="1"/>
    <xf numFmtId="2" fontId="2" fillId="0" borderId="0" xfId="0" applyNumberFormat="1" applyFont="1"/>
    <xf numFmtId="0" fontId="16" fillId="2" borderId="1" xfId="0" applyFont="1" applyFill="1" applyBorder="1" applyAlignment="1">
      <alignment horizontal="left" wrapText="1"/>
    </xf>
    <xf numFmtId="1" fontId="0" fillId="2" borderId="1" xfId="0" applyNumberForma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9" fillId="0" borderId="6" xfId="4" applyFill="1" applyBorder="1" applyAlignment="1">
      <alignment horizontal="center" vertical="center" wrapText="1"/>
    </xf>
    <xf numFmtId="49" fontId="3" fillId="0" borderId="58" xfId="0" applyNumberFormat="1" applyFont="1" applyBorder="1" applyAlignment="1">
      <alignment horizontal="center" vertical="center" wrapText="1"/>
    </xf>
    <xf numFmtId="0" fontId="49" fillId="0" borderId="42" xfId="4" applyFill="1" applyBorder="1" applyAlignment="1">
      <alignment horizontal="center" vertical="center" wrapText="1"/>
    </xf>
    <xf numFmtId="0" fontId="49" fillId="0" borderId="1" xfId="4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2" fontId="0" fillId="2" borderId="6" xfId="0" applyNumberFormat="1" applyFill="1" applyBorder="1" applyAlignment="1">
      <alignment horizontal="center" vertical="center"/>
    </xf>
    <xf numFmtId="0" fontId="36" fillId="0" borderId="27" xfId="0" applyFont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 wrapText="1"/>
    </xf>
    <xf numFmtId="14" fontId="13" fillId="2" borderId="7" xfId="0" applyNumberFormat="1" applyFont="1" applyFill="1" applyBorder="1" applyAlignment="1">
      <alignment horizontal="center" vertical="center" wrapText="1"/>
    </xf>
    <xf numFmtId="2" fontId="22" fillId="2" borderId="17" xfId="0" applyNumberFormat="1" applyFont="1" applyFill="1" applyBorder="1"/>
    <xf numFmtId="2" fontId="0" fillId="2" borderId="1" xfId="0" applyNumberFormat="1" applyFill="1" applyBorder="1" applyAlignment="1">
      <alignment horizontal="right" vertical="center"/>
    </xf>
    <xf numFmtId="2" fontId="22" fillId="4" borderId="1" xfId="0" applyNumberFormat="1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2" fontId="0" fillId="2" borderId="0" xfId="0" applyNumberFormat="1" applyFill="1" applyAlignment="1">
      <alignment horizontal="center"/>
    </xf>
    <xf numFmtId="2" fontId="16" fillId="2" borderId="1" xfId="0" applyNumberFormat="1" applyFont="1" applyFill="1" applyBorder="1"/>
    <xf numFmtId="49" fontId="16" fillId="2" borderId="1" xfId="0" applyNumberFormat="1" applyFont="1" applyFill="1" applyBorder="1"/>
    <xf numFmtId="49" fontId="13" fillId="2" borderId="1" xfId="0" applyNumberFormat="1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6" fillId="0" borderId="1" xfId="0" applyFont="1" applyBorder="1" applyAlignment="1">
      <alignment horizontal="left"/>
    </xf>
    <xf numFmtId="2" fontId="16" fillId="0" borderId="1" xfId="0" applyNumberFormat="1" applyFont="1" applyBorder="1" applyAlignment="1">
      <alignment wrapText="1"/>
    </xf>
    <xf numFmtId="2" fontId="16" fillId="2" borderId="1" xfId="0" applyNumberFormat="1" applyFont="1" applyFill="1" applyBorder="1" applyAlignment="1">
      <alignment wrapText="1"/>
    </xf>
    <xf numFmtId="2" fontId="16" fillId="0" borderId="0" xfId="0" applyNumberFormat="1" applyFont="1" applyAlignment="1">
      <alignment wrapText="1"/>
    </xf>
    <xf numFmtId="0" fontId="16" fillId="0" borderId="0" xfId="0" applyFont="1"/>
    <xf numFmtId="2" fontId="16" fillId="0" borderId="0" xfId="0" applyNumberFormat="1" applyFont="1"/>
    <xf numFmtId="2" fontId="16" fillId="0" borderId="19" xfId="0" applyNumberFormat="1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left" vertical="center" wrapText="1"/>
    </xf>
    <xf numFmtId="2" fontId="16" fillId="2" borderId="19" xfId="0" applyNumberFormat="1" applyFont="1" applyFill="1" applyBorder="1" applyAlignment="1">
      <alignment horizontal="center" vertical="center" wrapText="1"/>
    </xf>
    <xf numFmtId="2" fontId="16" fillId="0" borderId="14" xfId="0" applyNumberFormat="1" applyFont="1" applyBorder="1" applyAlignment="1">
      <alignment wrapText="1"/>
    </xf>
    <xf numFmtId="2" fontId="16" fillId="0" borderId="7" xfId="0" applyNumberFormat="1" applyFont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wrapText="1"/>
    </xf>
    <xf numFmtId="0" fontId="16" fillId="0" borderId="18" xfId="0" applyFont="1" applyBorder="1" applyAlignment="1">
      <alignment wrapText="1"/>
    </xf>
    <xf numFmtId="0" fontId="16" fillId="0" borderId="14" xfId="0" applyFont="1" applyBorder="1" applyAlignment="1">
      <alignment wrapText="1"/>
    </xf>
    <xf numFmtId="2" fontId="16" fillId="2" borderId="1" xfId="0" applyNumberFormat="1" applyFont="1" applyFill="1" applyBorder="1" applyAlignment="1">
      <alignment horizontal="left" wrapText="1"/>
    </xf>
    <xf numFmtId="2" fontId="16" fillId="0" borderId="18" xfId="0" applyNumberFormat="1" applyFont="1" applyBorder="1" applyAlignment="1">
      <alignment wrapText="1"/>
    </xf>
    <xf numFmtId="2" fontId="16" fillId="0" borderId="7" xfId="0" applyNumberFormat="1" applyFont="1" applyBorder="1" applyAlignment="1">
      <alignment horizontal="left" vertical="center" wrapText="1"/>
    </xf>
    <xf numFmtId="2" fontId="16" fillId="2" borderId="6" xfId="0" applyNumberFormat="1" applyFont="1" applyFill="1" applyBorder="1" applyAlignment="1">
      <alignment wrapText="1"/>
    </xf>
    <xf numFmtId="2" fontId="16" fillId="2" borderId="2" xfId="0" applyNumberFormat="1" applyFont="1" applyFill="1" applyBorder="1" applyAlignment="1">
      <alignment wrapText="1"/>
    </xf>
    <xf numFmtId="0" fontId="16" fillId="2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2" fontId="16" fillId="0" borderId="6" xfId="0" applyNumberFormat="1" applyFont="1" applyBorder="1" applyAlignment="1">
      <alignment wrapText="1"/>
    </xf>
    <xf numFmtId="2" fontId="16" fillId="0" borderId="1" xfId="0" applyNumberFormat="1" applyFont="1" applyBorder="1" applyAlignment="1">
      <alignment horizontal="left" vertical="center" wrapText="1"/>
    </xf>
    <xf numFmtId="2" fontId="16" fillId="0" borderId="6" xfId="0" applyNumberFormat="1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wrapText="1"/>
    </xf>
    <xf numFmtId="0" fontId="16" fillId="2" borderId="6" xfId="0" applyFont="1" applyFill="1" applyBorder="1" applyAlignment="1">
      <alignment horizontal="left" wrapText="1"/>
    </xf>
    <xf numFmtId="0" fontId="16" fillId="0" borderId="5" xfId="0" applyFont="1" applyBorder="1" applyAlignment="1">
      <alignment horizontal="center" vertical="center" wrapText="1"/>
    </xf>
    <xf numFmtId="2" fontId="16" fillId="2" borderId="7" xfId="0" applyNumberFormat="1" applyFont="1" applyFill="1" applyBorder="1" applyAlignment="1">
      <alignment horizontal="center" wrapText="1"/>
    </xf>
    <xf numFmtId="0" fontId="16" fillId="2" borderId="5" xfId="0" applyFont="1" applyFill="1" applyBorder="1" applyAlignment="1">
      <alignment horizontal="center" vertical="center" wrapText="1"/>
    </xf>
    <xf numFmtId="2" fontId="16" fillId="0" borderId="1" xfId="0" applyNumberFormat="1" applyFont="1" applyBorder="1"/>
    <xf numFmtId="2" fontId="16" fillId="0" borderId="5" xfId="0" applyNumberFormat="1" applyFont="1" applyBorder="1" applyAlignment="1">
      <alignment horizontal="center" vertical="center"/>
    </xf>
    <xf numFmtId="2" fontId="13" fillId="2" borderId="1" xfId="0" applyNumberFormat="1" applyFont="1" applyFill="1" applyBorder="1"/>
    <xf numFmtId="2" fontId="16" fillId="2" borderId="1" xfId="0" applyNumberFormat="1" applyFont="1" applyFill="1" applyBorder="1" applyAlignment="1">
      <alignment horizontal="left" vertical="center"/>
    </xf>
    <xf numFmtId="2" fontId="16" fillId="0" borderId="17" xfId="0" applyNumberFormat="1" applyFont="1" applyBorder="1"/>
    <xf numFmtId="2" fontId="16" fillId="2" borderId="5" xfId="0" applyNumberFormat="1" applyFont="1" applyFill="1" applyBorder="1" applyAlignment="1">
      <alignment horizontal="center" vertical="center"/>
    </xf>
    <xf numFmtId="2" fontId="16" fillId="9" borderId="1" xfId="0" applyNumberFormat="1" applyFont="1" applyFill="1" applyBorder="1"/>
    <xf numFmtId="2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2" borderId="1" xfId="0" applyFont="1" applyFill="1" applyBorder="1"/>
    <xf numFmtId="0" fontId="16" fillId="2" borderId="6" xfId="0" applyFont="1" applyFill="1" applyBorder="1"/>
    <xf numFmtId="0" fontId="16" fillId="0" borderId="17" xfId="0" applyFont="1" applyBorder="1"/>
    <xf numFmtId="2" fontId="16" fillId="2" borderId="1" xfId="0" applyNumberFormat="1" applyFont="1" applyFill="1" applyBorder="1" applyAlignment="1">
      <alignment horizontal="center"/>
    </xf>
    <xf numFmtId="2" fontId="16" fillId="2" borderId="6" xfId="0" applyNumberFormat="1" applyFont="1" applyFill="1" applyBorder="1"/>
    <xf numFmtId="2" fontId="55" fillId="2" borderId="1" xfId="4" applyNumberFormat="1" applyFont="1" applyFill="1" applyBorder="1" applyAlignment="1">
      <alignment horizontal="left" vertical="center" wrapText="1"/>
    </xf>
    <xf numFmtId="0" fontId="16" fillId="0" borderId="17" xfId="0" applyFont="1" applyBorder="1" applyAlignment="1">
      <alignment wrapText="1"/>
    </xf>
    <xf numFmtId="0" fontId="16" fillId="2" borderId="3" xfId="0" applyFont="1" applyFill="1" applyBorder="1" applyAlignment="1">
      <alignment wrapText="1"/>
    </xf>
    <xf numFmtId="2" fontId="16" fillId="2" borderId="6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wrapText="1"/>
    </xf>
    <xf numFmtId="0" fontId="16" fillId="2" borderId="1" xfId="0" applyFont="1" applyFill="1" applyBorder="1" applyAlignment="1">
      <alignment horizontal="center"/>
    </xf>
    <xf numFmtId="2" fontId="16" fillId="0" borderId="2" xfId="0" applyNumberFormat="1" applyFont="1" applyBorder="1"/>
    <xf numFmtId="2" fontId="16" fillId="2" borderId="7" xfId="0" applyNumberFormat="1" applyFont="1" applyFill="1" applyBorder="1" applyAlignment="1">
      <alignment horizontal="left" wrapText="1"/>
    </xf>
    <xf numFmtId="2" fontId="16" fillId="2" borderId="6" xfId="0" applyNumberFormat="1" applyFont="1" applyFill="1" applyBorder="1" applyAlignment="1">
      <alignment vertical="center" wrapText="1"/>
    </xf>
    <xf numFmtId="0" fontId="35" fillId="0" borderId="0" xfId="0" applyFont="1"/>
    <xf numFmtId="0" fontId="36" fillId="0" borderId="0" xfId="0" applyFont="1" applyAlignment="1">
      <alignment horizontal="center" vertical="center"/>
    </xf>
    <xf numFmtId="0" fontId="36" fillId="0" borderId="47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51" xfId="0" applyFont="1" applyBorder="1" applyAlignment="1">
      <alignment horizontal="right" vertical="center" wrapText="1"/>
    </xf>
    <xf numFmtId="0" fontId="22" fillId="0" borderId="1" xfId="0" applyFont="1" applyBorder="1"/>
    <xf numFmtId="0" fontId="35" fillId="0" borderId="27" xfId="0" applyFont="1" applyBorder="1" applyAlignment="1">
      <alignment vertical="center" wrapText="1"/>
    </xf>
    <xf numFmtId="165" fontId="32" fillId="4" borderId="47" xfId="0" applyNumberFormat="1" applyFont="1" applyFill="1" applyBorder="1"/>
    <xf numFmtId="2" fontId="16" fillId="2" borderId="14" xfId="0" applyNumberFormat="1" applyFont="1" applyFill="1" applyBorder="1" applyAlignment="1">
      <alignment horizontal="left" vertical="center" wrapText="1"/>
    </xf>
    <xf numFmtId="0" fontId="0" fillId="0" borderId="6" xfId="2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4" xfId="2" applyFont="1" applyBorder="1" applyAlignment="1">
      <alignment horizontal="center" vertical="center" wrapText="1"/>
    </xf>
    <xf numFmtId="2" fontId="16" fillId="2" borderId="17" xfId="0" applyNumberFormat="1" applyFont="1" applyFill="1" applyBorder="1"/>
    <xf numFmtId="2" fontId="16" fillId="2" borderId="6" xfId="0" applyNumberFormat="1" applyFont="1" applyFill="1" applyBorder="1" applyAlignment="1">
      <alignment horizontal="center" vertical="center" wrapText="1"/>
    </xf>
    <xf numFmtId="2" fontId="22" fillId="4" borderId="1" xfId="0" applyNumberFormat="1" applyFont="1" applyFill="1" applyBorder="1" applyAlignment="1">
      <alignment horizontal="right"/>
    </xf>
    <xf numFmtId="2" fontId="22" fillId="4" borderId="7" xfId="0" applyNumberFormat="1" applyFont="1" applyFill="1" applyBorder="1" applyAlignment="1">
      <alignment horizontal="right" vertical="center" wrapText="1"/>
    </xf>
    <xf numFmtId="14" fontId="2" fillId="0" borderId="0" xfId="0" applyNumberFormat="1" applyFont="1"/>
    <xf numFmtId="0" fontId="16" fillId="2" borderId="1" xfId="0" applyFont="1" applyFill="1" applyBorder="1" applyAlignment="1">
      <alignment horizontal="center" wrapText="1"/>
    </xf>
    <xf numFmtId="2" fontId="16" fillId="2" borderId="1" xfId="0" applyNumberFormat="1" applyFont="1" applyFill="1" applyBorder="1" applyAlignment="1">
      <alignment horizontal="center" wrapText="1"/>
    </xf>
    <xf numFmtId="2" fontId="16" fillId="2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wrapText="1"/>
    </xf>
    <xf numFmtId="0" fontId="54" fillId="2" borderId="6" xfId="0" applyFont="1" applyFill="1" applyBorder="1" applyAlignment="1">
      <alignment wrapText="1"/>
    </xf>
    <xf numFmtId="0" fontId="54" fillId="2" borderId="6" xfId="0" applyFont="1" applyFill="1" applyBorder="1"/>
    <xf numFmtId="2" fontId="22" fillId="2" borderId="6" xfId="0" applyNumberFormat="1" applyFont="1" applyFill="1" applyBorder="1"/>
    <xf numFmtId="0" fontId="22" fillId="2" borderId="6" xfId="0" applyFont="1" applyFill="1" applyBorder="1" applyAlignment="1">
      <alignment horizontal="center"/>
    </xf>
    <xf numFmtId="165" fontId="22" fillId="2" borderId="1" xfId="0" applyNumberFormat="1" applyFont="1" applyFill="1" applyBorder="1" applyAlignment="1">
      <alignment horizontal="right" vertical="center"/>
    </xf>
    <xf numFmtId="2" fontId="2" fillId="2" borderId="0" xfId="0" applyNumberFormat="1" applyFont="1" applyFill="1"/>
    <xf numFmtId="2" fontId="16" fillId="2" borderId="1" xfId="0" applyNumberFormat="1" applyFont="1" applyFill="1" applyBorder="1" applyAlignment="1">
      <alignment horizontal="left"/>
    </xf>
    <xf numFmtId="2" fontId="16" fillId="0" borderId="18" xfId="0" applyNumberFormat="1" applyFont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1" fontId="0" fillId="2" borderId="6" xfId="0" applyNumberFormat="1" applyFill="1" applyBorder="1" applyAlignment="1">
      <alignment horizontal="right" vertical="center"/>
    </xf>
    <xf numFmtId="0" fontId="4" fillId="7" borderId="27" xfId="0" applyFont="1" applyFill="1" applyBorder="1" applyAlignment="1">
      <alignment vertical="center" wrapText="1"/>
    </xf>
    <xf numFmtId="2" fontId="20" fillId="7" borderId="27" xfId="0" applyNumberFormat="1" applyFont="1" applyFill="1" applyBorder="1" applyAlignment="1">
      <alignment vertical="center" wrapText="1"/>
    </xf>
    <xf numFmtId="0" fontId="20" fillId="7" borderId="27" xfId="0" applyFont="1" applyFill="1" applyBorder="1" applyAlignment="1">
      <alignment vertical="center" wrapText="1"/>
    </xf>
    <xf numFmtId="2" fontId="20" fillId="7" borderId="25" xfId="0" applyNumberFormat="1" applyFont="1" applyFill="1" applyBorder="1" applyAlignment="1">
      <alignment vertical="center" wrapText="1"/>
    </xf>
    <xf numFmtId="2" fontId="20" fillId="7" borderId="25" xfId="0" applyNumberFormat="1" applyFont="1" applyFill="1" applyBorder="1" applyAlignment="1">
      <alignment wrapText="1"/>
    </xf>
    <xf numFmtId="165" fontId="20" fillId="4" borderId="23" xfId="0" applyNumberFormat="1" applyFont="1" applyFill="1" applyBorder="1"/>
    <xf numFmtId="165" fontId="20" fillId="4" borderId="25" xfId="0" applyNumberFormat="1" applyFont="1" applyFill="1" applyBorder="1"/>
    <xf numFmtId="165" fontId="20" fillId="4" borderId="49" xfId="0" applyNumberFormat="1" applyFont="1" applyFill="1" applyBorder="1"/>
    <xf numFmtId="165" fontId="20" fillId="4" borderId="27" xfId="0" applyNumberFormat="1" applyFont="1" applyFill="1" applyBorder="1"/>
    <xf numFmtId="165" fontId="21" fillId="4" borderId="25" xfId="0" applyNumberFormat="1" applyFont="1" applyFill="1" applyBorder="1" applyAlignment="1">
      <alignment vertical="center"/>
    </xf>
    <xf numFmtId="165" fontId="41" fillId="4" borderId="24" xfId="0" applyNumberFormat="1" applyFont="1" applyFill="1" applyBorder="1" applyAlignment="1">
      <alignment vertical="center"/>
    </xf>
    <xf numFmtId="2" fontId="0" fillId="0" borderId="7" xfId="0" applyNumberFormat="1" applyBorder="1" applyAlignment="1">
      <alignment horizontal="right" vertical="center" wrapText="1"/>
    </xf>
    <xf numFmtId="165" fontId="20" fillId="4" borderId="47" xfId="0" applyNumberFormat="1" applyFont="1" applyFill="1" applyBorder="1"/>
    <xf numFmtId="14" fontId="2" fillId="0" borderId="1" xfId="0" applyNumberFormat="1" applyFont="1" applyBorder="1" applyAlignment="1">
      <alignment horizontal="center" vertical="center"/>
    </xf>
    <xf numFmtId="2" fontId="16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0" fillId="2" borderId="4" xfId="0" applyNumberFormat="1" applyFill="1" applyBorder="1"/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16" fillId="2" borderId="1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16" fillId="2" borderId="7" xfId="0" applyNumberFormat="1" applyFont="1" applyFill="1" applyBorder="1"/>
    <xf numFmtId="0" fontId="16" fillId="0" borderId="1" xfId="0" applyFont="1" applyBorder="1" applyAlignment="1">
      <alignment vertical="center" wrapText="1"/>
    </xf>
    <xf numFmtId="2" fontId="16" fillId="2" borderId="18" xfId="0" applyNumberFormat="1" applyFont="1" applyFill="1" applyBorder="1" applyAlignment="1">
      <alignment horizontal="left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/>
    </xf>
    <xf numFmtId="0" fontId="3" fillId="0" borderId="47" xfId="0" applyFont="1" applyBorder="1"/>
    <xf numFmtId="0" fontId="64" fillId="2" borderId="47" xfId="0" applyFont="1" applyFill="1" applyBorder="1" applyAlignment="1">
      <alignment vertical="center" wrapText="1"/>
    </xf>
    <xf numFmtId="0" fontId="36" fillId="2" borderId="47" xfId="0" applyFont="1" applyFill="1" applyBorder="1" applyAlignment="1">
      <alignment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0" fontId="35" fillId="0" borderId="1" xfId="0" applyFont="1" applyBorder="1"/>
    <xf numFmtId="0" fontId="35" fillId="0" borderId="1" xfId="0" applyFont="1" applyBorder="1" applyAlignment="1">
      <alignment horizontal="center"/>
    </xf>
    <xf numFmtId="168" fontId="20" fillId="4" borderId="23" xfId="0" applyNumberFormat="1" applyFont="1" applyFill="1" applyBorder="1"/>
    <xf numFmtId="169" fontId="2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center" wrapText="1"/>
    </xf>
    <xf numFmtId="169" fontId="16" fillId="2" borderId="1" xfId="0" applyNumberFormat="1" applyFont="1" applyFill="1" applyBorder="1" applyAlignment="1">
      <alignment horizontal="center"/>
    </xf>
    <xf numFmtId="14" fontId="39" fillId="0" borderId="0" xfId="0" applyNumberFormat="1" applyFont="1"/>
    <xf numFmtId="14" fontId="2" fillId="2" borderId="1" xfId="0" applyNumberFormat="1" applyFont="1" applyFill="1" applyBorder="1" applyAlignment="1">
      <alignment horizont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2" fontId="13" fillId="2" borderId="1" xfId="0" applyNumberFormat="1" applyFont="1" applyFill="1" applyBorder="1" applyAlignment="1">
      <alignment horizontal="right" vertical="center" wrapText="1"/>
    </xf>
    <xf numFmtId="14" fontId="13" fillId="2" borderId="1" xfId="0" applyNumberFormat="1" applyFont="1" applyFill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right" wrapText="1"/>
    </xf>
    <xf numFmtId="2" fontId="13" fillId="2" borderId="1" xfId="0" applyNumberFormat="1" applyFont="1" applyFill="1" applyBorder="1" applyAlignment="1">
      <alignment horizontal="right" wrapText="1"/>
    </xf>
    <xf numFmtId="14" fontId="13" fillId="2" borderId="1" xfId="0" applyNumberFormat="1" applyFont="1" applyFill="1" applyBorder="1" applyAlignment="1">
      <alignment horizontal="right" wrapText="1"/>
    </xf>
    <xf numFmtId="2" fontId="16" fillId="5" borderId="1" xfId="0" applyNumberFormat="1" applyFont="1" applyFill="1" applyBorder="1" applyAlignment="1">
      <alignment wrapText="1"/>
    </xf>
    <xf numFmtId="14" fontId="2" fillId="5" borderId="1" xfId="0" applyNumberFormat="1" applyFont="1" applyFill="1" applyBorder="1" applyAlignment="1">
      <alignment wrapText="1"/>
    </xf>
    <xf numFmtId="2" fontId="2" fillId="5" borderId="1" xfId="0" applyNumberFormat="1" applyFont="1" applyFill="1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14" fontId="13" fillId="2" borderId="1" xfId="0" applyNumberFormat="1" applyFont="1" applyFill="1" applyBorder="1" applyAlignment="1">
      <alignment horizontal="right" wrapText="1" indent="2"/>
    </xf>
    <xf numFmtId="14" fontId="16" fillId="0" borderId="1" xfId="0" applyNumberFormat="1" applyFont="1" applyBorder="1" applyAlignment="1">
      <alignment horizontal="right" wrapText="1" indent="2"/>
    </xf>
    <xf numFmtId="2" fontId="2" fillId="0" borderId="29" xfId="0" applyNumberFormat="1" applyFont="1" applyBorder="1" applyAlignment="1">
      <alignment wrapText="1"/>
    </xf>
    <xf numFmtId="2" fontId="2" fillId="0" borderId="42" xfId="0" applyNumberFormat="1" applyFont="1" applyBorder="1"/>
    <xf numFmtId="2" fontId="2" fillId="0" borderId="45" xfId="0" applyNumberFormat="1" applyFont="1" applyBorder="1"/>
    <xf numFmtId="2" fontId="2" fillId="0" borderId="31" xfId="0" applyNumberFormat="1" applyFont="1" applyBorder="1" applyAlignment="1">
      <alignment wrapText="1"/>
    </xf>
    <xf numFmtId="2" fontId="2" fillId="0" borderId="1" xfId="0" applyNumberFormat="1" applyFont="1" applyBorder="1"/>
    <xf numFmtId="2" fontId="2" fillId="0" borderId="8" xfId="0" applyNumberFormat="1" applyFont="1" applyBorder="1"/>
    <xf numFmtId="2" fontId="2" fillId="0" borderId="33" xfId="0" applyNumberFormat="1" applyFont="1" applyBorder="1"/>
    <xf numFmtId="2" fontId="2" fillId="0" borderId="12" xfId="0" applyNumberFormat="1" applyFont="1" applyBorder="1"/>
    <xf numFmtId="2" fontId="2" fillId="0" borderId="46" xfId="0" applyNumberFormat="1" applyFont="1" applyBorder="1"/>
    <xf numFmtId="2" fontId="2" fillId="0" borderId="6" xfId="0" applyNumberFormat="1" applyFont="1" applyBorder="1"/>
    <xf numFmtId="2" fontId="2" fillId="0" borderId="54" xfId="0" applyNumberFormat="1" applyFont="1" applyBorder="1"/>
    <xf numFmtId="2" fontId="35" fillId="0" borderId="1" xfId="0" applyNumberFormat="1" applyFont="1" applyBorder="1" applyAlignment="1">
      <alignment wrapText="1"/>
    </xf>
    <xf numFmtId="2" fontId="35" fillId="0" borderId="1" xfId="0" applyNumberFormat="1" applyFont="1" applyBorder="1"/>
    <xf numFmtId="2" fontId="22" fillId="4" borderId="6" xfId="0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0" fontId="13" fillId="0" borderId="1" xfId="0" applyFont="1" applyBorder="1" applyAlignment="1">
      <alignment horizontal="left" vertical="center" wrapText="1"/>
    </xf>
    <xf numFmtId="165" fontId="22" fillId="0" borderId="1" xfId="0" applyNumberFormat="1" applyFont="1" applyBorder="1"/>
    <xf numFmtId="165" fontId="22" fillId="0" borderId="6" xfId="0" applyNumberFormat="1" applyFont="1" applyBorder="1"/>
    <xf numFmtId="165" fontId="0" fillId="0" borderId="1" xfId="0" applyNumberFormat="1" applyBorder="1" applyAlignment="1">
      <alignment horizontal="right"/>
    </xf>
    <xf numFmtId="2" fontId="0" fillId="2" borderId="2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16" fillId="2" borderId="1" xfId="0" applyNumberFormat="1" applyFont="1" applyFill="1" applyBorder="1" applyAlignment="1">
      <alignment horizontal="center" vertical="center" wrapText="1"/>
    </xf>
    <xf numFmtId="2" fontId="21" fillId="4" borderId="1" xfId="0" applyNumberFormat="1" applyFont="1" applyFill="1" applyBorder="1" applyAlignment="1">
      <alignment horizontal="center" vertical="center"/>
    </xf>
    <xf numFmtId="2" fontId="20" fillId="7" borderId="23" xfId="0" applyNumberFormat="1" applyFont="1" applyFill="1" applyBorder="1" applyAlignment="1">
      <alignment horizontal="center" vertical="center" wrapText="1"/>
    </xf>
    <xf numFmtId="2" fontId="20" fillId="7" borderId="24" xfId="0" applyNumberFormat="1" applyFont="1" applyFill="1" applyBorder="1" applyAlignment="1">
      <alignment horizontal="center" vertical="center" wrapText="1"/>
    </xf>
    <xf numFmtId="2" fontId="20" fillId="7" borderId="20" xfId="0" applyNumberFormat="1" applyFont="1" applyFill="1" applyBorder="1" applyAlignment="1">
      <alignment horizontal="center" vertical="center" wrapText="1"/>
    </xf>
    <xf numFmtId="2" fontId="20" fillId="7" borderId="21" xfId="0" applyNumberFormat="1" applyFont="1" applyFill="1" applyBorder="1" applyAlignment="1">
      <alignment horizontal="center" vertical="center" wrapText="1"/>
    </xf>
    <xf numFmtId="2" fontId="20" fillId="7" borderId="22" xfId="0" applyNumberFormat="1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left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2" fontId="16" fillId="0" borderId="6" xfId="0" applyNumberFormat="1" applyFont="1" applyBorder="1" applyAlignment="1">
      <alignment horizontal="left" vertical="center" wrapText="1"/>
    </xf>
    <xf numFmtId="2" fontId="16" fillId="0" borderId="5" xfId="0" applyNumberFormat="1" applyFont="1" applyBorder="1" applyAlignment="1">
      <alignment horizontal="left" vertical="center" wrapText="1"/>
    </xf>
    <xf numFmtId="2" fontId="16" fillId="0" borderId="7" xfId="0" applyNumberFormat="1" applyFont="1" applyBorder="1" applyAlignment="1">
      <alignment horizontal="left" vertical="center" wrapText="1"/>
    </xf>
    <xf numFmtId="2" fontId="16" fillId="2" borderId="6" xfId="0" applyNumberFormat="1" applyFont="1" applyFill="1" applyBorder="1" applyAlignment="1">
      <alignment horizontal="left" vertical="center" wrapText="1"/>
    </xf>
    <xf numFmtId="2" fontId="16" fillId="2" borderId="5" xfId="0" applyNumberFormat="1" applyFont="1" applyFill="1" applyBorder="1" applyAlignment="1">
      <alignment horizontal="left" vertical="center" wrapText="1"/>
    </xf>
    <xf numFmtId="2" fontId="16" fillId="2" borderId="7" xfId="0" applyNumberFormat="1" applyFont="1" applyFill="1" applyBorder="1" applyAlignment="1">
      <alignment horizontal="left" vertical="center" wrapText="1"/>
    </xf>
    <xf numFmtId="2" fontId="16" fillId="2" borderId="1" xfId="0" applyNumberFormat="1" applyFont="1" applyFill="1" applyBorder="1" applyAlignment="1">
      <alignment horizontal="left" wrapText="1"/>
    </xf>
    <xf numFmtId="2" fontId="20" fillId="7" borderId="23" xfId="0" applyNumberFormat="1" applyFont="1" applyFill="1" applyBorder="1" applyAlignment="1">
      <alignment horizontal="center" wrapText="1"/>
    </xf>
    <xf numFmtId="2" fontId="20" fillId="7" borderId="24" xfId="0" applyNumberFormat="1" applyFont="1" applyFill="1" applyBorder="1" applyAlignment="1">
      <alignment horizontal="center" wrapText="1"/>
    </xf>
    <xf numFmtId="2" fontId="16" fillId="2" borderId="6" xfId="0" applyNumberFormat="1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2" fontId="16" fillId="2" borderId="18" xfId="0" applyNumberFormat="1" applyFont="1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" fontId="22" fillId="2" borderId="2" xfId="0" applyNumberFormat="1" applyFont="1" applyFill="1" applyBorder="1" applyAlignment="1">
      <alignment horizontal="center"/>
    </xf>
    <xf numFmtId="1" fontId="22" fillId="2" borderId="4" xfId="0" applyNumberFormat="1" applyFont="1" applyFill="1" applyBorder="1" applyAlignment="1">
      <alignment horizontal="center"/>
    </xf>
    <xf numFmtId="2" fontId="19" fillId="0" borderId="1" xfId="0" applyNumberFormat="1" applyFont="1" applyBorder="1" applyAlignment="1">
      <alignment horizontal="center"/>
    </xf>
    <xf numFmtId="2" fontId="21" fillId="4" borderId="23" xfId="0" applyNumberFormat="1" applyFont="1" applyFill="1" applyBorder="1" applyAlignment="1">
      <alignment horizontal="center" vertical="center"/>
    </xf>
    <xf numFmtId="2" fontId="21" fillId="4" borderId="25" xfId="0" applyNumberFormat="1" applyFont="1" applyFill="1" applyBorder="1" applyAlignment="1">
      <alignment horizontal="center" vertical="center"/>
    </xf>
    <xf numFmtId="165" fontId="19" fillId="4" borderId="23" xfId="0" applyNumberFormat="1" applyFont="1" applyFill="1" applyBorder="1" applyAlignment="1">
      <alignment horizontal="center" vertical="center"/>
    </xf>
    <xf numFmtId="165" fontId="19" fillId="4" borderId="25" xfId="0" applyNumberFormat="1" applyFont="1" applyFill="1" applyBorder="1" applyAlignment="1">
      <alignment horizontal="center" vertical="center"/>
    </xf>
    <xf numFmtId="2" fontId="0" fillId="7" borderId="7" xfId="0" applyNumberFormat="1" applyFill="1" applyBorder="1" applyAlignment="1">
      <alignment horizontal="center" wrapText="1"/>
    </xf>
    <xf numFmtId="2" fontId="20" fillId="7" borderId="49" xfId="0" applyNumberFormat="1" applyFont="1" applyFill="1" applyBorder="1" applyAlignment="1">
      <alignment horizontal="center"/>
    </xf>
    <xf numFmtId="2" fontId="20" fillId="7" borderId="26" xfId="0" applyNumberFormat="1" applyFont="1" applyFill="1" applyBorder="1" applyAlignment="1">
      <alignment horizontal="center"/>
    </xf>
    <xf numFmtId="2" fontId="20" fillId="7" borderId="27" xfId="0" applyNumberFormat="1" applyFont="1" applyFill="1" applyBorder="1" applyAlignment="1">
      <alignment horizontal="center"/>
    </xf>
    <xf numFmtId="2" fontId="29" fillId="0" borderId="0" xfId="0" applyNumberFormat="1" applyFont="1" applyAlignment="1">
      <alignment horizontal="center"/>
    </xf>
    <xf numFmtId="2" fontId="30" fillId="4" borderId="0" xfId="0" applyNumberFormat="1" applyFont="1" applyFill="1" applyAlignment="1">
      <alignment horizontal="center"/>
    </xf>
    <xf numFmtId="2" fontId="29" fillId="4" borderId="0" xfId="0" applyNumberFormat="1" applyFont="1" applyFill="1" applyAlignment="1">
      <alignment horizontal="center"/>
    </xf>
    <xf numFmtId="167" fontId="0" fillId="2" borderId="2" xfId="0" applyNumberFormat="1" applyFill="1" applyBorder="1" applyAlignment="1">
      <alignment horizontal="center"/>
    </xf>
    <xf numFmtId="167" fontId="0" fillId="2" borderId="4" xfId="0" applyNumberFormat="1" applyFill="1" applyBorder="1" applyAlignment="1">
      <alignment horizontal="center"/>
    </xf>
    <xf numFmtId="0" fontId="20" fillId="7" borderId="23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 vertical="center" wrapText="1"/>
    </xf>
    <xf numFmtId="2" fontId="16" fillId="2" borderId="7" xfId="0" applyNumberFormat="1" applyFont="1" applyFill="1" applyBorder="1" applyAlignment="1">
      <alignment horizontal="center" vertical="center" wrapText="1"/>
    </xf>
    <xf numFmtId="2" fontId="0" fillId="9" borderId="2" xfId="0" applyNumberFormat="1" applyFill="1" applyBorder="1" applyAlignment="1">
      <alignment horizontal="center"/>
    </xf>
    <xf numFmtId="2" fontId="0" fillId="9" borderId="4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15" fillId="4" borderId="4" xfId="0" applyFont="1" applyFill="1" applyBorder="1" applyAlignment="1">
      <alignment horizontal="center" wrapText="1"/>
    </xf>
    <xf numFmtId="0" fontId="15" fillId="4" borderId="14" xfId="0" applyFont="1" applyFill="1" applyBorder="1" applyAlignment="1">
      <alignment horizontal="center" wrapText="1"/>
    </xf>
    <xf numFmtId="0" fontId="15" fillId="4" borderId="17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2" fontId="35" fillId="4" borderId="2" xfId="0" applyNumberFormat="1" applyFont="1" applyFill="1" applyBorder="1" applyAlignment="1">
      <alignment horizontal="center" vertical="center" wrapText="1"/>
    </xf>
    <xf numFmtId="2" fontId="35" fillId="4" borderId="3" xfId="0" applyNumberFormat="1" applyFont="1" applyFill="1" applyBorder="1" applyAlignment="1">
      <alignment horizontal="center" vertical="center" wrapText="1"/>
    </xf>
    <xf numFmtId="2" fontId="35" fillId="4" borderId="4" xfId="0" applyNumberFormat="1" applyFont="1" applyFill="1" applyBorder="1" applyAlignment="1">
      <alignment horizontal="center" vertical="center" wrapText="1"/>
    </xf>
    <xf numFmtId="165" fontId="35" fillId="4" borderId="2" xfId="0" applyNumberFormat="1" applyFont="1" applyFill="1" applyBorder="1" applyAlignment="1">
      <alignment horizontal="center" vertical="center"/>
    </xf>
    <xf numFmtId="165" fontId="35" fillId="4" borderId="3" xfId="0" applyNumberFormat="1" applyFont="1" applyFill="1" applyBorder="1" applyAlignment="1">
      <alignment horizontal="center" vertical="center"/>
    </xf>
    <xf numFmtId="165" fontId="35" fillId="4" borderId="4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14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49" fontId="44" fillId="0" borderId="20" xfId="0" applyNumberFormat="1" applyFont="1" applyBorder="1" applyAlignment="1">
      <alignment horizontal="center" vertical="center" wrapText="1"/>
    </xf>
    <xf numFmtId="49" fontId="44" fillId="0" borderId="21" xfId="0" applyNumberFormat="1" applyFont="1" applyBorder="1" applyAlignment="1">
      <alignment horizontal="center" vertical="center" wrapText="1"/>
    </xf>
    <xf numFmtId="49" fontId="44" fillId="0" borderId="55" xfId="0" applyNumberFormat="1" applyFont="1" applyBorder="1" applyAlignment="1">
      <alignment horizontal="center" vertical="center" wrapText="1"/>
    </xf>
    <xf numFmtId="49" fontId="44" fillId="0" borderId="22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0" fontId="36" fillId="0" borderId="48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45" fillId="0" borderId="42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45" fillId="0" borderId="56" xfId="0" applyFont="1" applyBorder="1" applyAlignment="1">
      <alignment horizontal="center" vertical="center" wrapText="1"/>
    </xf>
    <xf numFmtId="49" fontId="36" fillId="0" borderId="16" xfId="0" applyNumberFormat="1" applyFont="1" applyBorder="1" applyAlignment="1">
      <alignment horizontal="center" vertical="center" wrapText="1"/>
    </xf>
    <xf numFmtId="49" fontId="36" fillId="0" borderId="0" xfId="0" applyNumberFormat="1" applyFont="1" applyAlignment="1">
      <alignment horizontal="center" vertical="center" wrapText="1"/>
    </xf>
    <xf numFmtId="49" fontId="36" fillId="0" borderId="60" xfId="0" applyNumberFormat="1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" fillId="12" borderId="36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32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50" fillId="4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 wrapText="1"/>
    </xf>
    <xf numFmtId="0" fontId="46" fillId="0" borderId="56" xfId="0" applyFont="1" applyBorder="1" applyAlignment="1">
      <alignment horizontal="center" vertical="center" wrapText="1"/>
    </xf>
    <xf numFmtId="0" fontId="2" fillId="12" borderId="39" xfId="0" applyFont="1" applyFill="1" applyBorder="1" applyAlignment="1">
      <alignment horizontal="center" vertical="center"/>
    </xf>
    <xf numFmtId="0" fontId="2" fillId="12" borderId="17" xfId="0" applyFont="1" applyFill="1" applyBorder="1" applyAlignment="1">
      <alignment horizontal="center" vertical="center"/>
    </xf>
    <xf numFmtId="0" fontId="2" fillId="12" borderId="37" xfId="0" applyFont="1" applyFill="1" applyBorder="1" applyAlignment="1">
      <alignment horizontal="center" vertical="center"/>
    </xf>
    <xf numFmtId="0" fontId="2" fillId="12" borderId="61" xfId="0" applyFont="1" applyFill="1" applyBorder="1" applyAlignment="1">
      <alignment horizontal="center" vertical="center"/>
    </xf>
    <xf numFmtId="0" fontId="2" fillId="12" borderId="50" xfId="0" applyFont="1" applyFill="1" applyBorder="1" applyAlignment="1">
      <alignment horizontal="center" vertical="center"/>
    </xf>
    <xf numFmtId="0" fontId="2" fillId="12" borderId="62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60" xfId="0" applyFont="1" applyBorder="1" applyAlignment="1">
      <alignment horizontal="center" vertical="center" wrapText="1"/>
    </xf>
    <xf numFmtId="0" fontId="2" fillId="12" borderId="3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49" fontId="36" fillId="0" borderId="23" xfId="0" applyNumberFormat="1" applyFont="1" applyBorder="1" applyAlignment="1">
      <alignment horizontal="center" vertical="center" wrapText="1"/>
    </xf>
    <xf numFmtId="49" fontId="36" fillId="0" borderId="24" xfId="0" applyNumberFormat="1" applyFont="1" applyBorder="1" applyAlignment="1">
      <alignment horizontal="center" vertical="center" wrapText="1"/>
    </xf>
    <xf numFmtId="49" fontId="36" fillId="0" borderId="25" xfId="0" applyNumberFormat="1" applyFont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52" fillId="0" borderId="43" xfId="0" applyFont="1" applyBorder="1" applyAlignment="1">
      <alignment horizontal="center" vertical="center" wrapText="1"/>
    </xf>
    <xf numFmtId="0" fontId="52" fillId="0" borderId="66" xfId="0" applyFont="1" applyBorder="1" applyAlignment="1">
      <alignment horizontal="center" vertical="center" wrapText="1"/>
    </xf>
    <xf numFmtId="0" fontId="52" fillId="0" borderId="30" xfId="0" applyFont="1" applyBorder="1" applyAlignment="1">
      <alignment horizontal="center" vertical="center" wrapText="1"/>
    </xf>
    <xf numFmtId="0" fontId="52" fillId="0" borderId="67" xfId="0" applyFont="1" applyBorder="1" applyAlignment="1">
      <alignment horizontal="center" vertical="center" wrapText="1"/>
    </xf>
    <xf numFmtId="0" fontId="52" fillId="0" borderId="52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 wrapText="1"/>
    </xf>
    <xf numFmtId="0" fontId="2" fillId="12" borderId="14" xfId="0" applyFont="1" applyFill="1" applyBorder="1" applyAlignment="1">
      <alignment horizontal="center" vertical="center"/>
    </xf>
    <xf numFmtId="0" fontId="2" fillId="12" borderId="15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0" fillId="0" borderId="4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2" xfId="2" applyFont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0" fontId="0" fillId="0" borderId="12" xfId="2" applyFont="1" applyBorder="1" applyAlignment="1">
      <alignment horizontal="center" vertical="center" wrapText="1"/>
    </xf>
    <xf numFmtId="0" fontId="0" fillId="0" borderId="42" xfId="2" applyFont="1" applyBorder="1" applyAlignment="1">
      <alignment horizontal="center" vertical="center" textRotation="91" wrapText="1"/>
    </xf>
    <xf numFmtId="0" fontId="0" fillId="0" borderId="1" xfId="2" applyFont="1" applyBorder="1" applyAlignment="1">
      <alignment horizontal="center" vertical="center" textRotation="91" wrapText="1"/>
    </xf>
    <xf numFmtId="0" fontId="0" fillId="0" borderId="12" xfId="2" applyFont="1" applyBorder="1" applyAlignment="1">
      <alignment horizontal="center" vertical="center" textRotation="91" wrapText="1"/>
    </xf>
    <xf numFmtId="0" fontId="0" fillId="0" borderId="42" xfId="0" applyBorder="1" applyAlignment="1">
      <alignment horizontal="center" vertical="center" textRotation="91" wrapText="1"/>
    </xf>
    <xf numFmtId="0" fontId="0" fillId="0" borderId="7" xfId="0" applyBorder="1" applyAlignment="1">
      <alignment horizontal="center" vertical="center" textRotation="91" wrapText="1"/>
    </xf>
    <xf numFmtId="0" fontId="0" fillId="0" borderId="1" xfId="0" applyBorder="1" applyAlignment="1">
      <alignment horizontal="center" vertical="center" textRotation="91" wrapText="1"/>
    </xf>
    <xf numFmtId="0" fontId="0" fillId="0" borderId="12" xfId="0" applyBorder="1" applyAlignment="1">
      <alignment horizontal="center" vertical="center" textRotation="91" wrapText="1"/>
    </xf>
    <xf numFmtId="0" fontId="0" fillId="0" borderId="5" xfId="0" applyBorder="1" applyAlignment="1">
      <alignment horizontal="center" vertical="center" wrapText="1"/>
    </xf>
    <xf numFmtId="0" fontId="45" fillId="0" borderId="43" xfId="0" applyFont="1" applyBorder="1" applyAlignment="1">
      <alignment horizontal="center" vertical="center" wrapText="1"/>
    </xf>
    <xf numFmtId="0" fontId="45" fillId="0" borderId="66" xfId="0" applyFont="1" applyBorder="1" applyAlignment="1">
      <alignment horizontal="center" vertical="center" wrapText="1"/>
    </xf>
    <xf numFmtId="0" fontId="45" fillId="0" borderId="3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50" fillId="4" borderId="7" xfId="0" applyFont="1" applyFill="1" applyBorder="1" applyAlignment="1">
      <alignment horizontal="center" vertical="center"/>
    </xf>
    <xf numFmtId="0" fontId="50" fillId="4" borderId="6" xfId="0" applyFont="1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/>
    </xf>
    <xf numFmtId="0" fontId="35" fillId="2" borderId="1" xfId="0" applyFont="1" applyFill="1" applyBorder="1" applyAlignment="1">
      <alignment horizontal="center" wrapText="1"/>
    </xf>
    <xf numFmtId="165" fontId="35" fillId="2" borderId="1" xfId="0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center"/>
    </xf>
    <xf numFmtId="0" fontId="34" fillId="2" borderId="50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 wrapText="1"/>
    </xf>
    <xf numFmtId="0" fontId="34" fillId="2" borderId="50" xfId="0" applyFont="1" applyFill="1" applyBorder="1" applyAlignment="1">
      <alignment horizontal="center" wrapText="1"/>
    </xf>
    <xf numFmtId="2" fontId="2" fillId="2" borderId="6" xfId="0" applyNumberFormat="1" applyFont="1" applyFill="1" applyBorder="1" applyAlignment="1">
      <alignment horizontal="center" wrapText="1"/>
    </xf>
    <xf numFmtId="2" fontId="2" fillId="2" borderId="7" xfId="0" applyNumberFormat="1" applyFont="1" applyFill="1" applyBorder="1" applyAlignment="1">
      <alignment horizontal="center" wrapText="1"/>
    </xf>
    <xf numFmtId="0" fontId="3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/>
    </xf>
    <xf numFmtId="165" fontId="37" fillId="2" borderId="1" xfId="0" applyNumberFormat="1" applyFont="1" applyFill="1" applyBorder="1" applyAlignment="1">
      <alignment horizontal="center"/>
    </xf>
    <xf numFmtId="165" fontId="38" fillId="2" borderId="0" xfId="0" applyNumberFormat="1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2" fontId="20" fillId="7" borderId="16" xfId="0" applyNumberFormat="1" applyFont="1" applyFill="1" applyBorder="1" applyAlignment="1">
      <alignment horizontal="center" wrapText="1"/>
    </xf>
    <xf numFmtId="2" fontId="20" fillId="7" borderId="0" xfId="0" applyNumberFormat="1" applyFont="1" applyFill="1" applyAlignment="1">
      <alignment horizontal="center" wrapText="1"/>
    </xf>
    <xf numFmtId="2" fontId="19" fillId="0" borderId="0" xfId="0" applyNumberFormat="1" applyFont="1" applyAlignment="1">
      <alignment horizontal="center"/>
    </xf>
    <xf numFmtId="0" fontId="4" fillId="7" borderId="23" xfId="0" applyFont="1" applyFill="1" applyBorder="1" applyAlignment="1">
      <alignment horizontal="center" wrapText="1"/>
    </xf>
    <xf numFmtId="0" fontId="4" fillId="7" borderId="24" xfId="0" applyFont="1" applyFill="1" applyBorder="1" applyAlignment="1">
      <alignment horizontal="center" wrapText="1"/>
    </xf>
    <xf numFmtId="2" fontId="20" fillId="7" borderId="41" xfId="0" applyNumberFormat="1" applyFont="1" applyFill="1" applyBorder="1" applyAlignment="1">
      <alignment horizontal="center" wrapText="1"/>
    </xf>
    <xf numFmtId="0" fontId="20" fillId="7" borderId="16" xfId="0" applyFont="1" applyFill="1" applyBorder="1" applyAlignment="1">
      <alignment horizontal="center" wrapText="1"/>
    </xf>
    <xf numFmtId="0" fontId="20" fillId="7" borderId="0" xfId="0" applyFont="1" applyFill="1" applyAlignment="1">
      <alignment horizontal="center" wrapText="1"/>
    </xf>
    <xf numFmtId="2" fontId="0" fillId="2" borderId="6" xfId="0" applyNumberFormat="1" applyFill="1" applyBorder="1" applyAlignment="1">
      <alignment horizontal="center" wrapText="1"/>
    </xf>
    <xf numFmtId="2" fontId="0" fillId="2" borderId="7" xfId="0" applyNumberFormat="1" applyFill="1" applyBorder="1" applyAlignment="1">
      <alignment horizontal="center" wrapText="1"/>
    </xf>
    <xf numFmtId="0" fontId="20" fillId="7" borderId="23" xfId="0" applyFont="1" applyFill="1" applyBorder="1" applyAlignment="1">
      <alignment horizontal="center" wrapText="1"/>
    </xf>
    <xf numFmtId="0" fontId="20" fillId="7" borderId="24" xfId="0" applyFont="1" applyFill="1" applyBorder="1" applyAlignment="1">
      <alignment horizontal="center" wrapText="1"/>
    </xf>
    <xf numFmtId="2" fontId="0" fillId="2" borderId="6" xfId="0" applyNumberFormat="1" applyFill="1" applyBorder="1" applyAlignment="1">
      <alignment horizontal="center" vertical="center" wrapText="1"/>
    </xf>
    <xf numFmtId="2" fontId="0" fillId="2" borderId="7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165" fontId="30" fillId="0" borderId="0" xfId="0" applyNumberFormat="1" applyFont="1" applyAlignment="1">
      <alignment horizontal="center"/>
    </xf>
    <xf numFmtId="2" fontId="0" fillId="7" borderId="1" xfId="0" applyNumberFormat="1" applyFill="1" applyBorder="1" applyAlignment="1">
      <alignment horizontal="center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3" fillId="8" borderId="20" xfId="0" applyFont="1" applyFill="1" applyBorder="1" applyAlignment="1">
      <alignment horizontal="left"/>
    </xf>
    <xf numFmtId="0" fontId="23" fillId="8" borderId="22" xfId="0" applyFont="1" applyFill="1" applyBorder="1" applyAlignment="1">
      <alignment horizontal="left"/>
    </xf>
  </cellXfs>
  <cellStyles count="5">
    <cellStyle name="Гиперссылка" xfId="4" builtinId="8"/>
    <cellStyle name="Денежный" xfId="1" builtinId="4"/>
    <cellStyle name="Обычный" xfId="0" builtinId="0"/>
    <cellStyle name="Обычный 2" xfId="2"/>
    <cellStyle name="Обычный 3" xfId="3"/>
  </cellStyles>
  <dxfs count="2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587735</xdr:colOff>
      <xdr:row>1</xdr:row>
      <xdr:rowOff>170953</xdr:rowOff>
    </xdr:from>
    <xdr:to>
      <xdr:col>9</xdr:col>
      <xdr:colOff>995134</xdr:colOff>
      <xdr:row>9</xdr:row>
      <xdr:rowOff>38100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497295" y="353833"/>
          <a:ext cx="2358119" cy="1330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ctr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УТВЕРЖДАЮ:</a:t>
          </a:r>
          <a:endParaRPr lang="ru-RU" sz="1400" b="1" i="0" strike="noStrike">
            <a:solidFill>
              <a:srgbClr val="000000"/>
            </a:solidFill>
            <a:latin typeface="+mn-lt"/>
          </a:endParaRPr>
        </a:p>
        <a:p>
          <a:pPr algn="ctr" rtl="1">
            <a:defRPr sz="1000"/>
          </a:pPr>
          <a:r>
            <a:rPr lang="ru-RU" sz="1400" b="1" i="0" u="sng" strike="noStrike">
              <a:solidFill>
                <a:srgbClr val="000000"/>
              </a:solidFill>
              <a:latin typeface="+mn-lt"/>
            </a:rPr>
            <a:t>Генеральный д</a:t>
          </a:r>
          <a:r>
            <a:rPr lang="ru-RU" sz="1400" b="1" i="0" strike="noStrike">
              <a:solidFill>
                <a:srgbClr val="000000"/>
              </a:solidFill>
              <a:latin typeface="+mn-lt"/>
            </a:rPr>
            <a:t>иректор </a:t>
          </a:r>
        </a:p>
        <a:p>
          <a:pPr algn="r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+mn-lt"/>
            </a:rPr>
            <a:t>ООО "НЗПО"</a:t>
          </a:r>
        </a:p>
        <a:p>
          <a:pPr algn="l" rtl="1">
            <a:defRPr sz="1000"/>
          </a:pPr>
          <a:endParaRPr lang="ru-RU" sz="1400" b="1" i="0" strike="noStrike">
            <a:solidFill>
              <a:srgbClr val="000000"/>
            </a:solidFill>
            <a:latin typeface="+mn-lt"/>
          </a:endParaRPr>
        </a:p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+mn-lt"/>
            </a:rPr>
            <a:t>____________ Д.А. Цыганков</a:t>
          </a:r>
          <a:endParaRPr lang="ru-RU" sz="1200" b="1" i="0" strike="noStrike">
            <a:solidFill>
              <a:srgbClr val="000000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16565</xdr:colOff>
      <xdr:row>1</xdr:row>
      <xdr:rowOff>24848</xdr:rowOff>
    </xdr:from>
    <xdr:to>
      <xdr:col>2</xdr:col>
      <xdr:colOff>1050566</xdr:colOff>
      <xdr:row>7</xdr:row>
      <xdr:rowOff>172168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" y="215348"/>
          <a:ext cx="306324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1552575</xdr:colOff>
      <xdr:row>11</xdr:row>
      <xdr:rowOff>161925</xdr:rowOff>
    </xdr:from>
    <xdr:to>
      <xdr:col>6</xdr:col>
      <xdr:colOff>628650</xdr:colOff>
      <xdr:row>19</xdr:row>
      <xdr:rowOff>67504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SpPr txBox="1">
          <a:spLocks noChangeArrowheads="1"/>
        </xdr:cNvSpPr>
      </xdr:nvSpPr>
      <xdr:spPr bwMode="auto">
        <a:xfrm>
          <a:off x="8048625" y="2362200"/>
          <a:ext cx="2743200" cy="198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ctr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УТВЕРЖДАЮ:               </a:t>
          </a:r>
        </a:p>
        <a:p>
          <a:pPr algn="ctr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Директор</a:t>
          </a:r>
        </a:p>
        <a:p>
          <a:pPr algn="l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ООО ПК    "Сибирский проект"</a:t>
          </a:r>
        </a:p>
        <a:p>
          <a:pPr algn="l" rtl="1">
            <a:defRPr sz="1000"/>
          </a:pPr>
          <a:endParaRPr lang="ru-RU" sz="1200" b="1" i="0" strike="noStrike">
            <a:solidFill>
              <a:srgbClr val="000000"/>
            </a:solidFill>
            <a:latin typeface="Arial Cyr"/>
          </a:endParaRPr>
        </a:p>
        <a:p>
          <a:pPr algn="l" rtl="1">
            <a:defRPr sz="1000"/>
          </a:pPr>
          <a:endParaRPr lang="ru-RU" sz="1200" b="1" i="0" strike="noStrike">
            <a:solidFill>
              <a:srgbClr val="000000"/>
            </a:solidFill>
            <a:latin typeface="Arial Cyr"/>
          </a:endParaRPr>
        </a:p>
        <a:p>
          <a:pPr algn="l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_____________Ф.Ф.Бабашов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0</xdr:row>
          <xdr:rowOff>104775</xdr:rowOff>
        </xdr:from>
        <xdr:to>
          <xdr:col>3</xdr:col>
          <xdr:colOff>1400175</xdr:colOff>
          <xdr:row>8</xdr:row>
          <xdr:rowOff>19050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2887</xdr:colOff>
      <xdr:row>2</xdr:row>
      <xdr:rowOff>7793</xdr:rowOff>
    </xdr:from>
    <xdr:to>
      <xdr:col>14</xdr:col>
      <xdr:colOff>503382</xdr:colOff>
      <xdr:row>8</xdr:row>
      <xdr:rowOff>207818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SpPr txBox="1">
          <a:spLocks noChangeArrowheads="1"/>
        </xdr:cNvSpPr>
      </xdr:nvSpPr>
      <xdr:spPr bwMode="auto">
        <a:xfrm>
          <a:off x="11775787" y="407843"/>
          <a:ext cx="286269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ctr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+mn-lt"/>
            </a:rPr>
            <a:t>УТВЕРЖДАЮ:</a:t>
          </a:r>
        </a:p>
        <a:p>
          <a:pPr algn="l" rtl="1">
            <a:defRPr sz="1000"/>
          </a:pPr>
          <a:endParaRPr lang="ru-RU" sz="1200" b="1" i="0" strike="noStrike">
            <a:solidFill>
              <a:srgbClr val="000000"/>
            </a:solidFill>
            <a:latin typeface="+mn-lt"/>
          </a:endParaRPr>
        </a:p>
        <a:p>
          <a:pPr algn="ctr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+mn-lt"/>
            </a:rPr>
            <a:t>Директор </a:t>
          </a:r>
        </a:p>
        <a:p>
          <a:pPr algn="l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+mn-lt"/>
            </a:rPr>
            <a:t>ООО ПК "Сибирский проект"</a:t>
          </a:r>
        </a:p>
        <a:p>
          <a:pPr algn="l" rtl="1">
            <a:defRPr sz="1000"/>
          </a:pPr>
          <a:endParaRPr lang="ru-RU" sz="1200" b="1" i="0" strike="noStrike">
            <a:solidFill>
              <a:srgbClr val="000000"/>
            </a:solidFill>
            <a:latin typeface="Arial Cyr"/>
          </a:endParaRPr>
        </a:p>
        <a:p>
          <a:pPr rtl="1"/>
          <a:r>
            <a:rPr lang="ru-RU" sz="1200" b="1" i="0">
              <a:effectLst/>
              <a:latin typeface="+mn-lt"/>
              <a:ea typeface="+mn-ea"/>
              <a:cs typeface="+mn-cs"/>
            </a:rPr>
            <a:t>______________ Ф.Ф.Бабашов</a:t>
          </a:r>
          <a:endParaRPr lang="ru-RU" sz="1400">
            <a:effectLst/>
          </a:endParaRPr>
        </a:p>
      </xdr:txBody>
    </xdr:sp>
    <xdr:clientData/>
  </xdr:twoCellAnchor>
  <xdr:twoCellAnchor>
    <xdr:from>
      <xdr:col>11</xdr:col>
      <xdr:colOff>2887</xdr:colOff>
      <xdr:row>2</xdr:row>
      <xdr:rowOff>7793</xdr:rowOff>
    </xdr:from>
    <xdr:to>
      <xdr:col>14</xdr:col>
      <xdr:colOff>503382</xdr:colOff>
      <xdr:row>8</xdr:row>
      <xdr:rowOff>207818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SpPr txBox="1">
          <a:spLocks noChangeArrowheads="1"/>
        </xdr:cNvSpPr>
      </xdr:nvSpPr>
      <xdr:spPr bwMode="auto">
        <a:xfrm>
          <a:off x="11775787" y="407843"/>
          <a:ext cx="286269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ctr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+mn-lt"/>
            </a:rPr>
            <a:t>УТВЕРЖДАЮ:</a:t>
          </a:r>
        </a:p>
        <a:p>
          <a:pPr algn="l" rtl="1">
            <a:defRPr sz="1000"/>
          </a:pPr>
          <a:endParaRPr lang="ru-RU" sz="1200" b="1" i="0" strike="noStrike">
            <a:solidFill>
              <a:srgbClr val="000000"/>
            </a:solidFill>
            <a:latin typeface="+mn-lt"/>
          </a:endParaRPr>
        </a:p>
        <a:p>
          <a:pPr algn="ctr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+mn-lt"/>
            </a:rPr>
            <a:t>Директор </a:t>
          </a:r>
        </a:p>
        <a:p>
          <a:pPr algn="l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+mn-lt"/>
            </a:rPr>
            <a:t>ООО ПК "Сибирский проект"</a:t>
          </a:r>
        </a:p>
        <a:p>
          <a:pPr algn="l" rtl="1">
            <a:defRPr sz="1000"/>
          </a:pPr>
          <a:endParaRPr lang="ru-RU" sz="1200" b="1" i="0" strike="noStrike">
            <a:solidFill>
              <a:srgbClr val="000000"/>
            </a:solidFill>
            <a:latin typeface="Arial Cyr"/>
          </a:endParaRPr>
        </a:p>
        <a:p>
          <a:pPr rtl="1"/>
          <a:r>
            <a:rPr lang="ru-RU" sz="1200" b="1" i="0">
              <a:effectLst/>
              <a:latin typeface="+mn-lt"/>
              <a:ea typeface="+mn-ea"/>
              <a:cs typeface="+mn-cs"/>
            </a:rPr>
            <a:t>______________ Ф.Ф.Бабашов</a:t>
          </a:r>
          <a:endParaRPr lang="ru-RU" sz="14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628650</xdr:colOff>
      <xdr:row>2</xdr:row>
      <xdr:rowOff>66675</xdr:rowOff>
    </xdr:from>
    <xdr:to>
      <xdr:col>14</xdr:col>
      <xdr:colOff>71870</xdr:colOff>
      <xdr:row>8</xdr:row>
      <xdr:rowOff>180975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SpPr txBox="1">
          <a:spLocks noChangeArrowheads="1"/>
        </xdr:cNvSpPr>
      </xdr:nvSpPr>
      <xdr:spPr bwMode="auto">
        <a:xfrm>
          <a:off x="11515725" y="466725"/>
          <a:ext cx="286269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ctr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+mn-lt"/>
            </a:rPr>
            <a:t>УТВЕРЖДАЮ:</a:t>
          </a:r>
        </a:p>
        <a:p>
          <a:pPr algn="l" rtl="1">
            <a:defRPr sz="1000"/>
          </a:pPr>
          <a:endParaRPr lang="ru-RU" sz="1200" b="1" i="0" strike="noStrike">
            <a:solidFill>
              <a:srgbClr val="000000"/>
            </a:solidFill>
            <a:latin typeface="+mn-lt"/>
          </a:endParaRPr>
        </a:p>
        <a:p>
          <a:pPr algn="ctr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+mn-lt"/>
            </a:rPr>
            <a:t>Директор </a:t>
          </a:r>
        </a:p>
        <a:p>
          <a:pPr algn="l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+mn-lt"/>
            </a:rPr>
            <a:t>ООО ПК "Сибирский проект"</a:t>
          </a:r>
        </a:p>
        <a:p>
          <a:pPr algn="l" rtl="1">
            <a:defRPr sz="1000"/>
          </a:pPr>
          <a:endParaRPr lang="ru-RU" sz="1200" b="1" i="0" strike="noStrike">
            <a:solidFill>
              <a:srgbClr val="000000"/>
            </a:solidFill>
            <a:latin typeface="Arial Cyr"/>
          </a:endParaRPr>
        </a:p>
        <a:p>
          <a:pPr rtl="1"/>
          <a:r>
            <a:rPr lang="ru-RU" sz="1200" b="1" i="0">
              <a:effectLst/>
              <a:latin typeface="+mn-lt"/>
              <a:ea typeface="+mn-ea"/>
              <a:cs typeface="+mn-cs"/>
            </a:rPr>
            <a:t>______________ Ф.Ф.Бабашов</a:t>
          </a:r>
          <a:endParaRPr lang="ru-RU" sz="1400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628650</xdr:colOff>
      <xdr:row>2</xdr:row>
      <xdr:rowOff>66675</xdr:rowOff>
    </xdr:from>
    <xdr:to>
      <xdr:col>14</xdr:col>
      <xdr:colOff>71870</xdr:colOff>
      <xdr:row>9</xdr:row>
      <xdr:rowOff>180975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SpPr txBox="1">
          <a:spLocks noChangeArrowheads="1"/>
        </xdr:cNvSpPr>
      </xdr:nvSpPr>
      <xdr:spPr bwMode="auto">
        <a:xfrm>
          <a:off x="11515725" y="466725"/>
          <a:ext cx="2329295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ctr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+mn-lt"/>
            </a:rPr>
            <a:t>УТВЕРЖДАЮ:</a:t>
          </a:r>
        </a:p>
        <a:p>
          <a:pPr algn="l" rtl="1">
            <a:defRPr sz="1000"/>
          </a:pPr>
          <a:endParaRPr lang="ru-RU" sz="1200" b="1" i="0" strike="noStrike">
            <a:solidFill>
              <a:srgbClr val="000000"/>
            </a:solidFill>
            <a:latin typeface="+mn-lt"/>
          </a:endParaRPr>
        </a:p>
        <a:p>
          <a:pPr algn="ctr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+mn-lt"/>
            </a:rPr>
            <a:t>Директор </a:t>
          </a:r>
        </a:p>
        <a:p>
          <a:pPr algn="l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+mn-lt"/>
            </a:rPr>
            <a:t>ООО ПК "Сибирский проект"</a:t>
          </a:r>
        </a:p>
        <a:p>
          <a:pPr algn="l" rtl="1">
            <a:defRPr sz="1000"/>
          </a:pPr>
          <a:endParaRPr lang="ru-RU" sz="1200" b="1" i="0" strike="noStrike">
            <a:solidFill>
              <a:srgbClr val="000000"/>
            </a:solidFill>
            <a:latin typeface="Arial Cyr"/>
          </a:endParaRPr>
        </a:p>
        <a:p>
          <a:pPr rtl="1"/>
          <a:r>
            <a:rPr lang="ru-RU" sz="1200" b="1" i="0">
              <a:effectLst/>
              <a:latin typeface="+mn-lt"/>
              <a:ea typeface="+mn-ea"/>
              <a:cs typeface="+mn-cs"/>
            </a:rPr>
            <a:t>______________ Ф.Ф.Бабашов</a:t>
          </a:r>
          <a:endParaRPr lang="ru-RU" sz="1400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628650</xdr:colOff>
      <xdr:row>2</xdr:row>
      <xdr:rowOff>66675</xdr:rowOff>
    </xdr:from>
    <xdr:to>
      <xdr:col>14</xdr:col>
      <xdr:colOff>71870</xdr:colOff>
      <xdr:row>9</xdr:row>
      <xdr:rowOff>180975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11515725" y="466725"/>
          <a:ext cx="2329295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ctr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+mn-lt"/>
            </a:rPr>
            <a:t>УТВЕРЖДАЮ:</a:t>
          </a:r>
        </a:p>
        <a:p>
          <a:pPr algn="l" rtl="1">
            <a:defRPr sz="1000"/>
          </a:pPr>
          <a:endParaRPr lang="ru-RU" sz="1200" b="1" i="0" strike="noStrike">
            <a:solidFill>
              <a:srgbClr val="000000"/>
            </a:solidFill>
            <a:latin typeface="+mn-lt"/>
          </a:endParaRPr>
        </a:p>
        <a:p>
          <a:pPr algn="ctr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+mn-lt"/>
            </a:rPr>
            <a:t>Директор </a:t>
          </a:r>
        </a:p>
        <a:p>
          <a:pPr algn="l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+mn-lt"/>
            </a:rPr>
            <a:t>ООО ПК "Сибирский проект"</a:t>
          </a:r>
        </a:p>
        <a:p>
          <a:pPr algn="l" rtl="1">
            <a:defRPr sz="1000"/>
          </a:pPr>
          <a:endParaRPr lang="ru-RU" sz="1200" b="1" i="0" strike="noStrike">
            <a:solidFill>
              <a:srgbClr val="000000"/>
            </a:solidFill>
            <a:latin typeface="Arial Cyr"/>
          </a:endParaRPr>
        </a:p>
        <a:p>
          <a:pPr rtl="1"/>
          <a:r>
            <a:rPr lang="ru-RU" sz="1200" b="1" i="0">
              <a:effectLst/>
              <a:latin typeface="+mn-lt"/>
              <a:ea typeface="+mn-ea"/>
              <a:cs typeface="+mn-cs"/>
            </a:rPr>
            <a:t>______________ Ф.Ф.Бабашов</a:t>
          </a:r>
          <a:endParaRPr lang="ru-RU" sz="1400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628650</xdr:colOff>
      <xdr:row>2</xdr:row>
      <xdr:rowOff>66675</xdr:rowOff>
    </xdr:from>
    <xdr:to>
      <xdr:col>14</xdr:col>
      <xdr:colOff>71870</xdr:colOff>
      <xdr:row>9</xdr:row>
      <xdr:rowOff>180975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SpPr txBox="1">
          <a:spLocks noChangeArrowheads="1"/>
        </xdr:cNvSpPr>
      </xdr:nvSpPr>
      <xdr:spPr bwMode="auto">
        <a:xfrm>
          <a:off x="11515725" y="466725"/>
          <a:ext cx="2329295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ctr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+mn-lt"/>
            </a:rPr>
            <a:t>УТВЕРЖДАЮ:</a:t>
          </a:r>
        </a:p>
        <a:p>
          <a:pPr algn="l" rtl="1">
            <a:defRPr sz="1000"/>
          </a:pPr>
          <a:endParaRPr lang="ru-RU" sz="1200" b="1" i="0" strike="noStrike">
            <a:solidFill>
              <a:srgbClr val="000000"/>
            </a:solidFill>
            <a:latin typeface="+mn-lt"/>
          </a:endParaRPr>
        </a:p>
        <a:p>
          <a:pPr algn="ctr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+mn-lt"/>
            </a:rPr>
            <a:t>Директор </a:t>
          </a:r>
        </a:p>
        <a:p>
          <a:pPr algn="l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+mn-lt"/>
            </a:rPr>
            <a:t>ООО ПК "Сибирский проект"</a:t>
          </a:r>
        </a:p>
        <a:p>
          <a:pPr algn="l" rtl="1">
            <a:defRPr sz="1000"/>
          </a:pPr>
          <a:endParaRPr lang="ru-RU" sz="1200" b="1" i="0" strike="noStrike">
            <a:solidFill>
              <a:srgbClr val="000000"/>
            </a:solidFill>
            <a:latin typeface="Arial Cyr"/>
          </a:endParaRPr>
        </a:p>
        <a:p>
          <a:pPr rtl="1"/>
          <a:r>
            <a:rPr lang="ru-RU" sz="1200" b="1" i="0">
              <a:effectLst/>
              <a:latin typeface="+mn-lt"/>
              <a:ea typeface="+mn-ea"/>
              <a:cs typeface="+mn-cs"/>
            </a:rPr>
            <a:t>______________ Ф.Ф.Бабашов</a:t>
          </a:r>
          <a:endParaRPr lang="ru-RU" sz="1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iztech.ru/catalog/dopolnitelnoe_oborudovanie/632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rexant-shop.ru/goods/rexant_08-0013.htm" TargetMode="External"/><Relationship Id="rId2" Type="http://schemas.openxmlformats.org/officeDocument/2006/relationships/hyperlink" Target="https://rexant-shop.ru/goods/rexant_08-0016.htm" TargetMode="External"/><Relationship Id="rId1" Type="http://schemas.openxmlformats.org/officeDocument/2006/relationships/hyperlink" Target="https://www.fiztech.ru/catalog/dopolnitelnoe_oborudovanie/632/" TargetMode="External"/><Relationship Id="rId4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rexant-shop.ru/goods/rexant_08-0013.htm" TargetMode="External"/><Relationship Id="rId2" Type="http://schemas.openxmlformats.org/officeDocument/2006/relationships/hyperlink" Target="https://rexant-shop.ru/goods/rexant_08-0016.htm" TargetMode="External"/><Relationship Id="rId1" Type="http://schemas.openxmlformats.org/officeDocument/2006/relationships/hyperlink" Target="https://www.fiztech.ru/catalog/dopolnitelnoe_oborudovanie/632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fiztech.ru/catalog/dopolnitelnoe_oborudovanie/632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rexant-shop.ru/goods/rexant_08-0013.htm" TargetMode="External"/><Relationship Id="rId2" Type="http://schemas.openxmlformats.org/officeDocument/2006/relationships/hyperlink" Target="https://rexant-shop.ru/goods/rexant_08-0016.htm" TargetMode="External"/><Relationship Id="rId1" Type="http://schemas.openxmlformats.org/officeDocument/2006/relationships/hyperlink" Target="https://www.fiztech.ru/catalog/dopolnitelnoe_oborudovanie/632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rexant-shop.ru/goods/rexant_08-0013.htm" TargetMode="External"/><Relationship Id="rId2" Type="http://schemas.openxmlformats.org/officeDocument/2006/relationships/hyperlink" Target="https://rexant-shop.ru/goods/rexant_08-0016.htm" TargetMode="External"/><Relationship Id="rId1" Type="http://schemas.openxmlformats.org/officeDocument/2006/relationships/hyperlink" Target="https://www.fiztech.ru/catalog/dopolnitelnoe_oborudovanie/63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4"/>
  <sheetViews>
    <sheetView view="pageBreakPreview" topLeftCell="A43" zoomScaleSheetLayoutView="100" workbookViewId="0">
      <selection activeCell="E15" sqref="E15"/>
    </sheetView>
  </sheetViews>
  <sheetFormatPr defaultColWidth="9.140625" defaultRowHeight="15" outlineLevelRow="1"/>
  <cols>
    <col min="1" max="1" width="12.42578125" style="50" customWidth="1"/>
    <col min="2" max="2" width="30.42578125" style="403" customWidth="1"/>
    <col min="3" max="3" width="28.7109375" style="405" bestFit="1" customWidth="1"/>
    <col min="4" max="4" width="16.42578125" style="50" customWidth="1"/>
    <col min="5" max="5" width="14.7109375" style="50" customWidth="1"/>
    <col min="6" max="6" width="12.7109375" style="284" customWidth="1"/>
    <col min="7" max="8" width="12.42578125" style="50" customWidth="1"/>
    <col min="9" max="9" width="16" style="50" customWidth="1"/>
    <col min="10" max="10" width="21.140625" style="71" customWidth="1"/>
    <col min="11" max="11" width="16.42578125" style="52" customWidth="1"/>
    <col min="12" max="12" width="9.140625" style="50"/>
    <col min="13" max="13" width="9.7109375" style="50" bestFit="1" customWidth="1"/>
    <col min="14" max="16384" width="9.140625" style="50"/>
  </cols>
  <sheetData>
    <row r="1" spans="2:11" ht="14.45">
      <c r="F1" s="71"/>
    </row>
    <row r="2" spans="2:11" ht="14.45">
      <c r="B2" s="404"/>
      <c r="F2" s="71"/>
      <c r="K2" s="50"/>
    </row>
    <row r="3" spans="2:11" ht="14.45">
      <c r="F3" s="71"/>
    </row>
    <row r="4" spans="2:11" ht="14.45">
      <c r="F4" s="71"/>
    </row>
    <row r="5" spans="2:11" ht="14.45">
      <c r="F5" s="71"/>
    </row>
    <row r="6" spans="2:11" ht="14.45">
      <c r="F6" s="71"/>
    </row>
    <row r="7" spans="2:11" ht="14.45">
      <c r="F7" s="71"/>
    </row>
    <row r="8" spans="2:11" ht="14.45">
      <c r="F8" s="71"/>
    </row>
    <row r="9" spans="2:11" ht="14.45">
      <c r="F9" s="71"/>
    </row>
    <row r="10" spans="2:11">
      <c r="B10" s="606" t="s">
        <v>496</v>
      </c>
      <c r="C10" s="606"/>
      <c r="D10" s="606"/>
      <c r="E10" s="606"/>
      <c r="F10" s="71"/>
      <c r="K10" s="50"/>
    </row>
    <row r="11" spans="2:11" ht="21">
      <c r="B11" s="606"/>
      <c r="C11" s="606"/>
      <c r="D11" s="606"/>
      <c r="E11" s="606"/>
      <c r="F11" s="71"/>
      <c r="H11" s="615" t="s">
        <v>739</v>
      </c>
      <c r="I11" s="615"/>
      <c r="J11" s="531">
        <v>45071</v>
      </c>
      <c r="K11" s="50"/>
    </row>
    <row r="12" spans="2:11" ht="24" thickBot="1">
      <c r="B12" s="612" t="s">
        <v>249</v>
      </c>
      <c r="C12" s="613"/>
      <c r="D12" s="613"/>
      <c r="E12" s="614"/>
      <c r="F12" s="71"/>
      <c r="H12" s="186"/>
      <c r="I12" s="186"/>
      <c r="K12" s="50"/>
    </row>
    <row r="13" spans="2:11">
      <c r="B13" s="554" t="s">
        <v>583</v>
      </c>
      <c r="C13" s="555">
        <v>200</v>
      </c>
      <c r="D13" s="555" t="s">
        <v>582</v>
      </c>
      <c r="E13" s="556">
        <v>900</v>
      </c>
      <c r="F13" s="71"/>
      <c r="K13" s="50"/>
    </row>
    <row r="14" spans="2:11">
      <c r="B14" s="557" t="s">
        <v>584</v>
      </c>
      <c r="C14" s="558">
        <v>200</v>
      </c>
      <c r="D14" s="539" t="s">
        <v>621</v>
      </c>
      <c r="E14" s="559">
        <v>200</v>
      </c>
      <c r="F14" s="71"/>
      <c r="G14" s="616" t="s">
        <v>1758</v>
      </c>
      <c r="H14" s="616"/>
      <c r="I14" s="616"/>
      <c r="J14" s="616"/>
      <c r="K14" s="50"/>
    </row>
    <row r="15" spans="2:11" ht="15.75" thickBot="1">
      <c r="B15" s="560" t="s">
        <v>622</v>
      </c>
      <c r="C15" s="561">
        <v>200</v>
      </c>
      <c r="D15" s="561"/>
      <c r="E15" s="562"/>
      <c r="F15" s="71"/>
      <c r="G15" s="616"/>
      <c r="H15" s="616"/>
      <c r="I15" s="616"/>
      <c r="J15" s="616"/>
      <c r="K15" s="50"/>
    </row>
    <row r="16" spans="2:11" ht="15.75" thickBot="1">
      <c r="B16" s="554" t="s">
        <v>1186</v>
      </c>
      <c r="C16" s="555">
        <v>0</v>
      </c>
      <c r="D16" s="555" t="s">
        <v>1363</v>
      </c>
      <c r="E16" s="556">
        <v>0</v>
      </c>
      <c r="F16" s="71"/>
      <c r="G16" s="616"/>
      <c r="H16" s="616"/>
      <c r="I16" s="616"/>
      <c r="J16" s="616"/>
      <c r="K16" s="50"/>
    </row>
    <row r="17" spans="2:11" ht="21">
      <c r="B17" s="554" t="s">
        <v>1187</v>
      </c>
      <c r="C17" s="563">
        <v>0</v>
      </c>
      <c r="D17" s="555" t="s">
        <v>1364</v>
      </c>
      <c r="E17" s="564">
        <v>3</v>
      </c>
      <c r="F17" s="71"/>
      <c r="G17" s="617"/>
      <c r="H17" s="617"/>
      <c r="I17" s="617"/>
      <c r="J17" s="617"/>
      <c r="K17" s="50"/>
    </row>
    <row r="18" spans="2:11" ht="21">
      <c r="B18" s="565" t="s">
        <v>781</v>
      </c>
      <c r="C18" s="558">
        <v>700</v>
      </c>
      <c r="D18" s="566" t="s">
        <v>782</v>
      </c>
      <c r="E18" s="558">
        <v>4500</v>
      </c>
      <c r="F18" s="71"/>
      <c r="G18" s="292"/>
      <c r="H18" s="292" t="s">
        <v>1759</v>
      </c>
      <c r="I18" s="292" t="s">
        <v>1760</v>
      </c>
      <c r="J18" s="292" t="s">
        <v>1761</v>
      </c>
      <c r="K18" s="50"/>
    </row>
    <row r="19" spans="2:11" ht="21">
      <c r="B19" s="565" t="s">
        <v>783</v>
      </c>
      <c r="C19" s="558">
        <v>550</v>
      </c>
      <c r="D19" s="566" t="s">
        <v>784</v>
      </c>
      <c r="E19" s="558">
        <v>150</v>
      </c>
      <c r="F19" s="71"/>
      <c r="G19" s="292"/>
      <c r="H19" s="292"/>
      <c r="I19" s="292"/>
      <c r="J19" s="292"/>
      <c r="K19" s="50"/>
    </row>
    <row r="20" spans="2:11" ht="14.45" customHeight="1">
      <c r="B20" s="611" t="s">
        <v>430</v>
      </c>
      <c r="C20" s="611"/>
      <c r="D20" s="611"/>
      <c r="E20" s="611"/>
      <c r="F20" s="71"/>
      <c r="J20" s="50"/>
      <c r="K20" s="50"/>
    </row>
    <row r="21" spans="2:11" ht="17.25">
      <c r="B21" s="401" t="s">
        <v>431</v>
      </c>
      <c r="C21" s="431"/>
      <c r="D21" s="49" t="s">
        <v>433</v>
      </c>
      <c r="E21" s="49">
        <v>0</v>
      </c>
      <c r="F21" s="71"/>
      <c r="J21" s="50"/>
      <c r="K21" s="50"/>
    </row>
    <row r="22" spans="2:11">
      <c r="B22" s="401" t="s">
        <v>432</v>
      </c>
      <c r="C22" s="431"/>
      <c r="D22" s="49" t="s">
        <v>502</v>
      </c>
      <c r="E22" s="49">
        <v>3000</v>
      </c>
      <c r="F22" s="71"/>
      <c r="J22" s="50"/>
      <c r="K22" s="50"/>
    </row>
    <row r="23" spans="2:11">
      <c r="B23" s="405"/>
      <c r="D23" s="49" t="s">
        <v>1401</v>
      </c>
      <c r="E23" s="49">
        <v>1000</v>
      </c>
      <c r="F23" s="71"/>
      <c r="J23" s="50"/>
      <c r="K23" s="50"/>
    </row>
    <row r="24" spans="2:11">
      <c r="B24" s="395" t="s">
        <v>1190</v>
      </c>
      <c r="C24" s="395">
        <v>85</v>
      </c>
      <c r="D24" s="49" t="s">
        <v>1188</v>
      </c>
      <c r="E24" s="49"/>
      <c r="F24" s="71"/>
      <c r="J24" s="50"/>
      <c r="K24" s="50"/>
    </row>
    <row r="25" spans="2:11">
      <c r="B25" s="395" t="s">
        <v>1191</v>
      </c>
      <c r="C25" s="395">
        <v>120</v>
      </c>
      <c r="D25" s="49" t="s">
        <v>1189</v>
      </c>
      <c r="E25" s="49"/>
      <c r="F25" s="71"/>
      <c r="J25" s="50"/>
      <c r="K25" s="50"/>
    </row>
    <row r="26" spans="2:11" ht="14.45">
      <c r="B26" s="469"/>
      <c r="C26" s="469"/>
      <c r="F26" s="71"/>
      <c r="J26" s="50"/>
      <c r="K26" s="50"/>
    </row>
    <row r="27" spans="2:11" thickBot="1">
      <c r="B27" s="405"/>
      <c r="F27" s="71"/>
      <c r="J27" s="50"/>
      <c r="K27" s="50"/>
    </row>
    <row r="28" spans="2:11" ht="29.25" thickBot="1">
      <c r="B28" s="607" t="s">
        <v>350</v>
      </c>
      <c r="C28" s="608"/>
      <c r="D28" s="609">
        <f>J92+J99+J178+J191+J201+J206+J222+J291+J310+J325+J371+J393+J415+D423</f>
        <v>19764015.408659697</v>
      </c>
      <c r="E28" s="610"/>
      <c r="F28" s="71"/>
      <c r="J28" s="50"/>
      <c r="K28" s="50"/>
    </row>
    <row r="29" spans="2:11" ht="14.45">
      <c r="B29" s="405"/>
      <c r="F29" s="71"/>
      <c r="J29" s="50"/>
      <c r="K29" s="50"/>
    </row>
    <row r="30" spans="2:11" ht="14.45">
      <c r="B30" s="405"/>
      <c r="F30" s="71"/>
      <c r="J30" s="50"/>
      <c r="K30" s="50"/>
    </row>
    <row r="31" spans="2:11" ht="14.45">
      <c r="F31" s="71"/>
    </row>
    <row r="32" spans="2:11">
      <c r="B32" s="36" t="s">
        <v>498</v>
      </c>
      <c r="F32" s="366" t="s">
        <v>576</v>
      </c>
      <c r="G32" s="366"/>
      <c r="H32" s="366"/>
      <c r="I32" s="366"/>
      <c r="J32" s="366"/>
      <c r="K32" s="50"/>
    </row>
    <row r="33" spans="2:11">
      <c r="B33" s="405" t="s">
        <v>1747</v>
      </c>
      <c r="F33" s="485" t="s">
        <v>1658</v>
      </c>
      <c r="G33" s="366"/>
      <c r="H33" s="366"/>
      <c r="I33" s="366"/>
      <c r="J33" s="366"/>
    </row>
    <row r="34" spans="2:11" ht="14.45">
      <c r="F34" s="485"/>
      <c r="G34" s="366"/>
      <c r="H34" s="366"/>
      <c r="I34" s="366"/>
      <c r="J34" s="366"/>
    </row>
    <row r="35" spans="2:11" ht="14.45">
      <c r="B35" s="405"/>
      <c r="F35" s="485"/>
      <c r="G35" s="366"/>
      <c r="H35" s="366"/>
      <c r="I35" s="366"/>
      <c r="J35" s="366"/>
    </row>
    <row r="36" spans="2:11">
      <c r="B36" s="36" t="s">
        <v>1753</v>
      </c>
      <c r="F36" s="485" t="s">
        <v>1754</v>
      </c>
      <c r="G36" s="366"/>
      <c r="H36" s="366"/>
      <c r="I36" s="366"/>
      <c r="J36" s="366"/>
      <c r="K36" s="50"/>
    </row>
    <row r="37" spans="2:11" ht="14.45">
      <c r="F37" s="485"/>
      <c r="G37" s="366"/>
      <c r="H37" s="366"/>
      <c r="I37" s="366"/>
      <c r="J37" s="366"/>
    </row>
    <row r="38" spans="2:11" ht="14.45">
      <c r="B38" s="405"/>
      <c r="F38" s="485"/>
      <c r="G38" s="366"/>
      <c r="H38" s="366"/>
      <c r="I38" s="366"/>
      <c r="J38" s="366"/>
    </row>
    <row r="39" spans="2:11">
      <c r="B39" s="36" t="s">
        <v>1748</v>
      </c>
      <c r="F39" s="366"/>
      <c r="G39" s="366"/>
      <c r="H39" s="366"/>
      <c r="I39" s="366"/>
      <c r="J39" s="366"/>
    </row>
    <row r="40" spans="2:11" ht="14.45">
      <c r="F40" s="366"/>
      <c r="G40" s="366"/>
      <c r="H40" s="366"/>
      <c r="I40" s="366"/>
      <c r="J40" s="366"/>
    </row>
    <row r="41" spans="2:11" ht="14.45">
      <c r="B41" s="405"/>
      <c r="F41" s="366"/>
      <c r="G41" s="366"/>
      <c r="H41" s="366"/>
      <c r="I41" s="366"/>
      <c r="J41" s="366"/>
    </row>
    <row r="42" spans="2:11">
      <c r="B42" s="36" t="s">
        <v>1749</v>
      </c>
      <c r="F42" s="366"/>
      <c r="G42" s="366"/>
      <c r="H42" s="366"/>
      <c r="I42" s="366"/>
      <c r="J42" s="366"/>
    </row>
    <row r="43" spans="2:11" ht="14.45">
      <c r="B43" s="36"/>
      <c r="F43" s="366"/>
      <c r="G43" s="366"/>
      <c r="H43" s="366"/>
      <c r="I43" s="366"/>
      <c r="J43" s="366"/>
    </row>
    <row r="44" spans="2:11" ht="14.45">
      <c r="B44" s="405"/>
      <c r="F44" s="366"/>
      <c r="G44" s="366"/>
      <c r="H44" s="366"/>
      <c r="I44" s="366"/>
      <c r="J44" s="366"/>
    </row>
    <row r="45" spans="2:11" ht="14.45">
      <c r="B45" s="405"/>
      <c r="F45" s="71"/>
    </row>
    <row r="46" spans="2:11" ht="14.45">
      <c r="B46" s="405"/>
      <c r="F46" s="71"/>
    </row>
    <row r="47" spans="2:11" thickBot="1">
      <c r="F47" s="71"/>
    </row>
    <row r="48" spans="2:11" ht="19.5" customHeight="1" thickBot="1">
      <c r="B48" s="592" t="s">
        <v>186</v>
      </c>
      <c r="C48" s="593"/>
      <c r="D48" s="593"/>
      <c r="E48" s="593"/>
      <c r="F48" s="593"/>
      <c r="G48" s="593"/>
      <c r="H48" s="593"/>
      <c r="I48" s="593"/>
      <c r="J48" s="593"/>
      <c r="K48" s="497"/>
    </row>
    <row r="49" spans="2:12" ht="45">
      <c r="B49" s="406" t="s">
        <v>187</v>
      </c>
      <c r="C49" s="432" t="s">
        <v>188</v>
      </c>
      <c r="D49" s="318" t="s">
        <v>182</v>
      </c>
      <c r="E49" s="318" t="s">
        <v>183</v>
      </c>
      <c r="F49" s="319" t="s">
        <v>184</v>
      </c>
      <c r="G49" s="318" t="s">
        <v>254</v>
      </c>
      <c r="H49" s="318" t="s">
        <v>253</v>
      </c>
      <c r="I49" s="318" t="s">
        <v>255</v>
      </c>
      <c r="J49" s="320" t="s">
        <v>343</v>
      </c>
      <c r="K49" s="321" t="s">
        <v>349</v>
      </c>
    </row>
    <row r="50" spans="2:12" s="164" customFormat="1" ht="15.75" customHeight="1">
      <c r="B50" s="398" t="s">
        <v>189</v>
      </c>
      <c r="C50" s="395" t="s">
        <v>190</v>
      </c>
      <c r="D50" s="73">
        <f>SUM(I52:J57)</f>
        <v>5067.0839822812841</v>
      </c>
      <c r="E50" s="73"/>
      <c r="F50" s="282">
        <v>5735</v>
      </c>
      <c r="G50" s="73"/>
      <c r="H50" s="73"/>
      <c r="I50" s="232">
        <f>MAX(D50-E50-F50,)</f>
        <v>0</v>
      </c>
      <c r="J50" s="162">
        <f>I50*Цены!B3-'Дефицит основной'!H50*Цены!B3</f>
        <v>0</v>
      </c>
      <c r="K50" s="163"/>
      <c r="L50" s="164">
        <v>36.799999999999997</v>
      </c>
    </row>
    <row r="51" spans="2:12" s="164" customFormat="1" ht="14.45" hidden="1" outlineLevel="1">
      <c r="B51" s="398" t="s">
        <v>189</v>
      </c>
      <c r="C51" s="395" t="s">
        <v>421</v>
      </c>
      <c r="D51" s="73" t="s">
        <v>422</v>
      </c>
      <c r="E51" s="73" t="s">
        <v>423</v>
      </c>
      <c r="F51" s="282"/>
      <c r="G51" s="573" t="s">
        <v>424</v>
      </c>
      <c r="H51" s="574"/>
      <c r="I51" s="573" t="s">
        <v>425</v>
      </c>
      <c r="J51" s="574"/>
      <c r="K51" s="163"/>
    </row>
    <row r="52" spans="2:12" s="164" customFormat="1" ht="14.45" hidden="1" outlineLevel="1">
      <c r="B52" s="398"/>
      <c r="C52" s="395" t="s">
        <v>420</v>
      </c>
      <c r="D52" s="73">
        <f>(E13+C14+E14+C15)*2</f>
        <v>3000</v>
      </c>
      <c r="E52" s="231">
        <v>500</v>
      </c>
      <c r="F52" s="282"/>
      <c r="G52" s="604">
        <f t="shared" ref="G52:G55" si="0">MAX(D52-E52,)</f>
        <v>2500</v>
      </c>
      <c r="H52" s="605"/>
      <c r="I52" s="604">
        <f>G52*'18М'!I5</f>
        <v>4200</v>
      </c>
      <c r="J52" s="605"/>
      <c r="K52" s="163"/>
    </row>
    <row r="53" spans="2:12" s="164" customFormat="1" ht="14.45" hidden="1" outlineLevel="1">
      <c r="B53" s="398"/>
      <c r="C53" s="395" t="s">
        <v>623</v>
      </c>
      <c r="D53" s="73">
        <f>C14+E13</f>
        <v>1100</v>
      </c>
      <c r="E53" s="231">
        <v>0</v>
      </c>
      <c r="F53" s="282"/>
      <c r="G53" s="604">
        <f t="shared" si="0"/>
        <v>1100</v>
      </c>
      <c r="H53" s="605"/>
      <c r="I53" s="604">
        <f>G53*'18М'!J14</f>
        <v>45.071982281284612</v>
      </c>
      <c r="J53" s="605"/>
      <c r="K53" s="163"/>
    </row>
    <row r="54" spans="2:12" s="164" customFormat="1" ht="14.45" hidden="1" outlineLevel="1">
      <c r="B54" s="398"/>
      <c r="C54" s="395" t="s">
        <v>585</v>
      </c>
      <c r="D54" s="73">
        <f>C14+E14</f>
        <v>400</v>
      </c>
      <c r="E54" s="231">
        <v>0</v>
      </c>
      <c r="F54" s="282"/>
      <c r="G54" s="604">
        <f t="shared" si="0"/>
        <v>400</v>
      </c>
      <c r="H54" s="605"/>
      <c r="I54" s="604">
        <f>G54*'24М'!J7</f>
        <v>296</v>
      </c>
      <c r="J54" s="605"/>
      <c r="K54" s="163"/>
    </row>
    <row r="55" spans="2:12" s="164" customFormat="1" ht="14.45" hidden="1" outlineLevel="1">
      <c r="B55" s="398"/>
      <c r="C55" s="395" t="s">
        <v>586</v>
      </c>
      <c r="D55" s="73">
        <f>C15</f>
        <v>200</v>
      </c>
      <c r="E55" s="231">
        <v>0</v>
      </c>
      <c r="F55" s="282"/>
      <c r="G55" s="604">
        <f t="shared" si="0"/>
        <v>200</v>
      </c>
      <c r="H55" s="605"/>
      <c r="I55" s="604">
        <f>G55*'36М-ВС'!J7</f>
        <v>264</v>
      </c>
      <c r="J55" s="605"/>
      <c r="K55" s="163"/>
    </row>
    <row r="56" spans="2:12" s="164" customFormat="1" ht="14.45" hidden="1" outlineLevel="1">
      <c r="B56" s="398"/>
      <c r="C56" s="395" t="s">
        <v>1399</v>
      </c>
      <c r="D56" s="73">
        <f>C18+E18+C19+E19</f>
        <v>5900</v>
      </c>
      <c r="E56" s="231">
        <v>1674</v>
      </c>
      <c r="F56" s="282"/>
      <c r="G56" s="604">
        <f t="shared" ref="G56" si="1">MAX(D56-E56,)</f>
        <v>4226</v>
      </c>
      <c r="H56" s="605"/>
      <c r="I56" s="604">
        <f>G56*'ТРВ-15м-2'!I44</f>
        <v>262.012</v>
      </c>
      <c r="J56" s="605"/>
      <c r="K56" s="163"/>
    </row>
    <row r="57" spans="2:12" s="164" customFormat="1" ht="14.45" hidden="1" outlineLevel="1">
      <c r="B57" s="398"/>
      <c r="C57" s="395" t="s">
        <v>1048</v>
      </c>
      <c r="D57" s="73">
        <f>C16+C17+E16+E17+C24+C25+E24+E25</f>
        <v>208</v>
      </c>
      <c r="E57" s="231">
        <v>278</v>
      </c>
      <c r="F57" s="282"/>
      <c r="G57" s="604">
        <f t="shared" ref="G57" si="2">MAX(D57-E57,)</f>
        <v>0</v>
      </c>
      <c r="H57" s="605"/>
      <c r="I57" s="604">
        <f>G57*'МГП ЦОД 20'!I10</f>
        <v>0</v>
      </c>
      <c r="J57" s="605"/>
      <c r="K57" s="163"/>
    </row>
    <row r="58" spans="2:12" s="289" customFormat="1" collapsed="1">
      <c r="B58" s="407" t="s">
        <v>189</v>
      </c>
      <c r="C58" s="433" t="s">
        <v>499</v>
      </c>
      <c r="D58" s="73">
        <f>SUM(I60:J66)</f>
        <v>42699.830847457619</v>
      </c>
      <c r="E58" s="231"/>
      <c r="F58" s="282">
        <v>51719.78</v>
      </c>
      <c r="G58" s="290">
        <v>0</v>
      </c>
      <c r="H58" s="290">
        <v>0</v>
      </c>
      <c r="I58" s="232">
        <f>MAX(D58-E58-F58,)</f>
        <v>0</v>
      </c>
      <c r="J58" s="291">
        <f>I58*Цены!B4</f>
        <v>0</v>
      </c>
      <c r="K58" s="163"/>
      <c r="L58" s="289">
        <v>49.06</v>
      </c>
    </row>
    <row r="59" spans="2:12" s="164" customFormat="1" ht="14.45" hidden="1" outlineLevel="1">
      <c r="B59" s="407"/>
      <c r="C59" s="395" t="s">
        <v>421</v>
      </c>
      <c r="D59" s="73" t="s">
        <v>422</v>
      </c>
      <c r="E59" s="73" t="s">
        <v>423</v>
      </c>
      <c r="F59" s="282"/>
      <c r="G59" s="573" t="s">
        <v>424</v>
      </c>
      <c r="H59" s="574"/>
      <c r="I59" s="573" t="s">
        <v>425</v>
      </c>
      <c r="J59" s="574"/>
      <c r="K59" s="163"/>
    </row>
    <row r="60" spans="2:12" s="164" customFormat="1" ht="14.45" hidden="1" outlineLevel="1">
      <c r="B60" s="407"/>
      <c r="C60" s="433" t="s">
        <v>1008</v>
      </c>
      <c r="D60" s="73">
        <f>E18*2</f>
        <v>9000</v>
      </c>
      <c r="E60" s="231">
        <v>1000</v>
      </c>
      <c r="F60" s="282"/>
      <c r="G60" s="597">
        <f>MAX(D60-E60,)</f>
        <v>8000</v>
      </c>
      <c r="H60" s="598"/>
      <c r="I60" s="573">
        <f>G60*'ТРВ-15м-2'!I10</f>
        <v>36520</v>
      </c>
      <c r="J60" s="574"/>
      <c r="K60" s="163"/>
    </row>
    <row r="61" spans="2:12" s="164" customFormat="1" ht="14.45" hidden="1" outlineLevel="1">
      <c r="B61" s="407"/>
      <c r="C61" s="433" t="s">
        <v>1009</v>
      </c>
      <c r="D61" s="73">
        <f>C18+C19+E19</f>
        <v>1400</v>
      </c>
      <c r="E61" s="231">
        <v>0</v>
      </c>
      <c r="F61" s="282"/>
      <c r="G61" s="597">
        <f>MAX(D61-E61,)</f>
        <v>1400</v>
      </c>
      <c r="H61" s="598"/>
      <c r="I61" s="573">
        <f>G61*'ТРВ-9м-2'!I10</f>
        <v>4687.2</v>
      </c>
      <c r="J61" s="574"/>
      <c r="K61" s="163"/>
    </row>
    <row r="62" spans="2:12" s="164" customFormat="1" ht="14.45" hidden="1" outlineLevel="1">
      <c r="B62" s="407"/>
      <c r="C62" s="395" t="s">
        <v>587</v>
      </c>
      <c r="D62" s="73">
        <f>C19</f>
        <v>550</v>
      </c>
      <c r="E62" s="231"/>
      <c r="F62" s="282"/>
      <c r="G62" s="597">
        <f t="shared" ref="G62:G63" si="3">MAX(D62-E62,)</f>
        <v>550</v>
      </c>
      <c r="H62" s="598"/>
      <c r="I62" s="573">
        <f>G62*'ТРВ-17м-2'!I12</f>
        <v>1022.9999999999999</v>
      </c>
      <c r="J62" s="574"/>
      <c r="K62" s="163"/>
    </row>
    <row r="63" spans="2:12" s="164" customFormat="1" ht="14.45" hidden="1" outlineLevel="1">
      <c r="B63" s="407"/>
      <c r="C63" s="395" t="s">
        <v>588</v>
      </c>
      <c r="D63" s="73">
        <f>E19</f>
        <v>150</v>
      </c>
      <c r="E63" s="231"/>
      <c r="F63" s="282"/>
      <c r="G63" s="597">
        <f t="shared" si="3"/>
        <v>150</v>
      </c>
      <c r="H63" s="598"/>
      <c r="I63" s="573">
        <f>G63*1.44</f>
        <v>216</v>
      </c>
      <c r="J63" s="574"/>
      <c r="K63" s="163"/>
    </row>
    <row r="64" spans="2:12" s="164" customFormat="1" ht="14.45" hidden="1" outlineLevel="1">
      <c r="B64" s="407"/>
      <c r="C64" s="433" t="s">
        <v>608</v>
      </c>
      <c r="D64" s="73">
        <f>E13+C14</f>
        <v>1100</v>
      </c>
      <c r="E64" s="231">
        <v>0</v>
      </c>
      <c r="F64" s="282"/>
      <c r="G64" s="597">
        <f>MAX(D64-E64,)</f>
        <v>1100</v>
      </c>
      <c r="H64" s="598"/>
      <c r="I64" s="573">
        <f>G64*'18М'!J16</f>
        <v>83.050847457627114</v>
      </c>
      <c r="J64" s="574"/>
      <c r="K64" s="163"/>
    </row>
    <row r="65" spans="2:15" s="164" customFormat="1" ht="14.45" hidden="1" outlineLevel="1">
      <c r="B65" s="407"/>
      <c r="C65" s="433" t="s">
        <v>1690</v>
      </c>
      <c r="D65" s="73">
        <f>(C24+E24)*2</f>
        <v>170</v>
      </c>
      <c r="E65" s="231"/>
      <c r="F65" s="282"/>
      <c r="G65" s="597">
        <f t="shared" ref="G65:G66" si="4">MAX(D65-E65,)</f>
        <v>170</v>
      </c>
      <c r="H65" s="598"/>
      <c r="I65" s="573">
        <f>G65*'МГП ЦОД 10'!H57</f>
        <v>68.34</v>
      </c>
      <c r="J65" s="574"/>
      <c r="K65" s="163"/>
    </row>
    <row r="66" spans="2:15" s="164" customFormat="1" ht="14.45" hidden="1" outlineLevel="1">
      <c r="B66" s="407"/>
      <c r="C66" s="433" t="s">
        <v>1691</v>
      </c>
      <c r="D66" s="73">
        <f>(C25+E25)*2</f>
        <v>240</v>
      </c>
      <c r="E66" s="231"/>
      <c r="F66" s="282"/>
      <c r="G66" s="597">
        <f t="shared" si="4"/>
        <v>240</v>
      </c>
      <c r="H66" s="598"/>
      <c r="I66" s="573">
        <f>G66*'МГП ЦОД 20'!H57</f>
        <v>102.24</v>
      </c>
      <c r="J66" s="574"/>
      <c r="K66" s="163"/>
    </row>
    <row r="67" spans="2:15" s="164" customFormat="1" collapsed="1">
      <c r="B67" s="398" t="s">
        <v>191</v>
      </c>
      <c r="C67" s="395" t="s">
        <v>192</v>
      </c>
      <c r="D67" s="73">
        <f>SUM(I69:J87)</f>
        <v>9219.997333333331</v>
      </c>
      <c r="E67" s="73">
        <v>0</v>
      </c>
      <c r="F67" s="282">
        <v>1216</v>
      </c>
      <c r="G67" s="73"/>
      <c r="H67" s="73"/>
      <c r="I67" s="232">
        <f>MAX(D67-E67-F67,)</f>
        <v>8003.997333333331</v>
      </c>
      <c r="J67" s="162">
        <f>I67*Цены!B5</f>
        <v>434617.05519999983</v>
      </c>
      <c r="K67" s="163"/>
      <c r="L67" s="164">
        <v>73.59</v>
      </c>
      <c r="M67" s="171">
        <f>I67/L67</f>
        <v>108.76474158626621</v>
      </c>
      <c r="N67" s="164">
        <f>I67-1850</f>
        <v>6153.997333333331</v>
      </c>
      <c r="O67" s="164">
        <f>17*74</f>
        <v>1258</v>
      </c>
    </row>
    <row r="68" spans="2:15" s="164" customFormat="1" ht="14.45" hidden="1" outlineLevel="1">
      <c r="B68" s="398"/>
      <c r="C68" s="395" t="s">
        <v>421</v>
      </c>
      <c r="D68" s="73" t="s">
        <v>422</v>
      </c>
      <c r="E68" s="73" t="s">
        <v>423</v>
      </c>
      <c r="F68" s="282"/>
      <c r="G68" s="573" t="s">
        <v>424</v>
      </c>
      <c r="H68" s="574"/>
      <c r="I68" s="573" t="s">
        <v>425</v>
      </c>
      <c r="J68" s="574"/>
      <c r="K68" s="163"/>
    </row>
    <row r="69" spans="2:15" s="164" customFormat="1" ht="14.45" hidden="1" outlineLevel="1">
      <c r="B69" s="398"/>
      <c r="C69" s="395" t="s">
        <v>1400</v>
      </c>
      <c r="D69" s="73">
        <f>C18+C19+E18+E19</f>
        <v>5900</v>
      </c>
      <c r="E69" s="73">
        <v>5000</v>
      </c>
      <c r="F69" s="282"/>
      <c r="G69" s="573">
        <f t="shared" ref="G69:G75" si="5">MAX(D69-E69,)</f>
        <v>900</v>
      </c>
      <c r="H69" s="574"/>
      <c r="I69" s="597">
        <f>G69*('ТРВ-15м-2'!I18+'ТРВ-15м-2'!I49)</f>
        <v>81</v>
      </c>
      <c r="J69" s="598"/>
      <c r="K69" s="163"/>
    </row>
    <row r="70" spans="2:15" s="164" customFormat="1" ht="14.45" hidden="1" outlineLevel="1">
      <c r="B70" s="398"/>
      <c r="C70" s="395" t="s">
        <v>589</v>
      </c>
      <c r="D70" s="73">
        <f>C13+E13+C14+C15+E14</f>
        <v>1700</v>
      </c>
      <c r="E70" s="73">
        <v>0</v>
      </c>
      <c r="F70" s="282"/>
      <c r="G70" s="573">
        <f t="shared" si="5"/>
        <v>1700</v>
      </c>
      <c r="H70" s="574"/>
      <c r="I70" s="597">
        <f>G70*'12М'!J17</f>
        <v>139.00333333333333</v>
      </c>
      <c r="J70" s="598"/>
      <c r="K70" s="163"/>
    </row>
    <row r="71" spans="2:15" s="164" customFormat="1" ht="14.45" hidden="1" outlineLevel="1">
      <c r="B71" s="398"/>
      <c r="C71" s="395" t="s">
        <v>1010</v>
      </c>
      <c r="D71" s="73">
        <f>(C18+C19+E18+E19)*2</f>
        <v>11800</v>
      </c>
      <c r="E71" s="73">
        <v>448</v>
      </c>
      <c r="F71" s="282"/>
      <c r="G71" s="573">
        <f t="shared" si="5"/>
        <v>11352</v>
      </c>
      <c r="H71" s="574"/>
      <c r="I71" s="618">
        <f>G71*'ТРВ-15м-2'!I47</f>
        <v>715.17600000000004</v>
      </c>
      <c r="J71" s="619"/>
      <c r="K71" s="163"/>
    </row>
    <row r="72" spans="2:15" s="164" customFormat="1" ht="14.45" hidden="1" outlineLevel="1">
      <c r="B72" s="398"/>
      <c r="C72" s="395" t="s">
        <v>1011</v>
      </c>
      <c r="D72" s="73">
        <f>(C19+C18+E19+E18)*2</f>
        <v>11800</v>
      </c>
      <c r="E72" s="73">
        <v>600</v>
      </c>
      <c r="F72" s="282"/>
      <c r="G72" s="573">
        <f t="shared" si="5"/>
        <v>11200</v>
      </c>
      <c r="H72" s="574"/>
      <c r="I72" s="618">
        <f>G72*'ТРВ-15м-2'!I32</f>
        <v>2150.4</v>
      </c>
      <c r="J72" s="619"/>
      <c r="K72" s="163"/>
    </row>
    <row r="73" spans="2:15" s="164" customFormat="1" ht="14.45" hidden="1" outlineLevel="1">
      <c r="B73" s="398"/>
      <c r="C73" s="395" t="s">
        <v>1012</v>
      </c>
      <c r="D73" s="73">
        <f>(C19+C18+E19+E18)*2</f>
        <v>11800</v>
      </c>
      <c r="E73" s="73">
        <v>600</v>
      </c>
      <c r="F73" s="282"/>
      <c r="G73" s="573">
        <f t="shared" si="5"/>
        <v>11200</v>
      </c>
      <c r="H73" s="574"/>
      <c r="I73" s="618">
        <f>G73*'ТРВ-15м-2'!I29</f>
        <v>2016</v>
      </c>
      <c r="J73" s="619"/>
      <c r="K73" s="163"/>
    </row>
    <row r="74" spans="2:15" s="164" customFormat="1" ht="14.45" hidden="1" outlineLevel="1">
      <c r="B74" s="398"/>
      <c r="C74" s="395" t="s">
        <v>34</v>
      </c>
      <c r="D74" s="73">
        <f>E13+C14+E14+C15</f>
        <v>1500</v>
      </c>
      <c r="E74" s="73"/>
      <c r="F74" s="282"/>
      <c r="G74" s="573">
        <f t="shared" ref="G74" si="6">MAX(D74-E74,)</f>
        <v>1500</v>
      </c>
      <c r="H74" s="574"/>
      <c r="I74" s="618">
        <f>G74*'18М'!I9</f>
        <v>256.5</v>
      </c>
      <c r="J74" s="619"/>
      <c r="K74" s="163"/>
    </row>
    <row r="75" spans="2:15" s="164" customFormat="1" ht="14.45" hidden="1" outlineLevel="1">
      <c r="B75" s="398"/>
      <c r="C75" s="395" t="s">
        <v>875</v>
      </c>
      <c r="D75" s="73">
        <f>C13</f>
        <v>200</v>
      </c>
      <c r="E75" s="73">
        <v>100</v>
      </c>
      <c r="F75" s="282"/>
      <c r="G75" s="573">
        <f t="shared" si="5"/>
        <v>100</v>
      </c>
      <c r="H75" s="574"/>
      <c r="I75" s="597">
        <f>G75*0.9</f>
        <v>90</v>
      </c>
      <c r="J75" s="598"/>
      <c r="K75" s="163"/>
    </row>
    <row r="76" spans="2:15" s="164" customFormat="1" ht="14.45" hidden="1" outlineLevel="1">
      <c r="B76" s="398"/>
      <c r="C76" s="395" t="s">
        <v>1699</v>
      </c>
      <c r="D76" s="73">
        <f>C13*2</f>
        <v>400</v>
      </c>
      <c r="E76" s="73"/>
      <c r="F76" s="282"/>
      <c r="G76" s="573">
        <f t="shared" ref="G76" si="7">MAX(D76-E76,)</f>
        <v>400</v>
      </c>
      <c r="H76" s="574"/>
      <c r="I76" s="597">
        <f>G76*0.17</f>
        <v>68</v>
      </c>
      <c r="J76" s="598"/>
      <c r="K76" s="174"/>
    </row>
    <row r="77" spans="2:15" s="164" customFormat="1" ht="14.45" hidden="1" outlineLevel="1">
      <c r="B77" s="395" t="s">
        <v>1637</v>
      </c>
      <c r="C77" s="395" t="s">
        <v>1695</v>
      </c>
      <c r="D77" s="73">
        <f>E22</f>
        <v>3000</v>
      </c>
      <c r="E77" s="73"/>
      <c r="F77" s="282"/>
      <c r="G77" s="573">
        <f t="shared" ref="G77" si="8">MAX(D77-E77,)</f>
        <v>3000</v>
      </c>
      <c r="H77" s="574"/>
      <c r="I77" s="597">
        <f>G77*0.339</f>
        <v>1017.0000000000001</v>
      </c>
      <c r="J77" s="598"/>
      <c r="K77" s="174"/>
    </row>
    <row r="78" spans="2:15" s="164" customFormat="1" ht="14.45" hidden="1" outlineLevel="1">
      <c r="B78" s="395"/>
      <c r="C78" s="395" t="s">
        <v>1579</v>
      </c>
      <c r="D78" s="73">
        <f>E22</f>
        <v>3000</v>
      </c>
      <c r="E78" s="73"/>
      <c r="F78" s="282"/>
      <c r="G78" s="573">
        <f t="shared" ref="G78" si="9">MAX(D78-E78,)</f>
        <v>3000</v>
      </c>
      <c r="H78" s="574"/>
      <c r="I78" s="597">
        <f>G78*0.18</f>
        <v>540</v>
      </c>
      <c r="J78" s="598"/>
      <c r="K78" s="174"/>
    </row>
    <row r="79" spans="2:15" s="164" customFormat="1" ht="14.45" hidden="1" outlineLevel="1">
      <c r="B79" s="395" t="s">
        <v>1401</v>
      </c>
      <c r="C79" s="395" t="s">
        <v>1696</v>
      </c>
      <c r="D79" s="73">
        <f>E23</f>
        <v>1000</v>
      </c>
      <c r="E79" s="73"/>
      <c r="F79" s="282"/>
      <c r="G79" s="573">
        <f t="shared" ref="G79:G81" si="10">MAX(D79-E79,)</f>
        <v>1000</v>
      </c>
      <c r="H79" s="574"/>
      <c r="I79" s="597">
        <f>G79*0.228</f>
        <v>228</v>
      </c>
      <c r="J79" s="598"/>
      <c r="K79" s="174"/>
    </row>
    <row r="80" spans="2:15" s="164" customFormat="1" ht="14.45" hidden="1" outlineLevel="1">
      <c r="B80" s="395"/>
      <c r="C80" s="395" t="s">
        <v>1697</v>
      </c>
      <c r="D80" s="73">
        <f>E23</f>
        <v>1000</v>
      </c>
      <c r="E80" s="73"/>
      <c r="F80" s="282"/>
      <c r="G80" s="573">
        <f t="shared" si="10"/>
        <v>1000</v>
      </c>
      <c r="H80" s="574"/>
      <c r="I80" s="597">
        <f>G80*0.522</f>
        <v>522</v>
      </c>
      <c r="J80" s="598"/>
      <c r="K80" s="174"/>
    </row>
    <row r="81" spans="2:14" s="164" customFormat="1" ht="14.45" hidden="1" outlineLevel="1">
      <c r="B81" s="395"/>
      <c r="C81" s="395" t="s">
        <v>1698</v>
      </c>
      <c r="D81" s="73">
        <f>E23</f>
        <v>1000</v>
      </c>
      <c r="E81" s="73"/>
      <c r="F81" s="282"/>
      <c r="G81" s="573">
        <f t="shared" si="10"/>
        <v>1000</v>
      </c>
      <c r="H81" s="574"/>
      <c r="I81" s="597">
        <f>G81*0.258</f>
        <v>258</v>
      </c>
      <c r="J81" s="598"/>
      <c r="K81" s="174"/>
    </row>
    <row r="82" spans="2:14" s="164" customFormat="1" ht="14.45" hidden="1" outlineLevel="1">
      <c r="B82" s="398" t="s">
        <v>1692</v>
      </c>
      <c r="C82" s="395" t="s">
        <v>1114</v>
      </c>
      <c r="D82" s="73">
        <f>C24+E24</f>
        <v>85</v>
      </c>
      <c r="E82" s="73"/>
      <c r="F82" s="282"/>
      <c r="G82" s="573">
        <f t="shared" ref="G82:G87" si="11">MAX(D82-E82,)</f>
        <v>85</v>
      </c>
      <c r="H82" s="574"/>
      <c r="I82" s="597">
        <f>G82*'МГП ЦОД 10'!I51</f>
        <v>159.79999999999998</v>
      </c>
      <c r="J82" s="598"/>
      <c r="K82" s="174"/>
    </row>
    <row r="83" spans="2:14" s="164" customFormat="1" ht="14.45" hidden="1" outlineLevel="1">
      <c r="B83" s="398"/>
      <c r="C83" s="395" t="s">
        <v>875</v>
      </c>
      <c r="D83" s="73">
        <f>C24+E24</f>
        <v>85</v>
      </c>
      <c r="E83" s="73"/>
      <c r="F83" s="282"/>
      <c r="G83" s="573">
        <f t="shared" si="11"/>
        <v>85</v>
      </c>
      <c r="H83" s="574"/>
      <c r="I83" s="597">
        <f>G83*'МГП ЦОД 10'!I58</f>
        <v>213.09499999999997</v>
      </c>
      <c r="J83" s="598"/>
      <c r="K83" s="174"/>
    </row>
    <row r="84" spans="2:14" s="164" customFormat="1" ht="14.45" hidden="1" outlineLevel="1">
      <c r="B84" s="398"/>
      <c r="C84" s="395" t="s">
        <v>1127</v>
      </c>
      <c r="D84" s="73">
        <f>C24+E24+C25+E25</f>
        <v>205</v>
      </c>
      <c r="E84" s="73"/>
      <c r="F84" s="282"/>
      <c r="G84" s="573">
        <f t="shared" si="11"/>
        <v>205</v>
      </c>
      <c r="H84" s="574"/>
      <c r="I84" s="597">
        <f>G84*'МГП ЦОД 10'!I59</f>
        <v>32.594999999999999</v>
      </c>
      <c r="J84" s="598"/>
      <c r="K84" s="174"/>
    </row>
    <row r="85" spans="2:14" s="164" customFormat="1" ht="14.45" hidden="1" outlineLevel="1">
      <c r="B85" s="398" t="s">
        <v>1693</v>
      </c>
      <c r="C85" s="395" t="s">
        <v>1114</v>
      </c>
      <c r="D85" s="73">
        <f>C25+E25</f>
        <v>120</v>
      </c>
      <c r="E85" s="73"/>
      <c r="F85" s="282"/>
      <c r="G85" s="573">
        <f t="shared" si="11"/>
        <v>120</v>
      </c>
      <c r="H85" s="574"/>
      <c r="I85" s="597">
        <f>G85*'МГП ЦОД 20'!I51</f>
        <v>322.32</v>
      </c>
      <c r="J85" s="598"/>
      <c r="K85" s="174"/>
    </row>
    <row r="86" spans="2:14" s="164" customFormat="1" ht="14.45" hidden="1" outlineLevel="1">
      <c r="B86" s="398"/>
      <c r="C86" s="395" t="s">
        <v>875</v>
      </c>
      <c r="D86" s="73">
        <f>C25+E25</f>
        <v>120</v>
      </c>
      <c r="E86" s="73"/>
      <c r="F86" s="282"/>
      <c r="G86" s="573">
        <f>MAX(D86-E86,)</f>
        <v>120</v>
      </c>
      <c r="H86" s="574"/>
      <c r="I86" s="597">
        <f>G86*'МГП ЦОД 20'!I58</f>
        <v>410.15999999999997</v>
      </c>
      <c r="J86" s="598"/>
      <c r="K86" s="174"/>
    </row>
    <row r="87" spans="2:14" s="164" customFormat="1" ht="14.45" hidden="1" outlineLevel="1">
      <c r="B87" s="398" t="s">
        <v>1694</v>
      </c>
      <c r="C87" s="395" t="s">
        <v>875</v>
      </c>
      <c r="D87" s="73">
        <f>(E16+E17+C17)*2</f>
        <v>6</v>
      </c>
      <c r="E87" s="73"/>
      <c r="F87" s="282"/>
      <c r="G87" s="573">
        <f t="shared" si="11"/>
        <v>6</v>
      </c>
      <c r="H87" s="574"/>
      <c r="I87" s="597">
        <f>G87*'МГП СС 1,2'!H35</f>
        <v>0.94799999999999995</v>
      </c>
      <c r="J87" s="598"/>
      <c r="K87" s="174"/>
    </row>
    <row r="88" spans="2:14" s="164" customFormat="1" collapsed="1">
      <c r="B88" s="398" t="s">
        <v>1396</v>
      </c>
      <c r="C88" s="434" t="s">
        <v>743</v>
      </c>
      <c r="D88" s="387">
        <f>SUM(I90:J91)</f>
        <v>82.6</v>
      </c>
      <c r="E88" s="387">
        <v>0</v>
      </c>
      <c r="F88" s="388">
        <v>60</v>
      </c>
      <c r="G88" s="387"/>
      <c r="H88" s="387"/>
      <c r="I88" s="232">
        <f>MAX(D88-E88-F88,)</f>
        <v>22.599999999999994</v>
      </c>
      <c r="J88" s="484">
        <f>I88*Цены!B6</f>
        <v>42035.999999999993</v>
      </c>
      <c r="K88" s="174"/>
    </row>
    <row r="89" spans="2:14" s="164" customFormat="1">
      <c r="B89" s="398"/>
      <c r="C89" s="395" t="s">
        <v>421</v>
      </c>
      <c r="D89" s="73" t="s">
        <v>422</v>
      </c>
      <c r="E89" s="73" t="s">
        <v>423</v>
      </c>
      <c r="F89" s="282"/>
      <c r="G89" s="573" t="s">
        <v>424</v>
      </c>
      <c r="H89" s="574"/>
      <c r="I89" s="573" t="s">
        <v>425</v>
      </c>
      <c r="J89" s="574"/>
      <c r="K89" s="185"/>
    </row>
    <row r="90" spans="2:14" s="164" customFormat="1">
      <c r="B90" s="398"/>
      <c r="C90" s="395" t="s">
        <v>866</v>
      </c>
      <c r="D90" s="73">
        <f>C18+E18+C19+E19</f>
        <v>5900</v>
      </c>
      <c r="E90" s="73"/>
      <c r="F90" s="282"/>
      <c r="G90" s="573">
        <f>MAX(D90-E90,)</f>
        <v>5900</v>
      </c>
      <c r="H90" s="574"/>
      <c r="I90" s="573">
        <f>G90*'ТРВ-15м-2'!I31</f>
        <v>59</v>
      </c>
      <c r="J90" s="574"/>
      <c r="K90" s="185"/>
    </row>
    <row r="91" spans="2:14" s="164" customFormat="1" ht="15.75" thickBot="1">
      <c r="B91" s="398"/>
      <c r="C91" s="434" t="s">
        <v>11</v>
      </c>
      <c r="D91" s="387">
        <f>C18+E18+C19+E19</f>
        <v>5900</v>
      </c>
      <c r="E91" s="387"/>
      <c r="F91" s="388"/>
      <c r="G91" s="573">
        <f>MAX(D91-E91,)</f>
        <v>5900</v>
      </c>
      <c r="H91" s="574"/>
      <c r="I91" s="625">
        <f>G91*'ТРВ-15м-2'!I45</f>
        <v>23.6</v>
      </c>
      <c r="J91" s="626"/>
      <c r="K91" s="185"/>
    </row>
    <row r="92" spans="2:14" ht="19.5" thickBot="1">
      <c r="F92" s="184"/>
      <c r="H92" s="128"/>
      <c r="I92" s="69" t="s">
        <v>16</v>
      </c>
      <c r="J92" s="500">
        <f>SUM(J50:J88)</f>
        <v>476653.05519999983</v>
      </c>
      <c r="K92" s="499"/>
    </row>
    <row r="93" spans="2:14" ht="19.5" customHeight="1" thickBot="1">
      <c r="B93" s="577" t="s">
        <v>196</v>
      </c>
      <c r="C93" s="578"/>
      <c r="D93" s="578"/>
      <c r="E93" s="578"/>
      <c r="F93" s="578"/>
      <c r="G93" s="578"/>
      <c r="H93" s="578"/>
      <c r="I93" s="578"/>
      <c r="J93" s="578"/>
      <c r="K93" s="496"/>
    </row>
    <row r="94" spans="2:14" s="164" customFormat="1" ht="45">
      <c r="B94" s="408" t="s">
        <v>187</v>
      </c>
      <c r="C94" s="436" t="s">
        <v>188</v>
      </c>
      <c r="D94" s="328" t="s">
        <v>182</v>
      </c>
      <c r="E94" s="328" t="s">
        <v>183</v>
      </c>
      <c r="F94" s="319" t="s">
        <v>184</v>
      </c>
      <c r="G94" s="328" t="s">
        <v>254</v>
      </c>
      <c r="H94" s="328" t="s">
        <v>253</v>
      </c>
      <c r="I94" s="328" t="s">
        <v>255</v>
      </c>
      <c r="J94" s="329" t="s">
        <v>343</v>
      </c>
      <c r="K94" s="330" t="s">
        <v>349</v>
      </c>
    </row>
    <row r="95" spans="2:14" s="164" customFormat="1" ht="15.75" thickBot="1">
      <c r="B95" s="402" t="s">
        <v>199</v>
      </c>
      <c r="C95" s="395" t="s">
        <v>200</v>
      </c>
      <c r="D95" s="73">
        <f>SUM(I97:J98)</f>
        <v>29.216000000000001</v>
      </c>
      <c r="E95" s="73"/>
      <c r="F95" s="282">
        <v>31.5</v>
      </c>
      <c r="G95" s="73"/>
      <c r="H95" s="73">
        <v>0</v>
      </c>
      <c r="I95" s="232">
        <f>MAX(D95-E95-F95,)</f>
        <v>0</v>
      </c>
      <c r="J95" s="162">
        <f>I95*Цены!B7</f>
        <v>0</v>
      </c>
      <c r="K95" s="163"/>
      <c r="N95" s="164">
        <f>439/1600</f>
        <v>0.27437499999999998</v>
      </c>
    </row>
    <row r="96" spans="2:14" ht="14.45" hidden="1" outlineLevel="1">
      <c r="B96" s="409"/>
      <c r="C96" s="437" t="s">
        <v>421</v>
      </c>
      <c r="D96" s="126" t="s">
        <v>422</v>
      </c>
      <c r="E96" s="126" t="s">
        <v>423</v>
      </c>
      <c r="F96" s="282"/>
      <c r="G96" s="623" t="s">
        <v>424</v>
      </c>
      <c r="H96" s="624"/>
      <c r="I96" s="623" t="s">
        <v>425</v>
      </c>
      <c r="J96" s="624"/>
      <c r="K96" s="127"/>
    </row>
    <row r="97" spans="2:16" ht="14.45" hidden="1" outlineLevel="1">
      <c r="B97" s="409"/>
      <c r="C97" s="431" t="s">
        <v>7</v>
      </c>
      <c r="D97" s="49">
        <f>C18+C19+E18+E19+C16+C17+E16+E17+C24+E24+C25+E25</f>
        <v>6108</v>
      </c>
      <c r="E97" s="49">
        <v>0</v>
      </c>
      <c r="F97" s="282"/>
      <c r="G97" s="602">
        <f>MAX(D97-E97,)</f>
        <v>6108</v>
      </c>
      <c r="H97" s="603"/>
      <c r="I97" s="599">
        <f>G97*'ТРВ-15м-2'!I19</f>
        <v>12.216000000000001</v>
      </c>
      <c r="J97" s="600"/>
      <c r="K97" s="51"/>
    </row>
    <row r="98" spans="2:16" hidden="1" outlineLevel="1" thickBot="1">
      <c r="B98" s="409"/>
      <c r="C98" s="431" t="s">
        <v>618</v>
      </c>
      <c r="D98" s="49">
        <f>C13+C14+E13+C15+E14</f>
        <v>1700</v>
      </c>
      <c r="E98" s="49">
        <v>0</v>
      </c>
      <c r="F98" s="282"/>
      <c r="G98" s="602">
        <f>MAX(D98-E98,)</f>
        <v>1700</v>
      </c>
      <c r="H98" s="603"/>
      <c r="I98" s="599">
        <f>G98*'12М'!J16</f>
        <v>17</v>
      </c>
      <c r="J98" s="601"/>
      <c r="K98" s="72"/>
    </row>
    <row r="99" spans="2:16" ht="19.5" collapsed="1" thickBot="1">
      <c r="B99" s="409"/>
      <c r="F99" s="184"/>
      <c r="H99" s="128"/>
      <c r="I99" s="69" t="s">
        <v>16</v>
      </c>
      <c r="J99" s="498">
        <f>SUM(J95:J95)</f>
        <v>0</v>
      </c>
      <c r="K99" s="499"/>
    </row>
    <row r="100" spans="2:16" ht="19.5" thickBot="1">
      <c r="B100" s="577" t="s">
        <v>201</v>
      </c>
      <c r="C100" s="578"/>
      <c r="D100" s="578"/>
      <c r="E100" s="578"/>
      <c r="F100" s="578"/>
      <c r="G100" s="578"/>
      <c r="H100" s="578"/>
      <c r="I100" s="578"/>
      <c r="J100" s="578"/>
      <c r="K100" s="494"/>
    </row>
    <row r="101" spans="2:16" ht="45">
      <c r="B101" s="410" t="s">
        <v>187</v>
      </c>
      <c r="C101" s="438" t="s">
        <v>188</v>
      </c>
      <c r="D101" s="323" t="s">
        <v>182</v>
      </c>
      <c r="E101" s="323" t="s">
        <v>183</v>
      </c>
      <c r="F101" s="324" t="s">
        <v>184</v>
      </c>
      <c r="G101" s="323" t="s">
        <v>254</v>
      </c>
      <c r="H101" s="323" t="s">
        <v>253</v>
      </c>
      <c r="I101" s="318" t="s">
        <v>255</v>
      </c>
      <c r="J101" s="320" t="s">
        <v>343</v>
      </c>
      <c r="K101" s="321" t="s">
        <v>349</v>
      </c>
      <c r="P101" s="50">
        <f>3*68</f>
        <v>204</v>
      </c>
    </row>
    <row r="102" spans="2:16" s="164" customFormat="1">
      <c r="B102" s="594" t="s">
        <v>202</v>
      </c>
      <c r="C102" s="395" t="s">
        <v>1432</v>
      </c>
      <c r="D102" s="73">
        <f>SUM(I104:J106)</f>
        <v>12732.2</v>
      </c>
      <c r="E102" s="73">
        <v>0</v>
      </c>
      <c r="F102" s="282">
        <v>8699.9500000000007</v>
      </c>
      <c r="G102" s="73"/>
      <c r="H102" s="73"/>
      <c r="I102" s="232">
        <f>MAX(D102-E102-F102,)</f>
        <v>4032.25</v>
      </c>
      <c r="J102" s="162">
        <f>I102*Цены!B8</f>
        <v>641127.75</v>
      </c>
      <c r="K102" s="163"/>
    </row>
    <row r="103" spans="2:16" s="164" customFormat="1" ht="14.45" hidden="1">
      <c r="B103" s="595"/>
      <c r="C103" s="395" t="s">
        <v>421</v>
      </c>
      <c r="D103" s="73" t="s">
        <v>422</v>
      </c>
      <c r="E103" s="73" t="s">
        <v>423</v>
      </c>
      <c r="F103" s="282"/>
      <c r="G103" s="573" t="s">
        <v>424</v>
      </c>
      <c r="H103" s="574"/>
      <c r="I103" s="573" t="s">
        <v>425</v>
      </c>
      <c r="J103" s="574"/>
      <c r="K103" s="163"/>
    </row>
    <row r="104" spans="2:16" s="164" customFormat="1" ht="14.45" hidden="1">
      <c r="B104" s="595"/>
      <c r="C104" s="395" t="s">
        <v>135</v>
      </c>
      <c r="D104" s="73">
        <f>C18+E18+C19+E19</f>
        <v>5900</v>
      </c>
      <c r="E104" s="73"/>
      <c r="F104" s="282"/>
      <c r="G104" s="573">
        <f>MAX(D104-E104,)</f>
        <v>5900</v>
      </c>
      <c r="H104" s="574"/>
      <c r="I104" s="573">
        <f>G104*'ТРВ-15м-2'!I12</f>
        <v>2767.1000000000004</v>
      </c>
      <c r="J104" s="574"/>
      <c r="K104" s="163"/>
    </row>
    <row r="105" spans="2:16" s="164" customFormat="1" ht="14.45" hidden="1">
      <c r="B105" s="595"/>
      <c r="C105" s="395" t="s">
        <v>850</v>
      </c>
      <c r="D105" s="73">
        <f>C18+E18+C19+E19</f>
        <v>5900</v>
      </c>
      <c r="E105" s="73"/>
      <c r="F105" s="282"/>
      <c r="G105" s="573">
        <f t="shared" ref="G105:G106" si="12">MAX(D105-E105,)</f>
        <v>5900</v>
      </c>
      <c r="H105" s="574"/>
      <c r="I105" s="573">
        <f>G105*'ТРВ-15м-2'!I26</f>
        <v>6808.5999999999995</v>
      </c>
      <c r="J105" s="574"/>
      <c r="K105" s="163"/>
    </row>
    <row r="106" spans="2:16" s="164" customFormat="1" ht="14.45" hidden="1">
      <c r="B106" s="595"/>
      <c r="C106" s="395" t="s">
        <v>853</v>
      </c>
      <c r="D106" s="73">
        <f>C18+E18+C19+E19</f>
        <v>5900</v>
      </c>
      <c r="E106" s="73"/>
      <c r="F106" s="282"/>
      <c r="G106" s="573">
        <f t="shared" si="12"/>
        <v>5900</v>
      </c>
      <c r="H106" s="574"/>
      <c r="I106" s="573">
        <f>G106*'ТРВ-15м-2'!I27</f>
        <v>3156.5</v>
      </c>
      <c r="J106" s="574"/>
      <c r="K106" s="163"/>
    </row>
    <row r="107" spans="2:16" s="164" customFormat="1">
      <c r="B107" s="595"/>
      <c r="C107" s="395" t="s">
        <v>1433</v>
      </c>
      <c r="D107" s="73">
        <f>SUM(I109:J110)</f>
        <v>4720</v>
      </c>
      <c r="E107" s="73"/>
      <c r="F107" s="282">
        <v>1650</v>
      </c>
      <c r="G107" s="73"/>
      <c r="H107" s="73"/>
      <c r="I107" s="232">
        <f>MAX(D107-E107-F107,)</f>
        <v>3070</v>
      </c>
      <c r="J107" s="162">
        <f>I107*Цены!B9</f>
        <v>488130</v>
      </c>
      <c r="K107" s="163"/>
    </row>
    <row r="108" spans="2:16" s="164" customFormat="1" ht="14.45" hidden="1">
      <c r="B108" s="595"/>
      <c r="C108" s="395" t="s">
        <v>421</v>
      </c>
      <c r="D108" s="73" t="s">
        <v>422</v>
      </c>
      <c r="E108" s="73" t="s">
        <v>423</v>
      </c>
      <c r="F108" s="282"/>
      <c r="G108" s="573" t="s">
        <v>424</v>
      </c>
      <c r="H108" s="574"/>
      <c r="I108" s="573" t="s">
        <v>425</v>
      </c>
      <c r="J108" s="574"/>
      <c r="K108" s="163"/>
    </row>
    <row r="109" spans="2:16" s="164" customFormat="1" ht="14.45" hidden="1">
      <c r="B109" s="595"/>
      <c r="C109" s="395" t="s">
        <v>32</v>
      </c>
      <c r="D109" s="73">
        <f>C18+E18+C19+E19</f>
        <v>5900</v>
      </c>
      <c r="E109" s="73"/>
      <c r="F109" s="282"/>
      <c r="G109" s="573">
        <f>MAX(D109-E109,)</f>
        <v>5900</v>
      </c>
      <c r="H109" s="574"/>
      <c r="I109" s="573">
        <f>G109*'ТРВ-15м-2'!I13</f>
        <v>1905.7</v>
      </c>
      <c r="J109" s="574"/>
      <c r="K109" s="163"/>
    </row>
    <row r="110" spans="2:16" s="164" customFormat="1" ht="14.45" hidden="1">
      <c r="B110" s="595"/>
      <c r="C110" s="395" t="s">
        <v>1700</v>
      </c>
      <c r="D110" s="73">
        <f>C18+E18+C19+E19</f>
        <v>5900</v>
      </c>
      <c r="E110" s="73"/>
      <c r="F110" s="282"/>
      <c r="G110" s="573">
        <f>MAX(D110-E110,)</f>
        <v>5900</v>
      </c>
      <c r="H110" s="574"/>
      <c r="I110" s="573">
        <f>G110*'ТРВ-15м-2'!I43</f>
        <v>2814.2999999999997</v>
      </c>
      <c r="J110" s="574"/>
      <c r="K110" s="163"/>
    </row>
    <row r="111" spans="2:16" s="164" customFormat="1">
      <c r="B111" s="595"/>
      <c r="C111" s="395" t="s">
        <v>1434</v>
      </c>
      <c r="D111" s="73">
        <f>I113</f>
        <v>411.4</v>
      </c>
      <c r="E111" s="73"/>
      <c r="F111" s="282">
        <v>300</v>
      </c>
      <c r="G111" s="73"/>
      <c r="H111" s="73"/>
      <c r="I111" s="232">
        <f>MAX(D111-E111-F111,)</f>
        <v>111.39999999999998</v>
      </c>
      <c r="J111" s="162">
        <f>I111*Цены!B10</f>
        <v>17712.599999999995</v>
      </c>
      <c r="K111" s="163"/>
    </row>
    <row r="112" spans="2:16" s="164" customFormat="1" ht="14.45" hidden="1">
      <c r="B112" s="595"/>
      <c r="C112" s="395" t="s">
        <v>421</v>
      </c>
      <c r="D112" s="73" t="s">
        <v>422</v>
      </c>
      <c r="E112" s="73"/>
      <c r="F112" s="282"/>
      <c r="G112" s="573" t="s">
        <v>424</v>
      </c>
      <c r="H112" s="574"/>
      <c r="I112" s="573" t="s">
        <v>425</v>
      </c>
      <c r="J112" s="574"/>
      <c r="K112" s="163"/>
    </row>
    <row r="113" spans="2:11" s="164" customFormat="1" ht="14.45" hidden="1">
      <c r="B113" s="595"/>
      <c r="C113" s="395" t="s">
        <v>1701</v>
      </c>
      <c r="D113" s="73">
        <f>(C13+E13+E14+C14+C15)</f>
        <v>1700</v>
      </c>
      <c r="E113" s="73"/>
      <c r="F113" s="282"/>
      <c r="G113" s="573">
        <f>MAX(D113-E113,)</f>
        <v>1700</v>
      </c>
      <c r="H113" s="574"/>
      <c r="I113" s="573">
        <f>G113*'12М'!J11</f>
        <v>411.4</v>
      </c>
      <c r="J113" s="574"/>
      <c r="K113" s="163"/>
    </row>
    <row r="114" spans="2:11" s="164" customFormat="1">
      <c r="B114" s="595"/>
      <c r="C114" s="431" t="s">
        <v>1435</v>
      </c>
      <c r="D114" s="73">
        <f>I116</f>
        <v>494.7</v>
      </c>
      <c r="E114" s="73"/>
      <c r="F114" s="282">
        <v>752.4</v>
      </c>
      <c r="G114" s="73"/>
      <c r="H114" s="73"/>
      <c r="I114" s="232">
        <f>MAX(D114-E114-F114,)</f>
        <v>0</v>
      </c>
      <c r="J114" s="162">
        <f>I114*Цены!B11</f>
        <v>0</v>
      </c>
      <c r="K114" s="163"/>
    </row>
    <row r="115" spans="2:11" s="164" customFormat="1" ht="14.45" hidden="1">
      <c r="B115" s="595"/>
      <c r="C115" s="395" t="s">
        <v>421</v>
      </c>
      <c r="D115" s="73" t="s">
        <v>422</v>
      </c>
      <c r="E115" s="73"/>
      <c r="F115" s="282"/>
      <c r="G115" s="573" t="s">
        <v>424</v>
      </c>
      <c r="H115" s="574"/>
      <c r="I115" s="573" t="s">
        <v>425</v>
      </c>
      <c r="J115" s="574"/>
      <c r="K115" s="163"/>
    </row>
    <row r="116" spans="2:11" s="164" customFormat="1" ht="14.45" hidden="1">
      <c r="B116" s="595"/>
      <c r="C116" s="395" t="s">
        <v>609</v>
      </c>
      <c r="D116" s="73">
        <f>C13+E13+C14+E14+C15</f>
        <v>1700</v>
      </c>
      <c r="E116" s="73"/>
      <c r="F116" s="282"/>
      <c r="G116" s="573">
        <f>MAX(D116-E116,)</f>
        <v>1700</v>
      </c>
      <c r="H116" s="574"/>
      <c r="I116" s="573">
        <f>G116*'18М'!J17</f>
        <v>494.7</v>
      </c>
      <c r="J116" s="574"/>
      <c r="K116" s="163"/>
    </row>
    <row r="117" spans="2:11" s="164" customFormat="1">
      <c r="B117" s="595"/>
      <c r="C117" s="395" t="s">
        <v>1436</v>
      </c>
      <c r="D117" s="73">
        <f>SUM(I119:J130)</f>
        <v>19.041</v>
      </c>
      <c r="E117" s="73"/>
      <c r="F117" s="282">
        <v>108.78</v>
      </c>
      <c r="G117" s="73"/>
      <c r="H117" s="73"/>
      <c r="I117" s="232">
        <f>MAX(D117-E117-F117,)</f>
        <v>0</v>
      </c>
      <c r="J117" s="162">
        <f>I117*Цены!B12</f>
        <v>0</v>
      </c>
      <c r="K117" s="163"/>
    </row>
    <row r="118" spans="2:11" s="164" customFormat="1" ht="14.45" hidden="1">
      <c r="B118" s="595"/>
      <c r="C118" s="395" t="s">
        <v>421</v>
      </c>
      <c r="D118" s="73" t="s">
        <v>422</v>
      </c>
      <c r="E118" s="73" t="s">
        <v>423</v>
      </c>
      <c r="F118" s="282"/>
      <c r="G118" s="573" t="s">
        <v>424</v>
      </c>
      <c r="H118" s="574"/>
      <c r="I118" s="573" t="s">
        <v>425</v>
      </c>
      <c r="J118" s="574"/>
      <c r="K118" s="163"/>
    </row>
    <row r="119" spans="2:11" s="164" customFormat="1" ht="14.45" hidden="1">
      <c r="B119" s="595"/>
      <c r="C119" s="508" t="s">
        <v>1702</v>
      </c>
      <c r="D119" s="73">
        <f>C16+C17+E16+E17</f>
        <v>3</v>
      </c>
      <c r="E119" s="73"/>
      <c r="F119" s="282"/>
      <c r="G119" s="573">
        <f>MAX(D119-E119,)</f>
        <v>3</v>
      </c>
      <c r="H119" s="574"/>
      <c r="I119" s="573">
        <f>G119*'МГП СС 1,6'!I28</f>
        <v>3.4319999999999995</v>
      </c>
      <c r="J119" s="574"/>
      <c r="K119" s="163"/>
    </row>
    <row r="120" spans="2:11" s="164" customFormat="1" ht="14.45" hidden="1">
      <c r="B120" s="595"/>
      <c r="C120" s="508" t="s">
        <v>1703</v>
      </c>
      <c r="D120" s="73">
        <f>E17</f>
        <v>3</v>
      </c>
      <c r="E120" s="73"/>
      <c r="F120" s="282"/>
      <c r="G120" s="573">
        <f t="shared" ref="G120:G127" si="13">MAX(D120-E120,)</f>
        <v>3</v>
      </c>
      <c r="H120" s="574"/>
      <c r="I120" s="573">
        <f>G120*'МГП СС 1,6'!I29</f>
        <v>6.0030000000000001</v>
      </c>
      <c r="J120" s="574"/>
      <c r="K120" s="163"/>
    </row>
    <row r="121" spans="2:11" s="164" customFormat="1" ht="14.45" hidden="1">
      <c r="B121" s="595"/>
      <c r="C121" s="508" t="s">
        <v>1704</v>
      </c>
      <c r="D121" s="73">
        <f>E17</f>
        <v>3</v>
      </c>
      <c r="E121" s="73"/>
      <c r="F121" s="282"/>
      <c r="G121" s="573">
        <f t="shared" si="13"/>
        <v>3</v>
      </c>
      <c r="H121" s="574"/>
      <c r="I121" s="573">
        <f>G121*'МГП СС 1,6'!I30</f>
        <v>4.8029999999999999</v>
      </c>
      <c r="J121" s="574"/>
      <c r="K121" s="163"/>
    </row>
    <row r="122" spans="2:11" s="164" customFormat="1" ht="14.45" hidden="1">
      <c r="B122" s="595"/>
      <c r="C122" s="508" t="s">
        <v>1705</v>
      </c>
      <c r="D122" s="73">
        <f>E17</f>
        <v>3</v>
      </c>
      <c r="E122" s="73"/>
      <c r="F122" s="282"/>
      <c r="G122" s="573">
        <f t="shared" si="13"/>
        <v>3</v>
      </c>
      <c r="H122" s="574"/>
      <c r="I122" s="573">
        <f>G122*'МГП СС 1,6'!I31</f>
        <v>4.8029999999999999</v>
      </c>
      <c r="J122" s="574"/>
      <c r="K122" s="163"/>
    </row>
    <row r="123" spans="2:11" s="164" customFormat="1" ht="14.45" hidden="1">
      <c r="B123" s="595"/>
      <c r="C123" s="508" t="s">
        <v>1706</v>
      </c>
      <c r="D123" s="73">
        <f>E16</f>
        <v>0</v>
      </c>
      <c r="E123" s="73"/>
      <c r="F123" s="282"/>
      <c r="G123" s="573">
        <f t="shared" si="13"/>
        <v>0</v>
      </c>
      <c r="H123" s="574"/>
      <c r="I123" s="573">
        <f>G123*'МГП СС 1,2'!I29</f>
        <v>0</v>
      </c>
      <c r="J123" s="574"/>
      <c r="K123" s="163"/>
    </row>
    <row r="124" spans="2:11" s="164" customFormat="1" ht="14.45" hidden="1">
      <c r="B124" s="595"/>
      <c r="C124" s="508" t="s">
        <v>1707</v>
      </c>
      <c r="D124" s="73">
        <f>E16</f>
        <v>0</v>
      </c>
      <c r="E124" s="73"/>
      <c r="F124" s="282"/>
      <c r="G124" s="573">
        <f t="shared" si="13"/>
        <v>0</v>
      </c>
      <c r="H124" s="574"/>
      <c r="I124" s="573">
        <f>G124*'МГП СС 1,2'!I30</f>
        <v>0</v>
      </c>
      <c r="J124" s="574"/>
      <c r="K124" s="163"/>
    </row>
    <row r="125" spans="2:11" s="164" customFormat="1" ht="14.45" hidden="1">
      <c r="B125" s="595"/>
      <c r="C125" s="508" t="s">
        <v>1708</v>
      </c>
      <c r="D125" s="73">
        <f>E16</f>
        <v>0</v>
      </c>
      <c r="E125" s="73"/>
      <c r="F125" s="282"/>
      <c r="G125" s="573">
        <f t="shared" si="13"/>
        <v>0</v>
      </c>
      <c r="H125" s="574"/>
      <c r="I125" s="573">
        <f>G125*'МГП СС 1,2'!I31</f>
        <v>0</v>
      </c>
      <c r="J125" s="574"/>
      <c r="K125" s="163"/>
    </row>
    <row r="126" spans="2:11" s="164" customFormat="1" ht="14.45" hidden="1">
      <c r="B126" s="595"/>
      <c r="C126" s="508" t="s">
        <v>1709</v>
      </c>
      <c r="D126" s="73">
        <f>C17</f>
        <v>0</v>
      </c>
      <c r="E126" s="73"/>
      <c r="F126" s="282"/>
      <c r="G126" s="573">
        <f t="shared" si="13"/>
        <v>0</v>
      </c>
      <c r="H126" s="574"/>
      <c r="I126" s="573">
        <f>G126*'МГП СС 0,8'!I29</f>
        <v>0</v>
      </c>
      <c r="J126" s="574"/>
      <c r="K126" s="163"/>
    </row>
    <row r="127" spans="2:11" s="164" customFormat="1" ht="14.45" hidden="1">
      <c r="B127" s="595"/>
      <c r="C127" s="508" t="s">
        <v>1710</v>
      </c>
      <c r="D127" s="73">
        <f>C17</f>
        <v>0</v>
      </c>
      <c r="E127" s="73"/>
      <c r="F127" s="282"/>
      <c r="G127" s="573">
        <f t="shared" si="13"/>
        <v>0</v>
      </c>
      <c r="H127" s="574"/>
      <c r="I127" s="573">
        <f>G127*'МГП СС 0,8'!I30</f>
        <v>0</v>
      </c>
      <c r="J127" s="574"/>
      <c r="K127" s="163"/>
    </row>
    <row r="128" spans="2:11" s="164" customFormat="1" ht="14.45" hidden="1">
      <c r="B128" s="595"/>
      <c r="C128" s="508" t="s">
        <v>1711</v>
      </c>
      <c r="D128" s="73">
        <f>C17</f>
        <v>0</v>
      </c>
      <c r="E128" s="73"/>
      <c r="F128" s="282"/>
      <c r="G128" s="573">
        <f t="shared" ref="G128:G130" si="14">MAX(D128-E128)</f>
        <v>0</v>
      </c>
      <c r="H128" s="574"/>
      <c r="I128" s="573">
        <f>G128*'МГП СС 0,8'!I31</f>
        <v>0</v>
      </c>
      <c r="J128" s="574"/>
      <c r="K128" s="163"/>
    </row>
    <row r="129" spans="2:11" s="164" customFormat="1" ht="14.45" hidden="1">
      <c r="B129" s="595"/>
      <c r="C129" s="508" t="s">
        <v>1712</v>
      </c>
      <c r="D129" s="73">
        <f>C16</f>
        <v>0</v>
      </c>
      <c r="E129" s="73"/>
      <c r="F129" s="282"/>
      <c r="G129" s="573">
        <f t="shared" si="14"/>
        <v>0</v>
      </c>
      <c r="H129" s="574"/>
      <c r="I129" s="573">
        <f>G129*'МГП СС 0,4'!I29</f>
        <v>0</v>
      </c>
      <c r="J129" s="574"/>
      <c r="K129" s="163"/>
    </row>
    <row r="130" spans="2:11" s="164" customFormat="1" ht="14.45" hidden="1">
      <c r="B130" s="595"/>
      <c r="C130" s="508" t="s">
        <v>1713</v>
      </c>
      <c r="D130" s="73">
        <f>C16</f>
        <v>0</v>
      </c>
      <c r="E130" s="73"/>
      <c r="F130" s="282"/>
      <c r="G130" s="573">
        <f t="shared" si="14"/>
        <v>0</v>
      </c>
      <c r="H130" s="574"/>
      <c r="I130" s="573">
        <f>G130*'МГП СС 0,4'!I30</f>
        <v>0</v>
      </c>
      <c r="J130" s="574"/>
      <c r="K130" s="163"/>
    </row>
    <row r="131" spans="2:11" s="164" customFormat="1">
      <c r="B131" s="595"/>
      <c r="C131" s="395" t="s">
        <v>1437</v>
      </c>
      <c r="D131" s="73">
        <f>SUM(I133:J136)</f>
        <v>13.26</v>
      </c>
      <c r="E131" s="73"/>
      <c r="F131" s="282">
        <v>22.8</v>
      </c>
      <c r="G131" s="73"/>
      <c r="H131" s="73"/>
      <c r="I131" s="232">
        <f>MAX(D131-E131-F131,)</f>
        <v>0</v>
      </c>
      <c r="J131" s="162">
        <f>I131*Цены!B13</f>
        <v>0</v>
      </c>
      <c r="K131" s="163"/>
    </row>
    <row r="132" spans="2:11" s="164" customFormat="1" ht="14.45" hidden="1">
      <c r="B132" s="507"/>
      <c r="C132" s="395" t="s">
        <v>421</v>
      </c>
      <c r="D132" s="73" t="s">
        <v>422</v>
      </c>
      <c r="E132" s="73" t="s">
        <v>423</v>
      </c>
      <c r="F132" s="282"/>
      <c r="G132" s="573" t="s">
        <v>424</v>
      </c>
      <c r="H132" s="574"/>
      <c r="I132" s="573" t="s">
        <v>425</v>
      </c>
      <c r="J132" s="574"/>
      <c r="K132" s="163"/>
    </row>
    <row r="133" spans="2:11" s="164" customFormat="1" ht="14.45" hidden="1">
      <c r="B133" s="507"/>
      <c r="C133" s="508" t="s">
        <v>1714</v>
      </c>
      <c r="D133" s="73">
        <f>C24</f>
        <v>85</v>
      </c>
      <c r="E133" s="73">
        <v>0</v>
      </c>
      <c r="F133" s="282"/>
      <c r="G133" s="573">
        <f>MAX(D133-E133,)</f>
        <v>85</v>
      </c>
      <c r="H133" s="574"/>
      <c r="I133" s="573">
        <f>G133*0.06</f>
        <v>5.0999999999999996</v>
      </c>
      <c r="J133" s="574"/>
      <c r="K133" s="163"/>
    </row>
    <row r="134" spans="2:11" s="164" customFormat="1" ht="14.45" hidden="1">
      <c r="B134" s="507"/>
      <c r="C134" s="508" t="s">
        <v>1715</v>
      </c>
      <c r="D134" s="73">
        <f>E24</f>
        <v>0</v>
      </c>
      <c r="E134" s="73"/>
      <c r="F134" s="282"/>
      <c r="G134" s="573">
        <f t="shared" ref="G134:G136" si="15">MAX(D134-E134,)</f>
        <v>0</v>
      </c>
      <c r="H134" s="574"/>
      <c r="I134" s="573">
        <f>G134*'МГП ЦОД 10'!I38</f>
        <v>0</v>
      </c>
      <c r="J134" s="574"/>
      <c r="K134" s="163"/>
    </row>
    <row r="135" spans="2:11" s="164" customFormat="1" ht="14.45" hidden="1">
      <c r="B135" s="507"/>
      <c r="C135" s="508" t="s">
        <v>1716</v>
      </c>
      <c r="D135" s="73">
        <f>C25</f>
        <v>120</v>
      </c>
      <c r="E135" s="73">
        <v>0</v>
      </c>
      <c r="F135" s="282"/>
      <c r="G135" s="573">
        <f t="shared" si="15"/>
        <v>120</v>
      </c>
      <c r="H135" s="574"/>
      <c r="I135" s="573">
        <f>G135*0.068</f>
        <v>8.16</v>
      </c>
      <c r="J135" s="574"/>
      <c r="K135" s="163"/>
    </row>
    <row r="136" spans="2:11" s="164" customFormat="1" ht="14.45" hidden="1">
      <c r="B136" s="507"/>
      <c r="C136" s="2" t="s">
        <v>1717</v>
      </c>
      <c r="D136" s="73">
        <f>E25</f>
        <v>0</v>
      </c>
      <c r="E136" s="73"/>
      <c r="F136" s="282"/>
      <c r="G136" s="573">
        <f t="shared" si="15"/>
        <v>0</v>
      </c>
      <c r="H136" s="574"/>
      <c r="I136" s="573">
        <f>G136*'МГП ЦОД 20'!I38</f>
        <v>0</v>
      </c>
      <c r="J136" s="574"/>
      <c r="K136" s="163"/>
    </row>
    <row r="137" spans="2:11" s="164" customFormat="1">
      <c r="B137" s="594" t="s">
        <v>210</v>
      </c>
      <c r="C137" s="395" t="s">
        <v>1438</v>
      </c>
      <c r="D137" s="73">
        <f>SUM(I139:J140)</f>
        <v>1100.19</v>
      </c>
      <c r="E137" s="73">
        <v>0</v>
      </c>
      <c r="F137" s="282">
        <v>2685.69</v>
      </c>
      <c r="G137" s="73"/>
      <c r="H137" s="73"/>
      <c r="I137" s="232">
        <f>MAX(D137-E137-F137,)</f>
        <v>0</v>
      </c>
      <c r="J137" s="162">
        <f>I137*Цены!B15</f>
        <v>0</v>
      </c>
      <c r="K137" s="163"/>
    </row>
    <row r="138" spans="2:11" s="164" customFormat="1" ht="14.45" hidden="1">
      <c r="B138" s="595"/>
      <c r="C138" s="395" t="s">
        <v>421</v>
      </c>
      <c r="D138" s="73" t="s">
        <v>422</v>
      </c>
      <c r="E138" s="73" t="s">
        <v>423</v>
      </c>
      <c r="F138" s="282"/>
      <c r="G138" s="573" t="s">
        <v>424</v>
      </c>
      <c r="H138" s="574"/>
      <c r="I138" s="573" t="s">
        <v>425</v>
      </c>
      <c r="J138" s="574"/>
      <c r="K138" s="163"/>
    </row>
    <row r="139" spans="2:11" s="164" customFormat="1" ht="14.45" hidden="1">
      <c r="B139" s="595"/>
      <c r="C139" s="395" t="s">
        <v>1718</v>
      </c>
      <c r="D139" s="73">
        <f>C13+E13+C14+E14+C15</f>
        <v>1700</v>
      </c>
      <c r="E139" s="73"/>
      <c r="F139" s="282"/>
      <c r="G139" s="573">
        <f>MAX(D139-E139,)</f>
        <v>1700</v>
      </c>
      <c r="H139" s="574"/>
      <c r="I139" s="573">
        <f>'18М'!J20*G139</f>
        <v>887.4</v>
      </c>
      <c r="J139" s="574"/>
      <c r="K139" s="163"/>
    </row>
    <row r="140" spans="2:11" s="164" customFormat="1" ht="14.45" hidden="1">
      <c r="B140" s="595"/>
      <c r="C140" s="395" t="s">
        <v>1719</v>
      </c>
      <c r="D140" s="73">
        <f>C24+E24+C25+E25</f>
        <v>205</v>
      </c>
      <c r="E140" s="73"/>
      <c r="F140" s="282"/>
      <c r="G140" s="573">
        <f>MAX(D140-E140,)</f>
        <v>205</v>
      </c>
      <c r="H140" s="574"/>
      <c r="I140" s="573">
        <f>G140*'МГП ЦОД 20'!I7</f>
        <v>212.78999999999996</v>
      </c>
      <c r="J140" s="574"/>
      <c r="K140" s="163"/>
    </row>
    <row r="141" spans="2:11" s="164" customFormat="1">
      <c r="B141" s="595"/>
      <c r="C141" s="395" t="s">
        <v>1439</v>
      </c>
      <c r="D141" s="73">
        <f>SUM(I143:J148)</f>
        <v>279.56599999999997</v>
      </c>
      <c r="E141" s="73"/>
      <c r="F141" s="282">
        <v>295.95</v>
      </c>
      <c r="G141" s="73"/>
      <c r="H141" s="73"/>
      <c r="I141" s="232">
        <f>MAX(D141-E141-F141,)</f>
        <v>0</v>
      </c>
      <c r="J141" s="162">
        <f>I141*Цены!B16</f>
        <v>0</v>
      </c>
      <c r="K141" s="163"/>
    </row>
    <row r="142" spans="2:11" s="164" customFormat="1" ht="14.45" hidden="1">
      <c r="B142" s="595"/>
      <c r="C142" s="395" t="s">
        <v>421</v>
      </c>
      <c r="D142" s="73" t="s">
        <v>422</v>
      </c>
      <c r="E142" s="73" t="s">
        <v>423</v>
      </c>
      <c r="F142" s="282"/>
      <c r="G142" s="573" t="s">
        <v>424</v>
      </c>
      <c r="H142" s="574"/>
      <c r="I142" s="573" t="s">
        <v>425</v>
      </c>
      <c r="J142" s="574"/>
      <c r="K142" s="163"/>
    </row>
    <row r="143" spans="2:11" s="164" customFormat="1" ht="14.45" hidden="1">
      <c r="B143" s="595"/>
      <c r="C143" s="510" t="s">
        <v>1720</v>
      </c>
      <c r="D143" s="73">
        <f>(C24+E24+C25+E25)*2</f>
        <v>410</v>
      </c>
      <c r="E143" s="73"/>
      <c r="F143" s="282"/>
      <c r="G143" s="573">
        <f>MAX(D143-E143,)</f>
        <v>410</v>
      </c>
      <c r="H143" s="574"/>
      <c r="I143" s="573">
        <f>G143*'МГП ЦОД 20'!H52</f>
        <v>275.93</v>
      </c>
      <c r="J143" s="574"/>
      <c r="K143" s="163"/>
    </row>
    <row r="144" spans="2:11" s="164" customFormat="1" ht="14.45" hidden="1">
      <c r="B144" s="595"/>
      <c r="C144" s="510" t="s">
        <v>1722</v>
      </c>
      <c r="D144" s="73">
        <f>C16+E16+C17+E17</f>
        <v>3</v>
      </c>
      <c r="E144" s="73"/>
      <c r="F144" s="282"/>
      <c r="G144" s="573">
        <f t="shared" ref="G144:G148" si="16">MAX(D144-E144,)</f>
        <v>3</v>
      </c>
      <c r="H144" s="574"/>
      <c r="I144" s="573">
        <f>G144*'МГП СС 1,6'!I7</f>
        <v>0.60600000000000009</v>
      </c>
      <c r="J144" s="574"/>
      <c r="K144" s="163"/>
    </row>
    <row r="145" spans="2:13" s="164" customFormat="1" ht="14.45" hidden="1">
      <c r="B145" s="595"/>
      <c r="C145" s="508" t="s">
        <v>1723</v>
      </c>
      <c r="D145" s="73">
        <f>C16+E16+C17+E17</f>
        <v>3</v>
      </c>
      <c r="E145" s="73"/>
      <c r="F145" s="282"/>
      <c r="G145" s="573">
        <f t="shared" si="16"/>
        <v>3</v>
      </c>
      <c r="H145" s="574"/>
      <c r="I145" s="573">
        <f>G145*'МГП СС 1,6'!I32</f>
        <v>1.2120000000000002</v>
      </c>
      <c r="J145" s="574"/>
      <c r="K145" s="163"/>
    </row>
    <row r="146" spans="2:13" s="164" customFormat="1" ht="14.45" hidden="1">
      <c r="B146" s="595"/>
      <c r="C146" s="508" t="s">
        <v>1724</v>
      </c>
      <c r="D146" s="73">
        <f>C16+E16+C17+E17</f>
        <v>3</v>
      </c>
      <c r="E146" s="73"/>
      <c r="F146" s="282"/>
      <c r="G146" s="573">
        <f t="shared" si="16"/>
        <v>3</v>
      </c>
      <c r="H146" s="574"/>
      <c r="I146" s="573">
        <f>G146*'МГП СС 1,6'!I33</f>
        <v>1.8180000000000001</v>
      </c>
      <c r="J146" s="574"/>
      <c r="K146" s="163"/>
    </row>
    <row r="147" spans="2:13" s="164" customFormat="1" ht="14.45" hidden="1">
      <c r="B147" s="595"/>
      <c r="C147" s="511" t="s">
        <v>1721</v>
      </c>
      <c r="D147" s="73">
        <f>C16</f>
        <v>0</v>
      </c>
      <c r="E147" s="73"/>
      <c r="F147" s="282"/>
      <c r="G147" s="573">
        <f t="shared" si="16"/>
        <v>0</v>
      </c>
      <c r="H147" s="574"/>
      <c r="I147" s="573">
        <f>G147*'МГП СС 1,6'!I34</f>
        <v>0</v>
      </c>
      <c r="J147" s="574"/>
      <c r="K147" s="163"/>
    </row>
    <row r="148" spans="2:13" s="164" customFormat="1" ht="14.45" hidden="1">
      <c r="B148" s="595"/>
      <c r="C148" s="508" t="s">
        <v>1725</v>
      </c>
      <c r="D148" s="73">
        <f>C16</f>
        <v>0</v>
      </c>
      <c r="E148" s="73">
        <v>0</v>
      </c>
      <c r="F148" s="282"/>
      <c r="G148" s="573">
        <f t="shared" si="16"/>
        <v>0</v>
      </c>
      <c r="H148" s="574"/>
      <c r="I148" s="573">
        <f>G148*'МГП СС 0,4'!I31</f>
        <v>0</v>
      </c>
      <c r="J148" s="574"/>
      <c r="K148" s="163"/>
    </row>
    <row r="149" spans="2:13" s="164" customFormat="1">
      <c r="B149" s="595"/>
      <c r="C149" s="395" t="s">
        <v>1440</v>
      </c>
      <c r="D149" s="73">
        <f>SUM(I151:J156)</f>
        <v>1846.4399999999998</v>
      </c>
      <c r="E149" s="73">
        <v>0</v>
      </c>
      <c r="F149" s="282">
        <v>282.99900000000002</v>
      </c>
      <c r="G149" s="73"/>
      <c r="H149" s="73"/>
      <c r="I149" s="232">
        <f>MAX(D149-E149-F149,)</f>
        <v>1563.4409999999998</v>
      </c>
      <c r="J149" s="162">
        <f>I149*Цены!B17</f>
        <v>99731.901389999985</v>
      </c>
      <c r="K149" s="163"/>
      <c r="L149" s="164">
        <v>16.64</v>
      </c>
      <c r="M149" s="164">
        <f>227*L149</f>
        <v>3777.28</v>
      </c>
    </row>
    <row r="150" spans="2:13" s="164" customFormat="1" ht="14.45" hidden="1">
      <c r="B150" s="595"/>
      <c r="C150" s="444" t="s">
        <v>421</v>
      </c>
      <c r="D150" s="73" t="s">
        <v>422</v>
      </c>
      <c r="E150" s="73" t="s">
        <v>423</v>
      </c>
      <c r="F150" s="282"/>
      <c r="G150" s="573" t="s">
        <v>424</v>
      </c>
      <c r="H150" s="574"/>
      <c r="I150" s="573" t="s">
        <v>425</v>
      </c>
      <c r="J150" s="574"/>
      <c r="K150" s="174"/>
    </row>
    <row r="151" spans="2:13" s="164" customFormat="1" ht="14.45" hidden="1">
      <c r="B151" s="596"/>
      <c r="C151" s="513" t="s">
        <v>134</v>
      </c>
      <c r="D151" s="509">
        <f>C18+E18+C19+E19</f>
        <v>5900</v>
      </c>
      <c r="E151" s="73"/>
      <c r="F151" s="282"/>
      <c r="G151" s="573">
        <f>MAX(D151-E151,)</f>
        <v>5900</v>
      </c>
      <c r="H151" s="574"/>
      <c r="I151" s="573">
        <f>G151*'ТРВ-15м-2'!I14</f>
        <v>861.4</v>
      </c>
      <c r="J151" s="574"/>
      <c r="K151" s="174"/>
    </row>
    <row r="152" spans="2:13" s="164" customFormat="1" ht="14.45" hidden="1">
      <c r="B152" s="596"/>
      <c r="C152" s="513" t="s">
        <v>1726</v>
      </c>
      <c r="D152" s="509">
        <f>C18+E18+C19+E19</f>
        <v>5900</v>
      </c>
      <c r="E152" s="73"/>
      <c r="F152" s="282"/>
      <c r="G152" s="573">
        <f t="shared" ref="G152:G156" si="17">MAX(D152-E152,)</f>
        <v>5900</v>
      </c>
      <c r="H152" s="574"/>
      <c r="I152" s="573">
        <f>G152*'ТРВ-15м-2'!I42</f>
        <v>424.79999999999995</v>
      </c>
      <c r="J152" s="574"/>
      <c r="K152" s="174"/>
    </row>
    <row r="153" spans="2:13" s="164" customFormat="1" ht="14.45" hidden="1">
      <c r="B153" s="596"/>
      <c r="C153" s="2" t="s">
        <v>1502</v>
      </c>
      <c r="D153" s="509">
        <f>C18+E18+C19+E19</f>
        <v>5900</v>
      </c>
      <c r="E153" s="73"/>
      <c r="F153" s="282"/>
      <c r="G153" s="573">
        <f t="shared" si="17"/>
        <v>5900</v>
      </c>
      <c r="H153" s="574"/>
      <c r="I153" s="573">
        <f>G153*'ТРВ-15м-2'!I20</f>
        <v>354</v>
      </c>
      <c r="J153" s="574"/>
      <c r="K153" s="174"/>
    </row>
    <row r="154" spans="2:13" s="164" customFormat="1" ht="14.45" hidden="1">
      <c r="B154" s="596"/>
      <c r="C154" s="513" t="s">
        <v>1727</v>
      </c>
      <c r="D154" s="509">
        <f>E13+C14+E14+C15</f>
        <v>1500</v>
      </c>
      <c r="E154" s="73"/>
      <c r="F154" s="282"/>
      <c r="G154" s="573">
        <f t="shared" si="17"/>
        <v>1500</v>
      </c>
      <c r="H154" s="574"/>
      <c r="I154" s="573">
        <f>G154*'18М'!J7</f>
        <v>178.5</v>
      </c>
      <c r="J154" s="574"/>
      <c r="K154" s="174"/>
    </row>
    <row r="155" spans="2:13" s="164" customFormat="1" ht="14.45" hidden="1">
      <c r="B155" s="596"/>
      <c r="C155" s="513" t="s">
        <v>1729</v>
      </c>
      <c r="D155" s="509">
        <f>C13</f>
        <v>200</v>
      </c>
      <c r="E155" s="73"/>
      <c r="F155" s="282"/>
      <c r="G155" s="573">
        <f t="shared" si="17"/>
        <v>200</v>
      </c>
      <c r="H155" s="574"/>
      <c r="I155" s="573">
        <f>G155*'12М'!J10</f>
        <v>27.200000000000003</v>
      </c>
      <c r="J155" s="574"/>
      <c r="K155" s="174"/>
    </row>
    <row r="156" spans="2:13" s="164" customFormat="1" ht="14.45" hidden="1">
      <c r="B156" s="596"/>
      <c r="C156" s="2" t="s">
        <v>1728</v>
      </c>
      <c r="D156" s="509">
        <f>C16+E16+C17+E17</f>
        <v>3</v>
      </c>
      <c r="E156" s="73"/>
      <c r="F156" s="282"/>
      <c r="G156" s="573">
        <f t="shared" si="17"/>
        <v>3</v>
      </c>
      <c r="H156" s="574"/>
      <c r="I156" s="573">
        <f>G156*'МГП СС 1,6'!I10</f>
        <v>0.54</v>
      </c>
      <c r="J156" s="574"/>
      <c r="K156" s="174"/>
    </row>
    <row r="157" spans="2:13" s="164" customFormat="1">
      <c r="B157" s="595"/>
      <c r="C157" s="395" t="s">
        <v>1441</v>
      </c>
      <c r="D157" s="73">
        <f>SUM(I159:J160)</f>
        <v>33.230000000000004</v>
      </c>
      <c r="E157" s="73"/>
      <c r="F157" s="282">
        <v>64.260000000000005</v>
      </c>
      <c r="G157" s="73"/>
      <c r="H157" s="73"/>
      <c r="I157" s="232">
        <f>MAX(D157-E157-F157,)</f>
        <v>0</v>
      </c>
      <c r="J157" s="162">
        <f>I157*Цены!B18</f>
        <v>0</v>
      </c>
      <c r="K157" s="174"/>
    </row>
    <row r="158" spans="2:13" s="164" customFormat="1" ht="14.45" hidden="1">
      <c r="B158" s="595"/>
      <c r="C158" s="444" t="s">
        <v>421</v>
      </c>
      <c r="D158" s="73" t="s">
        <v>422</v>
      </c>
      <c r="E158" s="73" t="s">
        <v>423</v>
      </c>
      <c r="F158" s="282"/>
      <c r="G158" s="573" t="s">
        <v>424</v>
      </c>
      <c r="H158" s="574"/>
      <c r="I158" s="573" t="s">
        <v>425</v>
      </c>
      <c r="J158" s="574"/>
      <c r="K158" s="174"/>
    </row>
    <row r="159" spans="2:13" s="164" customFormat="1" ht="14.45" hidden="1">
      <c r="B159" s="596"/>
      <c r="C159" s="513" t="s">
        <v>1730</v>
      </c>
      <c r="D159" s="509">
        <f>C16+C17+E16+E17+C24+E24+C25+E25</f>
        <v>208</v>
      </c>
      <c r="E159" s="73"/>
      <c r="F159" s="282"/>
      <c r="G159" s="573">
        <f>MAX(D159-E159,)</f>
        <v>208</v>
      </c>
      <c r="H159" s="574"/>
      <c r="I159" s="573">
        <f>G159*'МГП ЦОД 10'!I9</f>
        <v>15.6</v>
      </c>
      <c r="J159" s="574"/>
      <c r="K159" s="174"/>
    </row>
    <row r="160" spans="2:13" s="164" customFormat="1" ht="14.45" hidden="1">
      <c r="B160" s="596"/>
      <c r="C160" s="513" t="s">
        <v>1731</v>
      </c>
      <c r="D160" s="509">
        <f>C24+E24+C25+E25</f>
        <v>205</v>
      </c>
      <c r="E160" s="73"/>
      <c r="F160" s="282"/>
      <c r="G160" s="573">
        <f>MAX(D160-E160,)</f>
        <v>205</v>
      </c>
      <c r="H160" s="574"/>
      <c r="I160" s="573">
        <f>G160*'МГП ЦОД 10'!I37</f>
        <v>17.630000000000003</v>
      </c>
      <c r="J160" s="574"/>
      <c r="K160" s="174"/>
    </row>
    <row r="161" spans="2:11" s="164" customFormat="1" ht="13.15" customHeight="1">
      <c r="B161" s="595"/>
      <c r="C161" s="514" t="s">
        <v>1442</v>
      </c>
      <c r="D161" s="73">
        <f>I163</f>
        <v>124.20000000000002</v>
      </c>
      <c r="E161" s="73">
        <v>0</v>
      </c>
      <c r="F161" s="282">
        <v>66.36</v>
      </c>
      <c r="G161" s="73"/>
      <c r="H161" s="73"/>
      <c r="I161" s="232">
        <f>MAX(D161-E161-F161,)</f>
        <v>57.840000000000018</v>
      </c>
      <c r="J161" s="162">
        <f>I161*Цены!B19</f>
        <v>3759.0216000000009</v>
      </c>
      <c r="K161" s="163"/>
    </row>
    <row r="162" spans="2:11" s="164" customFormat="1" ht="14.45" hidden="1">
      <c r="B162" s="507"/>
      <c r="C162" s="395" t="s">
        <v>421</v>
      </c>
      <c r="D162" s="73" t="s">
        <v>422</v>
      </c>
      <c r="E162" s="73" t="s">
        <v>423</v>
      </c>
      <c r="F162" s="282"/>
      <c r="G162" s="573" t="s">
        <v>424</v>
      </c>
      <c r="H162" s="574"/>
      <c r="I162" s="573" t="s">
        <v>425</v>
      </c>
      <c r="J162" s="574"/>
      <c r="K162" s="174"/>
    </row>
    <row r="163" spans="2:11" s="164" customFormat="1" ht="14.45" hidden="1">
      <c r="B163" s="507"/>
      <c r="C163" s="180" t="s">
        <v>1734</v>
      </c>
      <c r="D163" s="73">
        <f>2*(C18+E18+C19+E19)</f>
        <v>11800</v>
      </c>
      <c r="E163" s="73">
        <v>4900</v>
      </c>
      <c r="F163" s="282"/>
      <c r="G163" s="573">
        <f>MAX(D163-E163,)</f>
        <v>6900</v>
      </c>
      <c r="H163" s="574"/>
      <c r="I163" s="573">
        <f>G163*'ТРВ-15м-2'!H25</f>
        <v>124.20000000000002</v>
      </c>
      <c r="J163" s="574"/>
      <c r="K163" s="174"/>
    </row>
    <row r="164" spans="2:11" s="164" customFormat="1">
      <c r="B164" s="575" t="s">
        <v>1035</v>
      </c>
      <c r="C164" s="395" t="s">
        <v>1443</v>
      </c>
      <c r="D164" s="73">
        <f>SUM(I166:J167)</f>
        <v>17.472000000000001</v>
      </c>
      <c r="E164" s="73"/>
      <c r="F164" s="282">
        <v>0</v>
      </c>
      <c r="G164" s="73"/>
      <c r="H164" s="73"/>
      <c r="I164" s="232">
        <f>MAX(D164-E164-F164,)</f>
        <v>17.472000000000001</v>
      </c>
      <c r="J164" s="162">
        <f>I164*Цены!B20</f>
        <v>1196.3078400000002</v>
      </c>
      <c r="K164" s="174"/>
    </row>
    <row r="165" spans="2:11" s="164" customFormat="1" ht="14.45" hidden="1">
      <c r="B165" s="575"/>
      <c r="C165" s="444" t="s">
        <v>421</v>
      </c>
      <c r="D165" s="73" t="s">
        <v>422</v>
      </c>
      <c r="E165" s="73" t="s">
        <v>423</v>
      </c>
      <c r="F165" s="282"/>
      <c r="G165" s="573" t="s">
        <v>424</v>
      </c>
      <c r="H165" s="574"/>
      <c r="I165" s="573" t="s">
        <v>425</v>
      </c>
      <c r="J165" s="574"/>
      <c r="K165" s="174"/>
    </row>
    <row r="166" spans="2:11" s="164" customFormat="1" ht="14.45" hidden="1">
      <c r="B166" s="575"/>
      <c r="C166" s="395" t="s">
        <v>1732</v>
      </c>
      <c r="D166" s="73">
        <f>C16+C17+E16+E17+C24+E24+C25+E25</f>
        <v>208</v>
      </c>
      <c r="E166" s="73"/>
      <c r="F166" s="282"/>
      <c r="G166" s="573">
        <f>MAX(D166-E166,)</f>
        <v>208</v>
      </c>
      <c r="H166" s="574"/>
      <c r="I166" s="573">
        <f>G166*'МГП ЦОД 10'!I43</f>
        <v>8.7360000000000007</v>
      </c>
      <c r="J166" s="574"/>
      <c r="K166" s="174"/>
    </row>
    <row r="167" spans="2:11" s="164" customFormat="1" ht="14.45" hidden="1">
      <c r="B167" s="575"/>
      <c r="C167" s="514" t="s">
        <v>1733</v>
      </c>
      <c r="D167" s="73">
        <f>C16+C17+E16+E17+C24+E24+C25+E25</f>
        <v>208</v>
      </c>
      <c r="E167" s="73"/>
      <c r="F167" s="282"/>
      <c r="G167" s="573">
        <f>MAX(D167-E167,)</f>
        <v>208</v>
      </c>
      <c r="H167" s="574"/>
      <c r="I167" s="573">
        <f>G167*'МГП ЦОД 10'!I45</f>
        <v>8.7360000000000007</v>
      </c>
      <c r="J167" s="574"/>
      <c r="K167" s="174"/>
    </row>
    <row r="168" spans="2:11" s="164" customFormat="1">
      <c r="B168" s="411" t="s">
        <v>1036</v>
      </c>
      <c r="C168" s="395" t="s">
        <v>1444</v>
      </c>
      <c r="D168" s="73">
        <f>I170</f>
        <v>4.3680000000000003</v>
      </c>
      <c r="E168" s="73"/>
      <c r="F168" s="282">
        <v>0</v>
      </c>
      <c r="G168" s="73"/>
      <c r="H168" s="73"/>
      <c r="I168" s="232">
        <f>MAX(D168-E168-F168,)</f>
        <v>4.3680000000000003</v>
      </c>
      <c r="J168" s="162">
        <f>I168*Цены!B21</f>
        <v>307.68191999999999</v>
      </c>
      <c r="K168" s="174"/>
    </row>
    <row r="169" spans="2:11" s="164" customFormat="1" ht="14.45" hidden="1">
      <c r="B169" s="507"/>
      <c r="C169" s="444" t="s">
        <v>421</v>
      </c>
      <c r="D169" s="73" t="s">
        <v>422</v>
      </c>
      <c r="E169" s="73" t="s">
        <v>423</v>
      </c>
      <c r="F169" s="282"/>
      <c r="G169" s="573" t="s">
        <v>424</v>
      </c>
      <c r="H169" s="574"/>
      <c r="I169" s="573" t="s">
        <v>425</v>
      </c>
      <c r="J169" s="574"/>
      <c r="K169" s="174"/>
    </row>
    <row r="170" spans="2:11" s="164" customFormat="1" ht="14.45" hidden="1">
      <c r="B170" s="507"/>
      <c r="C170" s="395" t="s">
        <v>1735</v>
      </c>
      <c r="D170" s="73">
        <f>C16+C17+E16+E17+C24+E24+C25+E25</f>
        <v>208</v>
      </c>
      <c r="E170" s="73"/>
      <c r="F170" s="282"/>
      <c r="G170" s="573">
        <f>MAX(D170-E170,)</f>
        <v>208</v>
      </c>
      <c r="H170" s="574"/>
      <c r="I170" s="573">
        <f>G170*'МГП ЦОД 10'!I44</f>
        <v>4.3680000000000003</v>
      </c>
      <c r="J170" s="574"/>
      <c r="K170" s="174"/>
    </row>
    <row r="171" spans="2:11" s="164" customFormat="1">
      <c r="B171" s="594" t="s">
        <v>216</v>
      </c>
      <c r="C171" s="395" t="s">
        <v>1445</v>
      </c>
      <c r="D171" s="73">
        <f>I173</f>
        <v>1580.7959999999998</v>
      </c>
      <c r="E171" s="73">
        <v>0</v>
      </c>
      <c r="F171" s="282">
        <v>0</v>
      </c>
      <c r="G171" s="73"/>
      <c r="H171" s="73"/>
      <c r="I171" s="232">
        <f>MAX(D171-E171-F171,)</f>
        <v>1580.7959999999998</v>
      </c>
      <c r="J171" s="162">
        <f>I171*Цены!B22</f>
        <v>235380.52439999999</v>
      </c>
      <c r="K171" s="163"/>
    </row>
    <row r="172" spans="2:11" s="164" customFormat="1" ht="14.45" hidden="1">
      <c r="B172" s="595"/>
      <c r="C172" s="444" t="s">
        <v>421</v>
      </c>
      <c r="D172" s="73" t="s">
        <v>422</v>
      </c>
      <c r="E172" s="73" t="s">
        <v>423</v>
      </c>
      <c r="F172" s="282"/>
      <c r="G172" s="573" t="s">
        <v>424</v>
      </c>
      <c r="H172" s="574"/>
      <c r="I172" s="573" t="s">
        <v>425</v>
      </c>
      <c r="J172" s="574"/>
      <c r="K172" s="163"/>
    </row>
    <row r="173" spans="2:11" s="164" customFormat="1" ht="14.45" hidden="1">
      <c r="B173" s="595"/>
      <c r="C173" s="395" t="s">
        <v>1736</v>
      </c>
      <c r="D173" s="73">
        <f>C16+C17+E16+E17+C18+E18+C19+E19+C24+E24+C25+E25</f>
        <v>6108</v>
      </c>
      <c r="E173" s="73">
        <v>600</v>
      </c>
      <c r="F173" s="282"/>
      <c r="G173" s="573">
        <f>MAX(D173-E173,)</f>
        <v>5508</v>
      </c>
      <c r="H173" s="574"/>
      <c r="I173" s="573">
        <f>G173*'МГП ЦОД 10'!I30</f>
        <v>1580.7959999999998</v>
      </c>
      <c r="J173" s="574"/>
      <c r="K173" s="163"/>
    </row>
    <row r="174" spans="2:11" s="164" customFormat="1">
      <c r="B174" s="622"/>
      <c r="C174" s="395" t="s">
        <v>1446</v>
      </c>
      <c r="D174" s="73">
        <f>SUM(I176:J177)</f>
        <v>52.517999999999994</v>
      </c>
      <c r="E174" s="73"/>
      <c r="F174" s="282">
        <v>0</v>
      </c>
      <c r="G174" s="73"/>
      <c r="H174" s="73"/>
      <c r="I174" s="232">
        <f>MAX(D174-E174-F174,)</f>
        <v>52.517999999999994</v>
      </c>
      <c r="J174" s="162">
        <f>I174*Цены!B23</f>
        <v>7152.9515999999985</v>
      </c>
      <c r="K174" s="163"/>
    </row>
    <row r="175" spans="2:11" s="164" customFormat="1" ht="14.45" hidden="1">
      <c r="B175" s="512"/>
      <c r="C175" s="444" t="s">
        <v>421</v>
      </c>
      <c r="D175" s="73" t="s">
        <v>422</v>
      </c>
      <c r="E175" s="73" t="s">
        <v>423</v>
      </c>
      <c r="F175" s="282"/>
      <c r="G175" s="573" t="s">
        <v>424</v>
      </c>
      <c r="H175" s="574"/>
      <c r="I175" s="573" t="s">
        <v>425</v>
      </c>
      <c r="J175" s="574"/>
      <c r="K175" s="185"/>
    </row>
    <row r="176" spans="2:11" s="164" customFormat="1" ht="14.45" hidden="1">
      <c r="B176" s="512"/>
      <c r="C176" s="515" t="s">
        <v>1737</v>
      </c>
      <c r="D176" s="509">
        <f>C16+C17+E16+E17+C24+E24+C25+E25</f>
        <v>208</v>
      </c>
      <c r="E176" s="73"/>
      <c r="F176" s="282"/>
      <c r="G176" s="573">
        <f>MAX(D176-E176,)</f>
        <v>208</v>
      </c>
      <c r="H176" s="574"/>
      <c r="I176" s="573">
        <f>G176*'МГП ЦОД 20'!I60</f>
        <v>16.847999999999999</v>
      </c>
      <c r="J176" s="574"/>
      <c r="K176" s="185"/>
    </row>
    <row r="177" spans="2:16" s="164" customFormat="1" ht="14.45" hidden="1">
      <c r="B177" s="512"/>
      <c r="C177" s="515" t="s">
        <v>1738</v>
      </c>
      <c r="D177" s="509">
        <f>2*(C24+E24+C25+E25)</f>
        <v>410</v>
      </c>
      <c r="E177" s="73"/>
      <c r="F177" s="282"/>
      <c r="G177" s="573">
        <f>MAX(D177-E177,)</f>
        <v>410</v>
      </c>
      <c r="H177" s="574"/>
      <c r="I177" s="573">
        <f>G177*'МГП ЦОД 20'!H12</f>
        <v>35.669999999999995</v>
      </c>
      <c r="J177" s="574"/>
      <c r="K177" s="185"/>
    </row>
    <row r="178" spans="2:16" ht="19.5" thickBot="1">
      <c r="B178" s="409"/>
      <c r="F178" s="184"/>
      <c r="H178" s="128"/>
      <c r="I178" s="69" t="s">
        <v>16</v>
      </c>
      <c r="J178" s="500">
        <f>SUM(J102:J174)</f>
        <v>1494498.73875</v>
      </c>
      <c r="K178" s="501"/>
    </row>
    <row r="179" spans="2:16" ht="19.5" thickBot="1">
      <c r="B179" s="577" t="s">
        <v>217</v>
      </c>
      <c r="C179" s="578"/>
      <c r="D179" s="578"/>
      <c r="E179" s="578"/>
      <c r="F179" s="578"/>
      <c r="G179" s="578"/>
      <c r="H179" s="578"/>
      <c r="I179" s="578"/>
      <c r="J179" s="578"/>
      <c r="K179" s="494"/>
      <c r="P179" s="50">
        <f>11500+600+300</f>
        <v>12400</v>
      </c>
    </row>
    <row r="180" spans="2:16" ht="45">
      <c r="B180" s="410" t="s">
        <v>187</v>
      </c>
      <c r="C180" s="438" t="s">
        <v>188</v>
      </c>
      <c r="D180" s="323" t="s">
        <v>182</v>
      </c>
      <c r="E180" s="323" t="s">
        <v>183</v>
      </c>
      <c r="F180" s="324" t="s">
        <v>184</v>
      </c>
      <c r="G180" s="323" t="s">
        <v>254</v>
      </c>
      <c r="H180" s="323" t="s">
        <v>253</v>
      </c>
      <c r="I180" s="318" t="s">
        <v>255</v>
      </c>
      <c r="J180" s="320" t="s">
        <v>343</v>
      </c>
      <c r="K180" s="321" t="s">
        <v>349</v>
      </c>
      <c r="P180" s="50">
        <f>80+90+14</f>
        <v>184</v>
      </c>
    </row>
    <row r="181" spans="2:16" s="164" customFormat="1">
      <c r="B181" s="465" t="s">
        <v>557</v>
      </c>
      <c r="C181" s="395" t="s">
        <v>1440</v>
      </c>
      <c r="D181" s="73">
        <f>SUM(I183:J184)</f>
        <v>279.42399999999998</v>
      </c>
      <c r="E181" s="73">
        <v>0</v>
      </c>
      <c r="F181" s="282">
        <v>350.46</v>
      </c>
      <c r="G181" s="73"/>
      <c r="H181" s="73"/>
      <c r="I181" s="232">
        <f>MAX(D181-E181-F181,)</f>
        <v>0</v>
      </c>
      <c r="J181" s="570">
        <f>I181*Цены!B24</f>
        <v>0</v>
      </c>
      <c r="K181" s="163"/>
      <c r="L181" s="164">
        <v>5.93</v>
      </c>
      <c r="M181" s="164">
        <f>D181-F181</f>
        <v>-71.036000000000001</v>
      </c>
      <c r="N181" s="164">
        <f>142*L181</f>
        <v>842.06</v>
      </c>
      <c r="P181" s="164">
        <f>P180*24</f>
        <v>4416</v>
      </c>
    </row>
    <row r="182" spans="2:16" s="164" customFormat="1" ht="14.45" hidden="1">
      <c r="B182" s="465"/>
      <c r="C182" s="444" t="s">
        <v>421</v>
      </c>
      <c r="D182" s="73" t="s">
        <v>422</v>
      </c>
      <c r="E182" s="73" t="s">
        <v>423</v>
      </c>
      <c r="F182" s="282"/>
      <c r="G182" s="573" t="s">
        <v>424</v>
      </c>
      <c r="H182" s="574"/>
      <c r="I182" s="573" t="s">
        <v>425</v>
      </c>
      <c r="J182" s="574"/>
      <c r="K182" s="163"/>
    </row>
    <row r="183" spans="2:16" s="164" customFormat="1" ht="14.45" hidden="1">
      <c r="B183" s="465"/>
      <c r="C183" s="395" t="s">
        <v>643</v>
      </c>
      <c r="D183" s="73">
        <f>C18+E18+C19+E19</f>
        <v>5900</v>
      </c>
      <c r="E183" s="73">
        <v>780</v>
      </c>
      <c r="F183" s="282"/>
      <c r="G183" s="573">
        <f>MAX(D183-E183,)</f>
        <v>5120</v>
      </c>
      <c r="H183" s="574"/>
      <c r="I183" s="573">
        <f>G183*'ТРВ-15м-2'!I41</f>
        <v>261.12</v>
      </c>
      <c r="J183" s="574"/>
      <c r="K183" s="163"/>
    </row>
    <row r="184" spans="2:16" s="164" customFormat="1" ht="14.45" hidden="1">
      <c r="B184" s="465"/>
      <c r="C184" s="395" t="s">
        <v>124</v>
      </c>
      <c r="D184" s="73">
        <f>C16+C17+E16+E17+C24+E24+C25+E25</f>
        <v>208</v>
      </c>
      <c r="E184" s="73"/>
      <c r="F184" s="282"/>
      <c r="G184" s="573">
        <f>MAX(D184-E184,)</f>
        <v>208</v>
      </c>
      <c r="H184" s="574"/>
      <c r="I184" s="573">
        <f>G184*'МГП ЦОД 10'!I8</f>
        <v>18.303999999999998</v>
      </c>
      <c r="J184" s="574"/>
      <c r="K184" s="163"/>
    </row>
    <row r="185" spans="2:16" s="164" customFormat="1">
      <c r="B185" s="398" t="s">
        <v>1668</v>
      </c>
      <c r="C185" s="395" t="s">
        <v>1669</v>
      </c>
      <c r="D185" s="73">
        <f>SUM(I187:J190)</f>
        <v>4.46</v>
      </c>
      <c r="E185" s="73"/>
      <c r="F185" s="282">
        <v>14.686999999999999</v>
      </c>
      <c r="G185" s="73"/>
      <c r="H185" s="73"/>
      <c r="I185" s="232">
        <f>MAX(D185-E185-F185,)</f>
        <v>0</v>
      </c>
      <c r="J185" s="162">
        <f>I185*Цены!B25</f>
        <v>0</v>
      </c>
      <c r="K185" s="163"/>
    </row>
    <row r="186" spans="2:16" s="164" customFormat="1" ht="14.45" hidden="1">
      <c r="B186" s="516"/>
      <c r="C186" s="444" t="s">
        <v>421</v>
      </c>
      <c r="D186" s="73" t="s">
        <v>422</v>
      </c>
      <c r="E186" s="73" t="s">
        <v>423</v>
      </c>
      <c r="F186" s="282"/>
      <c r="G186" s="573" t="s">
        <v>424</v>
      </c>
      <c r="H186" s="574"/>
      <c r="I186" s="573" t="s">
        <v>425</v>
      </c>
      <c r="J186" s="574"/>
      <c r="K186" s="185"/>
    </row>
    <row r="187" spans="2:16" s="164" customFormat="1" ht="14.45" hidden="1">
      <c r="B187" s="516"/>
      <c r="C187" s="515" t="s">
        <v>1739</v>
      </c>
      <c r="D187" s="509">
        <f>C24</f>
        <v>85</v>
      </c>
      <c r="E187" s="73"/>
      <c r="F187" s="282"/>
      <c r="G187" s="573">
        <f>MAX(D187-E187,)</f>
        <v>85</v>
      </c>
      <c r="H187" s="574"/>
      <c r="I187" s="573">
        <f>G187*0.02</f>
        <v>1.7</v>
      </c>
      <c r="J187" s="574"/>
      <c r="K187" s="185"/>
    </row>
    <row r="188" spans="2:16" s="164" customFormat="1" ht="14.45" hidden="1">
      <c r="B188" s="516"/>
      <c r="C188" s="515" t="s">
        <v>1740</v>
      </c>
      <c r="D188" s="509">
        <f>E24</f>
        <v>0</v>
      </c>
      <c r="E188" s="73"/>
      <c r="F188" s="282"/>
      <c r="G188" s="573">
        <f t="shared" ref="G188:G190" si="18">MAX(D188-E188,)</f>
        <v>0</v>
      </c>
      <c r="H188" s="574"/>
      <c r="I188" s="573">
        <f>G188*0.035</f>
        <v>0</v>
      </c>
      <c r="J188" s="574"/>
      <c r="K188" s="185"/>
    </row>
    <row r="189" spans="2:16" s="164" customFormat="1" ht="14.45" hidden="1">
      <c r="B189" s="516"/>
      <c r="C189" s="515" t="s">
        <v>1741</v>
      </c>
      <c r="D189" s="509">
        <f>C25</f>
        <v>120</v>
      </c>
      <c r="E189" s="73"/>
      <c r="F189" s="282"/>
      <c r="G189" s="573">
        <f t="shared" si="18"/>
        <v>120</v>
      </c>
      <c r="H189" s="574"/>
      <c r="I189" s="573">
        <f>G189*0.023</f>
        <v>2.76</v>
      </c>
      <c r="J189" s="574"/>
      <c r="K189" s="185"/>
    </row>
    <row r="190" spans="2:16" s="164" customFormat="1" ht="14.45" hidden="1">
      <c r="B190" s="516"/>
      <c r="C190" s="515" t="s">
        <v>1742</v>
      </c>
      <c r="D190" s="509">
        <f>E25</f>
        <v>0</v>
      </c>
      <c r="E190" s="73"/>
      <c r="F190" s="282"/>
      <c r="G190" s="573">
        <f t="shared" si="18"/>
        <v>0</v>
      </c>
      <c r="H190" s="574"/>
      <c r="I190" s="573">
        <f>G190*0.043</f>
        <v>0</v>
      </c>
      <c r="J190" s="574"/>
      <c r="K190" s="185"/>
    </row>
    <row r="191" spans="2:16" ht="19.5" thickBot="1">
      <c r="B191" s="487"/>
      <c r="F191" s="184"/>
      <c r="H191" s="128"/>
      <c r="I191" s="69" t="s">
        <v>16</v>
      </c>
      <c r="J191" s="500">
        <f>J181+J185</f>
        <v>0</v>
      </c>
      <c r="K191" s="501"/>
      <c r="M191" s="50">
        <v>1365</v>
      </c>
    </row>
    <row r="192" spans="2:16" ht="19.5" customHeight="1" thickBot="1">
      <c r="B192" s="620" t="s">
        <v>262</v>
      </c>
      <c r="C192" s="621"/>
      <c r="D192" s="621"/>
      <c r="E192" s="621"/>
      <c r="F192" s="621"/>
      <c r="G192" s="621"/>
      <c r="H192" s="621"/>
      <c r="I192" s="621"/>
      <c r="J192" s="621"/>
      <c r="K192" s="495"/>
      <c r="M192" s="50">
        <v>1400</v>
      </c>
    </row>
    <row r="193" spans="1:16" ht="45">
      <c r="B193" s="412" t="s">
        <v>187</v>
      </c>
      <c r="C193" s="439" t="s">
        <v>188</v>
      </c>
      <c r="D193" s="323" t="s">
        <v>182</v>
      </c>
      <c r="E193" s="323" t="s">
        <v>183</v>
      </c>
      <c r="F193" s="324" t="s">
        <v>184</v>
      </c>
      <c r="G193" s="323" t="s">
        <v>254</v>
      </c>
      <c r="H193" s="323" t="s">
        <v>253</v>
      </c>
      <c r="I193" s="318" t="s">
        <v>255</v>
      </c>
      <c r="J193" s="331" t="s">
        <v>343</v>
      </c>
      <c r="K193" s="321" t="s">
        <v>349</v>
      </c>
      <c r="M193" s="50">
        <v>1465</v>
      </c>
    </row>
    <row r="194" spans="1:16" s="164" customFormat="1">
      <c r="B194" s="381" t="s">
        <v>1616</v>
      </c>
      <c r="C194" s="440" t="s">
        <v>61</v>
      </c>
      <c r="D194" s="42">
        <f>C13*3.05+E13*6.05+(C14+E14)*9.05+C15*12.05</f>
        <v>12085</v>
      </c>
      <c r="E194" s="47">
        <v>0</v>
      </c>
      <c r="F194" s="282">
        <v>5690</v>
      </c>
      <c r="G194" s="73"/>
      <c r="H194" s="73">
        <v>0</v>
      </c>
      <c r="I194" s="73">
        <f t="shared" ref="I194:I199" si="19">MAX(D194-E194-F194,)</f>
        <v>6395</v>
      </c>
      <c r="J194" s="162">
        <f>'Дефицит основной'!I194*Цены!B27</f>
        <v>548691</v>
      </c>
      <c r="K194" s="163"/>
      <c r="M194" s="164">
        <v>1440</v>
      </c>
    </row>
    <row r="195" spans="1:16" s="164" customFormat="1" ht="15" customHeight="1">
      <c r="B195" s="381" t="s">
        <v>258</v>
      </c>
      <c r="C195" s="440" t="s">
        <v>681</v>
      </c>
      <c r="D195" s="73">
        <f>C13*3+E13*4+C14*5+E14*5+C15*6+(C18+C19+E18+E19)*6</f>
        <v>42800</v>
      </c>
      <c r="E195" s="47">
        <v>0</v>
      </c>
      <c r="F195" s="282">
        <v>64504</v>
      </c>
      <c r="G195" s="73"/>
      <c r="H195" s="73">
        <v>0</v>
      </c>
      <c r="I195" s="73">
        <f t="shared" si="19"/>
        <v>0</v>
      </c>
      <c r="J195" s="162">
        <f>I195*Цены!B28</f>
        <v>0</v>
      </c>
      <c r="K195" s="163"/>
      <c r="L195" s="164">
        <f>125*567</f>
        <v>70875</v>
      </c>
      <c r="M195" s="164">
        <v>1527</v>
      </c>
      <c r="N195" s="164">
        <f>15051+30051</f>
        <v>45102</v>
      </c>
      <c r="P195" s="164">
        <f>1200*5.2</f>
        <v>6240</v>
      </c>
    </row>
    <row r="196" spans="1:16" s="289" customFormat="1">
      <c r="B196" s="381" t="s">
        <v>157</v>
      </c>
      <c r="C196" s="440" t="s">
        <v>158</v>
      </c>
      <c r="D196" s="42">
        <f>C18*3.2+E18*5.2+C19*6.4+E19*7.2</f>
        <v>30240</v>
      </c>
      <c r="E196" s="47">
        <v>0</v>
      </c>
      <c r="F196" s="282">
        <v>8850</v>
      </c>
      <c r="G196" s="73"/>
      <c r="H196" s="73">
        <v>0</v>
      </c>
      <c r="I196" s="73">
        <f t="shared" si="19"/>
        <v>21390</v>
      </c>
      <c r="J196" s="162">
        <f>I196*Цены!B29</f>
        <v>6598815</v>
      </c>
      <c r="K196" s="163"/>
      <c r="M196" s="289">
        <v>1555</v>
      </c>
      <c r="N196" s="289">
        <f>L195-N195</f>
        <v>25773</v>
      </c>
      <c r="O196" s="289">
        <f>N196+30051</f>
        <v>55824</v>
      </c>
      <c r="P196" s="289">
        <f>30000/567</f>
        <v>52.910052910052912</v>
      </c>
    </row>
    <row r="197" spans="1:16" s="164" customFormat="1">
      <c r="A197" s="164">
        <v>1066</v>
      </c>
      <c r="B197" s="381" t="s">
        <v>307</v>
      </c>
      <c r="C197" s="440"/>
      <c r="D197" s="42">
        <f>(C13+E13+C14+C15+C18+C19+E18+E19)*'ТРВ-15м-2'!I76</f>
        <v>148</v>
      </c>
      <c r="E197" s="47">
        <v>0</v>
      </c>
      <c r="F197" s="282">
        <v>45</v>
      </c>
      <c r="G197" s="73"/>
      <c r="H197" s="73"/>
      <c r="I197" s="73">
        <f t="shared" si="19"/>
        <v>103</v>
      </c>
      <c r="J197" s="570">
        <f>I197*Цены!B30</f>
        <v>610.27499999999998</v>
      </c>
      <c r="K197" s="163"/>
      <c r="M197" s="164">
        <v>1520</v>
      </c>
    </row>
    <row r="198" spans="1:16" s="164" customFormat="1">
      <c r="B198" s="413" t="s">
        <v>261</v>
      </c>
      <c r="C198" s="441" t="s">
        <v>73</v>
      </c>
      <c r="D198" s="362">
        <f>(C13+E13+C14+C15+C16+E16+C17+E17+C18+C19+E18+E19+C24+C25+E24+E25)*'ТРВ-15м-2'!I37</f>
        <v>15.216000000000001</v>
      </c>
      <c r="E198" s="363">
        <v>0</v>
      </c>
      <c r="F198" s="285">
        <v>0</v>
      </c>
      <c r="G198" s="158"/>
      <c r="H198" s="158"/>
      <c r="I198" s="73">
        <f t="shared" si="19"/>
        <v>15.216000000000001</v>
      </c>
      <c r="J198" s="571">
        <f>I198*Цены!B31</f>
        <v>2360.9145600000002</v>
      </c>
      <c r="K198" s="174"/>
      <c r="M198" s="164">
        <v>1605</v>
      </c>
    </row>
    <row r="199" spans="1:16" s="164" customFormat="1">
      <c r="B199" s="480" t="s">
        <v>1241</v>
      </c>
      <c r="C199" s="481" t="s">
        <v>1240</v>
      </c>
      <c r="D199" s="482">
        <f>12*(C24+E24)+24*(C25+E25)+0.48*C16+0.96*C17+1.44*E16+1.92*E17</f>
        <v>3905.76</v>
      </c>
      <c r="E199" s="483"/>
      <c r="F199" s="285">
        <v>1419</v>
      </c>
      <c r="G199" s="482"/>
      <c r="H199" s="482"/>
      <c r="I199" s="73">
        <f t="shared" si="19"/>
        <v>2486.7600000000002</v>
      </c>
      <c r="J199" s="173">
        <f>I199*Цены!B32</f>
        <v>4973520</v>
      </c>
      <c r="K199" s="174"/>
    </row>
    <row r="200" spans="1:16" s="164" customFormat="1">
      <c r="B200" s="381" t="s">
        <v>1085</v>
      </c>
      <c r="C200" s="440"/>
      <c r="D200" s="73">
        <f>C24+E24+C25+E25+(C16+C17+E16+E17)</f>
        <v>208</v>
      </c>
      <c r="E200" s="47"/>
      <c r="F200" s="282">
        <v>1733</v>
      </c>
      <c r="G200" s="73"/>
      <c r="H200" s="73"/>
      <c r="I200" s="158">
        <f t="shared" ref="I200" si="20">MAX(D200-E200-F200,)</f>
        <v>0</v>
      </c>
      <c r="J200" s="173">
        <f>I200*Цены!B33</f>
        <v>0</v>
      </c>
      <c r="K200" s="163"/>
    </row>
    <row r="201" spans="1:16" ht="19.5" thickBot="1">
      <c r="B201" s="414"/>
      <c r="C201" s="404"/>
      <c r="D201"/>
      <c r="E201"/>
      <c r="H201" s="128"/>
      <c r="I201" s="69" t="s">
        <v>16</v>
      </c>
      <c r="J201" s="500">
        <f>SUM(J194:J200)</f>
        <v>12123997.18956</v>
      </c>
      <c r="K201" s="501"/>
      <c r="M201" s="50">
        <v>1660</v>
      </c>
    </row>
    <row r="202" spans="1:16" ht="19.5" customHeight="1" thickBot="1">
      <c r="B202" s="620" t="s">
        <v>263</v>
      </c>
      <c r="C202" s="621"/>
      <c r="D202" s="621"/>
      <c r="E202" s="621"/>
      <c r="F202" s="621"/>
      <c r="G202" s="621"/>
      <c r="H202" s="621"/>
      <c r="I202" s="621"/>
      <c r="J202" s="621"/>
      <c r="K202" s="495"/>
      <c r="M202" s="50">
        <v>1805</v>
      </c>
    </row>
    <row r="203" spans="1:16" ht="45">
      <c r="B203" s="412" t="s">
        <v>187</v>
      </c>
      <c r="C203" s="439" t="s">
        <v>188</v>
      </c>
      <c r="D203" s="323" t="s">
        <v>182</v>
      </c>
      <c r="E203" s="323" t="s">
        <v>183</v>
      </c>
      <c r="F203" s="324" t="s">
        <v>184</v>
      </c>
      <c r="G203" s="323" t="s">
        <v>254</v>
      </c>
      <c r="H203" s="323" t="s">
        <v>253</v>
      </c>
      <c r="I203" s="318" t="s">
        <v>255</v>
      </c>
      <c r="J203" s="331" t="s">
        <v>343</v>
      </c>
      <c r="K203" s="321" t="s">
        <v>349</v>
      </c>
      <c r="M203" s="50">
        <f>2*1808</f>
        <v>3616</v>
      </c>
    </row>
    <row r="204" spans="1:16" s="164" customFormat="1">
      <c r="B204" s="381" t="s">
        <v>144</v>
      </c>
      <c r="C204" s="440"/>
      <c r="D204" s="42">
        <f>(C18+C19+E18+E19+F19)*'ТРВ-15м-2'!I69</f>
        <v>944</v>
      </c>
      <c r="E204" s="47">
        <v>0</v>
      </c>
      <c r="F204" s="282">
        <v>40</v>
      </c>
      <c r="G204" s="73"/>
      <c r="H204" s="73"/>
      <c r="I204" s="232">
        <f>MAX(D204-E204-F204,)</f>
        <v>904</v>
      </c>
      <c r="J204" s="162">
        <f>I204*Цены!B35</f>
        <v>76568.800000000003</v>
      </c>
      <c r="K204" s="163"/>
      <c r="M204" s="164">
        <f>4*1821</f>
        <v>7284</v>
      </c>
    </row>
    <row r="205" spans="1:16" s="164" customFormat="1" ht="26.25" thickBot="1">
      <c r="B205" s="393" t="s">
        <v>487</v>
      </c>
      <c r="C205" s="488"/>
      <c r="D205" s="490">
        <f>(C18+C19+E18+E19)*'ТРВ-15м-2'!I68</f>
        <v>826.00000000000011</v>
      </c>
      <c r="E205" s="489">
        <v>0</v>
      </c>
      <c r="F205" s="388">
        <v>0</v>
      </c>
      <c r="G205" s="43"/>
      <c r="H205" s="387">
        <v>0</v>
      </c>
      <c r="I205" s="232">
        <f>MAX(D205-E205-F205,)</f>
        <v>826.00000000000011</v>
      </c>
      <c r="J205" s="484">
        <f>I205*Цены!B36</f>
        <v>485688.00000000006</v>
      </c>
      <c r="K205" s="163"/>
      <c r="M205" s="164">
        <v>1855</v>
      </c>
    </row>
    <row r="206" spans="1:16" ht="19.5" thickBot="1">
      <c r="B206" s="415"/>
      <c r="C206" s="442"/>
      <c r="D206" s="58"/>
      <c r="E206" s="66"/>
      <c r="F206" s="386"/>
      <c r="G206" s="58"/>
      <c r="H206" s="59"/>
      <c r="I206" s="69" t="s">
        <v>16</v>
      </c>
      <c r="J206" s="498">
        <f>SUM(J204:J205)</f>
        <v>562256.80000000005</v>
      </c>
      <c r="K206" s="499"/>
    </row>
    <row r="207" spans="1:16" ht="19.5" customHeight="1" thickBot="1">
      <c r="B207" s="577" t="s">
        <v>219</v>
      </c>
      <c r="C207" s="578"/>
      <c r="D207" s="578"/>
      <c r="E207" s="578"/>
      <c r="F207" s="578"/>
      <c r="G207" s="578"/>
      <c r="H207" s="578"/>
      <c r="I207" s="578"/>
      <c r="J207" s="578"/>
      <c r="K207" s="494"/>
    </row>
    <row r="208" spans="1:16" ht="45">
      <c r="B208" s="410" t="s">
        <v>187</v>
      </c>
      <c r="C208" s="438" t="s">
        <v>188</v>
      </c>
      <c r="D208" s="323" t="s">
        <v>182</v>
      </c>
      <c r="E208" s="323" t="s">
        <v>183</v>
      </c>
      <c r="F208" s="324" t="s">
        <v>184</v>
      </c>
      <c r="G208" s="323" t="s">
        <v>254</v>
      </c>
      <c r="H208" s="323" t="s">
        <v>253</v>
      </c>
      <c r="I208" s="318" t="s">
        <v>255</v>
      </c>
      <c r="J208" s="320" t="s">
        <v>343</v>
      </c>
      <c r="K208" s="321" t="s">
        <v>349</v>
      </c>
    </row>
    <row r="209" spans="2:12" s="394" customFormat="1">
      <c r="B209" s="416" t="s">
        <v>225</v>
      </c>
      <c r="C209" s="486" t="s">
        <v>224</v>
      </c>
      <c r="D209" s="232">
        <f>(C16+E16+C17+E17+C18+C19+E18+E19+C24+C25+E24+E25)*2</f>
        <v>12216</v>
      </c>
      <c r="E209" s="172">
        <v>0</v>
      </c>
      <c r="F209" s="471">
        <v>0</v>
      </c>
      <c r="G209" s="172"/>
      <c r="H209" s="172"/>
      <c r="I209" s="232">
        <f t="shared" ref="I209:I221" si="21">MAX(D209-E209-F209,)</f>
        <v>12216</v>
      </c>
      <c r="J209" s="291">
        <f>I209*Цены!B38</f>
        <v>21988.799999999999</v>
      </c>
      <c r="K209" s="222"/>
    </row>
    <row r="210" spans="2:12" s="164" customFormat="1">
      <c r="B210" s="585" t="s">
        <v>1214</v>
      </c>
      <c r="C210" s="395" t="s">
        <v>1366</v>
      </c>
      <c r="D210" s="73">
        <f>C16+C17+E16+E17</f>
        <v>3</v>
      </c>
      <c r="E210" s="73"/>
      <c r="F210" s="282">
        <v>150</v>
      </c>
      <c r="G210" s="73"/>
      <c r="H210" s="73"/>
      <c r="I210" s="232">
        <f t="shared" si="21"/>
        <v>0</v>
      </c>
      <c r="J210" s="291">
        <f>I210*Цены!B39</f>
        <v>0</v>
      </c>
      <c r="K210" s="163"/>
    </row>
    <row r="211" spans="2:12" s="164" customFormat="1">
      <c r="B211" s="586"/>
      <c r="C211" s="395" t="s">
        <v>1215</v>
      </c>
      <c r="D211" s="73">
        <f>C24+E24+C25+E25+(C16+C17+E16+E17)</f>
        <v>208</v>
      </c>
      <c r="E211" s="73"/>
      <c r="F211" s="282">
        <v>150</v>
      </c>
      <c r="G211" s="73"/>
      <c r="H211" s="73"/>
      <c r="I211" s="232">
        <f t="shared" si="21"/>
        <v>58</v>
      </c>
      <c r="J211" s="291">
        <f>I211*Цены!B40</f>
        <v>538.81999999999994</v>
      </c>
      <c r="K211" s="163"/>
    </row>
    <row r="212" spans="2:12" s="164" customFormat="1">
      <c r="B212" s="586"/>
      <c r="C212" s="395" t="s">
        <v>1216</v>
      </c>
      <c r="D212" s="73">
        <f>(C24+E24+C25+E25)+(C16+C17+E16+E17)</f>
        <v>208</v>
      </c>
      <c r="E212" s="73"/>
      <c r="F212" s="282">
        <v>150</v>
      </c>
      <c r="G212" s="73"/>
      <c r="H212" s="73"/>
      <c r="I212" s="232">
        <f t="shared" si="21"/>
        <v>58</v>
      </c>
      <c r="J212" s="291">
        <f>I212*Цены!B41</f>
        <v>538.81999999999994</v>
      </c>
      <c r="K212" s="163"/>
    </row>
    <row r="213" spans="2:12" s="164" customFormat="1">
      <c r="B213" s="586"/>
      <c r="C213" s="395" t="s">
        <v>1225</v>
      </c>
      <c r="D213" s="73">
        <f>2*(C24+E24+C25+E25)</f>
        <v>410</v>
      </c>
      <c r="E213" s="73"/>
      <c r="F213" s="282">
        <v>250</v>
      </c>
      <c r="G213" s="73"/>
      <c r="H213" s="73"/>
      <c r="I213" s="232">
        <f t="shared" si="21"/>
        <v>160</v>
      </c>
      <c r="J213" s="291">
        <f>I213*Цены!B42</f>
        <v>1280</v>
      </c>
      <c r="K213" s="163"/>
    </row>
    <row r="214" spans="2:12" s="164" customFormat="1">
      <c r="B214" s="587"/>
      <c r="C214" s="396" t="s">
        <v>1217</v>
      </c>
      <c r="D214" s="73">
        <f>C24+E24+C25+E25+C16+C17+E16+E17</f>
        <v>208</v>
      </c>
      <c r="E214" s="73"/>
      <c r="F214" s="282">
        <v>350</v>
      </c>
      <c r="G214" s="73"/>
      <c r="H214" s="73"/>
      <c r="I214" s="232">
        <f t="shared" si="21"/>
        <v>0</v>
      </c>
      <c r="J214" s="291">
        <f>I214*Цены!B43</f>
        <v>0</v>
      </c>
      <c r="K214" s="163"/>
    </row>
    <row r="215" spans="2:12" s="164" customFormat="1">
      <c r="B215" s="402" t="s">
        <v>1419</v>
      </c>
      <c r="C215" s="395" t="s">
        <v>221</v>
      </c>
      <c r="D215" s="73">
        <f>((C18+E18+C19+E19)*'ТРВ-15м-2'!I52+(C13+E13+C14+E14+C15)*('12М'!J15+'12М'!J24))</f>
        <v>107.45</v>
      </c>
      <c r="E215" s="73">
        <v>0</v>
      </c>
      <c r="F215" s="282">
        <v>87.9</v>
      </c>
      <c r="G215" s="73"/>
      <c r="H215" s="73"/>
      <c r="I215" s="232">
        <f t="shared" si="21"/>
        <v>19.549999999999997</v>
      </c>
      <c r="J215" s="291">
        <f>I215*Цены!B44*3.66</f>
        <v>6596.4710699999996</v>
      </c>
      <c r="K215" s="163"/>
      <c r="L215" s="164" t="s">
        <v>1688</v>
      </c>
    </row>
    <row r="216" spans="2:12" s="164" customFormat="1" ht="26.25">
      <c r="B216" s="569" t="s">
        <v>1014</v>
      </c>
      <c r="C216" s="402" t="s">
        <v>905</v>
      </c>
      <c r="D216" s="387">
        <f>( C18+C19+E18+E19)*'ТРВ-15м-2'!I50</f>
        <v>14.75</v>
      </c>
      <c r="E216" s="387">
        <v>0</v>
      </c>
      <c r="F216" s="388">
        <v>82</v>
      </c>
      <c r="G216" s="43"/>
      <c r="H216" s="43"/>
      <c r="I216" s="568">
        <f t="shared" si="21"/>
        <v>0</v>
      </c>
      <c r="J216" s="484">
        <f>I216*Цены!B45</f>
        <v>0</v>
      </c>
      <c r="K216" s="163"/>
    </row>
    <row r="217" spans="2:12" s="164" customFormat="1">
      <c r="B217" s="402" t="s">
        <v>1135</v>
      </c>
      <c r="C217" s="395" t="s">
        <v>1206</v>
      </c>
      <c r="D217" s="73">
        <f>(C24+C25+E24+E25)*'МГП ЦОД 10'!I65*2.7</f>
        <v>2.2140000000000004</v>
      </c>
      <c r="E217" s="73"/>
      <c r="F217" s="282">
        <v>41.776000000000003</v>
      </c>
      <c r="G217" s="73"/>
      <c r="H217" s="73"/>
      <c r="I217" s="232">
        <f t="shared" si="21"/>
        <v>0</v>
      </c>
      <c r="J217" s="162">
        <f>I217*Цены!B46</f>
        <v>0</v>
      </c>
      <c r="K217" s="163"/>
    </row>
    <row r="218" spans="2:12" s="164" customFormat="1">
      <c r="B218" s="402" t="s">
        <v>1617</v>
      </c>
      <c r="C218" s="395" t="s">
        <v>1032</v>
      </c>
      <c r="D218" s="73">
        <f>(C13+C14+E14+E13+C15)*('18М'!J24+'18М'!J25)+(C18+C19+E18+E19)*'ТРВ-15м-2'!I51</f>
        <v>88.600000000000009</v>
      </c>
      <c r="E218" s="73">
        <v>0</v>
      </c>
      <c r="F218" s="282">
        <v>172.2</v>
      </c>
      <c r="G218" s="73"/>
      <c r="H218" s="73"/>
      <c r="I218" s="232">
        <f t="shared" si="21"/>
        <v>0</v>
      </c>
      <c r="J218" s="162">
        <f>I218*Цены!B47</f>
        <v>0</v>
      </c>
      <c r="K218" s="163"/>
    </row>
    <row r="219" spans="2:12" s="164" customFormat="1">
      <c r="B219" s="391" t="s">
        <v>736</v>
      </c>
      <c r="C219" s="395" t="s">
        <v>807</v>
      </c>
      <c r="D219" s="73">
        <f>(C13+C14+E14+E13+C15)*'18М'!J48+(C18+C19+E18+E19)*'ТРВ-15м-2'!I38+(C24+E24+C25+E25)*'МГП ЦОД 10'!I74</f>
        <v>23.824999999999999</v>
      </c>
      <c r="E219" s="73">
        <v>0</v>
      </c>
      <c r="F219" s="282">
        <v>30</v>
      </c>
      <c r="G219" s="73"/>
      <c r="H219" s="73"/>
      <c r="I219" s="232">
        <f t="shared" si="21"/>
        <v>0</v>
      </c>
      <c r="J219" s="162">
        <f>I219*Цены!B48</f>
        <v>0</v>
      </c>
      <c r="K219" s="163"/>
    </row>
    <row r="220" spans="2:12" s="164" customFormat="1">
      <c r="B220" s="401" t="s">
        <v>682</v>
      </c>
      <c r="C220" s="395" t="s">
        <v>1447</v>
      </c>
      <c r="D220" s="73">
        <f>(C13+C14+E14+E13+C15)*'18М'!J27</f>
        <v>51</v>
      </c>
      <c r="E220" s="73">
        <v>0</v>
      </c>
      <c r="F220" s="282">
        <v>122</v>
      </c>
      <c r="G220" s="73"/>
      <c r="H220" s="73"/>
      <c r="I220" s="232">
        <f t="shared" si="21"/>
        <v>0</v>
      </c>
      <c r="J220" s="162">
        <f>I220*Цены!B49</f>
        <v>0</v>
      </c>
      <c r="K220" s="163"/>
    </row>
    <row r="221" spans="2:12" s="164" customFormat="1">
      <c r="B221" s="402" t="s">
        <v>228</v>
      </c>
      <c r="C221" s="395" t="s">
        <v>1444</v>
      </c>
      <c r="D221" s="73">
        <f>(C18+C19+E18+E19)*'ТРВ-15м-2'!I30+(C13+C14+C15+E13+E14)*'18М'!J22</f>
        <v>15.200000000000001</v>
      </c>
      <c r="E221" s="73">
        <v>0</v>
      </c>
      <c r="F221" s="282">
        <v>8.5399999999999991</v>
      </c>
      <c r="G221" s="73"/>
      <c r="H221" s="73"/>
      <c r="I221" s="232">
        <f t="shared" si="21"/>
        <v>6.6600000000000019</v>
      </c>
      <c r="J221" s="162">
        <f>I221*Цены!B50</f>
        <v>2217.7800000000007</v>
      </c>
      <c r="K221" s="163"/>
    </row>
    <row r="222" spans="2:12" ht="19.5" thickBot="1">
      <c r="B222" s="417"/>
      <c r="F222" s="184"/>
      <c r="H222" s="128"/>
      <c r="I222" s="69" t="s">
        <v>16</v>
      </c>
      <c r="J222" s="500">
        <f>SUM(J209:J221)</f>
        <v>33160.691070000001</v>
      </c>
      <c r="K222" s="501"/>
    </row>
    <row r="223" spans="2:12" ht="19.5" customHeight="1" thickBot="1">
      <c r="B223" s="577" t="s">
        <v>233</v>
      </c>
      <c r="C223" s="578"/>
      <c r="D223" s="578"/>
      <c r="E223" s="578"/>
      <c r="F223" s="578"/>
      <c r="G223" s="578"/>
      <c r="H223" s="578"/>
      <c r="I223" s="578"/>
      <c r="J223" s="578"/>
      <c r="K223" s="494"/>
    </row>
    <row r="224" spans="2:12" ht="45">
      <c r="B224" s="410" t="s">
        <v>187</v>
      </c>
      <c r="C224" s="438" t="s">
        <v>188</v>
      </c>
      <c r="D224" s="323" t="s">
        <v>182</v>
      </c>
      <c r="E224" s="323" t="s">
        <v>183</v>
      </c>
      <c r="F224" s="324" t="s">
        <v>184</v>
      </c>
      <c r="G224" s="323" t="s">
        <v>254</v>
      </c>
      <c r="H224" s="323" t="s">
        <v>253</v>
      </c>
      <c r="I224" s="318" t="s">
        <v>255</v>
      </c>
      <c r="J224" s="320" t="s">
        <v>343</v>
      </c>
      <c r="K224" s="321" t="s">
        <v>349</v>
      </c>
    </row>
    <row r="225" spans="1:11" s="164" customFormat="1" ht="14.25" customHeight="1">
      <c r="A225" s="164" t="s">
        <v>1757</v>
      </c>
      <c r="B225" s="402" t="s">
        <v>50</v>
      </c>
      <c r="C225" s="395"/>
      <c r="D225" s="73">
        <f>C13+C14+E14+E13+C15</f>
        <v>1700</v>
      </c>
      <c r="E225" s="172">
        <v>0</v>
      </c>
      <c r="F225" s="282">
        <v>231</v>
      </c>
      <c r="G225" s="73"/>
      <c r="H225" s="73"/>
      <c r="I225" s="73">
        <f>MAX(D225-F225-E225,)</f>
        <v>1469</v>
      </c>
      <c r="J225" s="162">
        <f>I225*Цены!B52</f>
        <v>41807.74</v>
      </c>
      <c r="K225" s="163"/>
    </row>
    <row r="226" spans="1:11" s="164" customFormat="1" ht="14.25" customHeight="1">
      <c r="A226" s="164" t="s">
        <v>1756</v>
      </c>
      <c r="B226" s="402" t="s">
        <v>472</v>
      </c>
      <c r="C226" s="395"/>
      <c r="D226" s="73"/>
      <c r="E226" s="172"/>
      <c r="F226" s="282">
        <v>4108</v>
      </c>
      <c r="G226" s="73"/>
      <c r="H226" s="73"/>
      <c r="I226" s="73">
        <f>MAX(D226-F226-E226,)</f>
        <v>0</v>
      </c>
      <c r="J226" s="162">
        <f>I226*Цены!B53</f>
        <v>0</v>
      </c>
      <c r="K226" s="163"/>
    </row>
    <row r="227" spans="1:11" s="164" customFormat="1">
      <c r="B227" s="402" t="s">
        <v>1073</v>
      </c>
      <c r="C227" s="395" t="s">
        <v>1212</v>
      </c>
      <c r="D227" s="73">
        <f>2*(C24+E24+C25+E25)+(C16+C17+E16+E17)</f>
        <v>413</v>
      </c>
      <c r="E227" s="73"/>
      <c r="F227" s="282">
        <v>850</v>
      </c>
      <c r="G227" s="73"/>
      <c r="H227" s="73"/>
      <c r="I227" s="73">
        <f>MAX(D227-F227-E227,)</f>
        <v>0</v>
      </c>
      <c r="J227" s="162">
        <f>I227*Цены!B54</f>
        <v>0</v>
      </c>
      <c r="K227" s="163"/>
    </row>
    <row r="228" spans="1:11" s="164" customFormat="1">
      <c r="B228" s="402" t="s">
        <v>1076</v>
      </c>
      <c r="C228" s="395" t="s">
        <v>1213</v>
      </c>
      <c r="D228" s="73">
        <f>C24+E24+C25+E25+(C16+C17+E16+E17)</f>
        <v>208</v>
      </c>
      <c r="E228" s="73"/>
      <c r="F228" s="282">
        <v>412</v>
      </c>
      <c r="G228" s="73"/>
      <c r="H228" s="73"/>
      <c r="I228" s="73">
        <f>MAX(D228-F228-E228,)</f>
        <v>0</v>
      </c>
      <c r="J228" s="162">
        <f>I228*Цены!B55</f>
        <v>0</v>
      </c>
      <c r="K228" s="163"/>
    </row>
    <row r="229" spans="1:11" s="164" customFormat="1">
      <c r="B229" s="402" t="s">
        <v>239</v>
      </c>
      <c r="C229" s="395"/>
      <c r="D229" s="73">
        <f>C18+C19+E18+E19</f>
        <v>5900</v>
      </c>
      <c r="E229" s="172">
        <v>0</v>
      </c>
      <c r="F229" s="282">
        <v>3600</v>
      </c>
      <c r="G229" s="73"/>
      <c r="H229" s="73"/>
      <c r="I229" s="73">
        <f t="shared" ref="I229:I290" si="22">MAX(D229-F229-E229,)</f>
        <v>2300</v>
      </c>
      <c r="J229" s="162">
        <f>I229*Цены!B56</f>
        <v>52601</v>
      </c>
      <c r="K229" s="163"/>
    </row>
    <row r="230" spans="1:11" s="164" customFormat="1">
      <c r="A230" s="164">
        <v>1718</v>
      </c>
      <c r="B230" s="419" t="s">
        <v>245</v>
      </c>
      <c r="C230" s="444" t="s">
        <v>256</v>
      </c>
      <c r="D230" s="158">
        <f>(C18+C19+E18+E19)*'ТРВ-15м-2'!I65</f>
        <v>5.9</v>
      </c>
      <c r="E230" s="177">
        <v>0</v>
      </c>
      <c r="F230" s="285">
        <v>0</v>
      </c>
      <c r="G230" s="158"/>
      <c r="H230" s="158"/>
      <c r="I230" s="73">
        <f t="shared" si="22"/>
        <v>5.9</v>
      </c>
      <c r="J230" s="162">
        <f>I230*Цены!B57</f>
        <v>2950</v>
      </c>
      <c r="K230" s="174"/>
    </row>
    <row r="231" spans="1:11" s="164" customFormat="1">
      <c r="B231" s="416" t="s">
        <v>1307</v>
      </c>
      <c r="C231" s="416" t="s">
        <v>1308</v>
      </c>
      <c r="D231" s="73">
        <f>E16*'МГП СС 1,2'!I75+E17*'МГП СС 1,6'!I75</f>
        <v>1.35</v>
      </c>
      <c r="E231" s="73"/>
      <c r="F231" s="282">
        <v>193</v>
      </c>
      <c r="G231" s="73"/>
      <c r="H231" s="73"/>
      <c r="I231" s="73">
        <f t="shared" si="22"/>
        <v>0</v>
      </c>
      <c r="J231" s="162">
        <f>I231*Цены!B58</f>
        <v>0</v>
      </c>
      <c r="K231" s="163"/>
    </row>
    <row r="232" spans="1:11" s="164" customFormat="1">
      <c r="B232" s="416" t="s">
        <v>1228</v>
      </c>
      <c r="C232" s="416" t="s">
        <v>1229</v>
      </c>
      <c r="D232" s="73">
        <f>0.25*(C16+E16+C17+E17)</f>
        <v>0.75</v>
      </c>
      <c r="E232" s="73"/>
      <c r="F232" s="282">
        <v>0</v>
      </c>
      <c r="G232" s="73"/>
      <c r="H232" s="73"/>
      <c r="I232" s="73">
        <v>0</v>
      </c>
      <c r="J232" s="162">
        <f>I232*Цены!B59</f>
        <v>0</v>
      </c>
      <c r="K232" s="163"/>
    </row>
    <row r="233" spans="1:11" s="164" customFormat="1">
      <c r="B233" s="402" t="s">
        <v>1301</v>
      </c>
      <c r="C233" s="395"/>
      <c r="D233" s="73">
        <f>C16+C17+E16+E17</f>
        <v>3</v>
      </c>
      <c r="E233" s="73"/>
      <c r="F233" s="282">
        <v>0</v>
      </c>
      <c r="G233" s="73"/>
      <c r="H233" s="73"/>
      <c r="I233" s="73">
        <f t="shared" si="22"/>
        <v>3</v>
      </c>
      <c r="J233" s="162">
        <f>I233*Цены!B60</f>
        <v>15</v>
      </c>
      <c r="K233" s="163"/>
    </row>
    <row r="234" spans="1:11" s="164" customFormat="1">
      <c r="B234" s="416" t="s">
        <v>1226</v>
      </c>
      <c r="C234" s="398" t="s">
        <v>1227</v>
      </c>
      <c r="D234" s="73">
        <f>C24+E24+C25+E25</f>
        <v>205</v>
      </c>
      <c r="E234" s="73"/>
      <c r="F234" s="282">
        <v>28</v>
      </c>
      <c r="G234" s="73"/>
      <c r="H234" s="73"/>
      <c r="I234" s="73">
        <f t="shared" si="22"/>
        <v>177</v>
      </c>
      <c r="J234" s="162">
        <f>I234*Цены!B61</f>
        <v>39294</v>
      </c>
      <c r="K234" s="163"/>
    </row>
    <row r="235" spans="1:11" s="164" customFormat="1">
      <c r="B235" s="591" t="s">
        <v>1211</v>
      </c>
      <c r="C235" s="591"/>
      <c r="D235" s="73">
        <f>C24+E24+C25+E25+C16+C17+E16+E17</f>
        <v>208</v>
      </c>
      <c r="E235" s="73"/>
      <c r="F235" s="282">
        <v>71</v>
      </c>
      <c r="G235" s="73"/>
      <c r="H235" s="73"/>
      <c r="I235" s="73">
        <f t="shared" si="22"/>
        <v>137</v>
      </c>
      <c r="J235" s="162">
        <f>I235*Цены!B62</f>
        <v>75628.931999999986</v>
      </c>
      <c r="K235" s="163"/>
    </row>
    <row r="236" spans="1:11" s="164" customFormat="1" ht="26.25">
      <c r="A236" s="164">
        <v>3473</v>
      </c>
      <c r="B236" s="416" t="s">
        <v>1752</v>
      </c>
      <c r="C236" s="416"/>
      <c r="D236" s="73">
        <v>400</v>
      </c>
      <c r="E236" s="73"/>
      <c r="F236" s="282">
        <v>645</v>
      </c>
      <c r="G236" s="73"/>
      <c r="H236" s="73"/>
      <c r="I236" s="73">
        <f t="shared" si="22"/>
        <v>0</v>
      </c>
      <c r="J236" s="162">
        <f>I236*3500</f>
        <v>0</v>
      </c>
      <c r="K236" s="163"/>
    </row>
    <row r="237" spans="1:11" s="164" customFormat="1" ht="21" customHeight="1">
      <c r="A237" s="164">
        <v>3806</v>
      </c>
      <c r="B237" s="398" t="s">
        <v>1238</v>
      </c>
      <c r="C237" s="398" t="s">
        <v>1449</v>
      </c>
      <c r="D237" s="387">
        <f>C24+E24+C25+E25</f>
        <v>205</v>
      </c>
      <c r="E237" s="73"/>
      <c r="F237" s="388">
        <v>120</v>
      </c>
      <c r="G237" s="73"/>
      <c r="H237" s="73"/>
      <c r="I237" s="73">
        <f t="shared" si="22"/>
        <v>85</v>
      </c>
      <c r="J237" s="162">
        <f>I237*Цены!B63</f>
        <v>510</v>
      </c>
      <c r="K237" s="163"/>
    </row>
    <row r="238" spans="1:11" s="164" customFormat="1" ht="21" customHeight="1">
      <c r="B238" s="398" t="s">
        <v>1238</v>
      </c>
      <c r="C238" s="398" t="s">
        <v>1450</v>
      </c>
      <c r="D238" s="387">
        <f>2*(C16+C17+E16+E17)</f>
        <v>6</v>
      </c>
      <c r="E238" s="73"/>
      <c r="F238" s="388">
        <v>0</v>
      </c>
      <c r="G238" s="73"/>
      <c r="H238" s="73"/>
      <c r="I238" s="73">
        <f t="shared" si="22"/>
        <v>6</v>
      </c>
      <c r="J238" s="162">
        <f>I238*Цены!B64</f>
        <v>30</v>
      </c>
      <c r="K238" s="163"/>
    </row>
    <row r="239" spans="1:11" s="164" customFormat="1" ht="21" customHeight="1">
      <c r="B239" s="398" t="s">
        <v>1751</v>
      </c>
      <c r="C239" s="398"/>
      <c r="D239" s="387">
        <v>5000</v>
      </c>
      <c r="E239" s="73"/>
      <c r="F239" s="388">
        <v>2700</v>
      </c>
      <c r="G239" s="73"/>
      <c r="H239" s="73"/>
      <c r="I239" s="73">
        <f t="shared" si="22"/>
        <v>2300</v>
      </c>
      <c r="J239" s="162">
        <f>I239*13.6</f>
        <v>31280</v>
      </c>
      <c r="K239" s="163"/>
    </row>
    <row r="240" spans="1:11" s="164" customFormat="1">
      <c r="B240" s="398" t="s">
        <v>1676</v>
      </c>
      <c r="C240" s="395"/>
      <c r="D240" s="73">
        <f>2*E19</f>
        <v>300</v>
      </c>
      <c r="E240" s="172">
        <v>0</v>
      </c>
      <c r="F240" s="282">
        <v>0</v>
      </c>
      <c r="G240" s="73"/>
      <c r="H240" s="73"/>
      <c r="I240" s="73">
        <f t="shared" si="22"/>
        <v>300</v>
      </c>
      <c r="J240" s="162">
        <f>I240*Цены!B65</f>
        <v>1830</v>
      </c>
      <c r="K240" s="163"/>
    </row>
    <row r="241" spans="1:12" s="164" customFormat="1">
      <c r="B241" s="398" t="s">
        <v>1677</v>
      </c>
      <c r="C241" s="395"/>
      <c r="D241" s="73">
        <f>2*C18</f>
        <v>1400</v>
      </c>
      <c r="E241" s="172"/>
      <c r="F241" s="282">
        <v>0</v>
      </c>
      <c r="G241" s="73"/>
      <c r="H241" s="73"/>
      <c r="I241" s="73">
        <v>0</v>
      </c>
      <c r="J241" s="162">
        <f>I241*Цены!B66</f>
        <v>0</v>
      </c>
      <c r="K241" s="163"/>
    </row>
    <row r="242" spans="1:12" s="164" customFormat="1">
      <c r="B242" s="398" t="s">
        <v>1678</v>
      </c>
      <c r="C242" s="395"/>
      <c r="D242" s="73">
        <f>E18+2*E19</f>
        <v>4800</v>
      </c>
      <c r="E242" s="172"/>
      <c r="F242" s="282">
        <v>30</v>
      </c>
      <c r="G242" s="73"/>
      <c r="H242" s="73"/>
      <c r="I242" s="73">
        <v>0</v>
      </c>
      <c r="J242" s="162">
        <f>I242*Цены!B67</f>
        <v>0</v>
      </c>
      <c r="K242" s="163"/>
    </row>
    <row r="243" spans="1:12" s="164" customFormat="1">
      <c r="B243" s="398" t="s">
        <v>1679</v>
      </c>
      <c r="C243" s="395"/>
      <c r="D243" s="73">
        <f>2*C19+E18</f>
        <v>5600</v>
      </c>
      <c r="E243" s="172"/>
      <c r="F243" s="282">
        <v>0</v>
      </c>
      <c r="G243" s="73"/>
      <c r="H243" s="73"/>
      <c r="I243" s="73">
        <v>0</v>
      </c>
      <c r="J243" s="162">
        <f>I243*Цены!B68</f>
        <v>0</v>
      </c>
      <c r="K243" s="163"/>
    </row>
    <row r="244" spans="1:12" s="164" customFormat="1">
      <c r="B244" s="416" t="s">
        <v>1373</v>
      </c>
      <c r="C244" s="398" t="s">
        <v>1671</v>
      </c>
      <c r="D244" s="73">
        <f>0.7*C16+1.1*C17+1.6*E16+2*E17</f>
        <v>6</v>
      </c>
      <c r="E244" s="73"/>
      <c r="F244" s="282">
        <v>0</v>
      </c>
      <c r="G244" s="73"/>
      <c r="H244" s="73"/>
      <c r="I244" s="73">
        <f t="shared" si="22"/>
        <v>6</v>
      </c>
      <c r="J244" s="162">
        <f>I244*Цены!B69</f>
        <v>53.400000000000006</v>
      </c>
      <c r="K244" s="163" t="s">
        <v>1657</v>
      </c>
    </row>
    <row r="245" spans="1:12" s="164" customFormat="1">
      <c r="B245" s="416" t="s">
        <v>1373</v>
      </c>
      <c r="C245" s="398" t="s">
        <v>1376</v>
      </c>
      <c r="D245" s="73">
        <f>'МГП СС 0,4'!I71*C16+'МГП СС 0,8'!I73*C17+'МГП СС 1,2'!I74*E16+'МГП СС 1,6'!I74*E17</f>
        <v>2.25</v>
      </c>
      <c r="E245" s="73"/>
      <c r="F245" s="282">
        <v>0</v>
      </c>
      <c r="G245" s="73"/>
      <c r="H245" s="73"/>
      <c r="I245" s="73">
        <f t="shared" si="22"/>
        <v>2.25</v>
      </c>
      <c r="J245" s="162">
        <f>I245*Цены!B70</f>
        <v>19.8</v>
      </c>
      <c r="K245" s="163" t="s">
        <v>1657</v>
      </c>
    </row>
    <row r="246" spans="1:12" s="164" customFormat="1">
      <c r="B246" s="416" t="s">
        <v>1374</v>
      </c>
      <c r="C246" s="398" t="s">
        <v>1375</v>
      </c>
      <c r="D246" s="73">
        <f>0.2*C16+0.35*C17+0.55*E16+0.75*E17</f>
        <v>2.25</v>
      </c>
      <c r="E246" s="73"/>
      <c r="F246" s="282">
        <v>93.8</v>
      </c>
      <c r="G246" s="73"/>
      <c r="H246" s="73"/>
      <c r="I246" s="73">
        <f t="shared" si="22"/>
        <v>0</v>
      </c>
      <c r="J246" s="162">
        <f>I246*Цены!B71</f>
        <v>0</v>
      </c>
      <c r="K246" s="163" t="s">
        <v>1657</v>
      </c>
    </row>
    <row r="247" spans="1:12" s="164" customFormat="1">
      <c r="B247" s="416" t="s">
        <v>1236</v>
      </c>
      <c r="C247" s="398" t="s">
        <v>1237</v>
      </c>
      <c r="D247" s="73">
        <f>(C24+E24+C25+E25)*'МГП ЦОД 10'!I75</f>
        <v>92.25</v>
      </c>
      <c r="E247" s="73"/>
      <c r="F247" s="282">
        <v>100</v>
      </c>
      <c r="G247" s="73"/>
      <c r="H247" s="73"/>
      <c r="I247" s="73">
        <f t="shared" si="22"/>
        <v>0</v>
      </c>
      <c r="J247" s="162">
        <f>I247*Цены!B72</f>
        <v>0</v>
      </c>
      <c r="K247" s="163" t="s">
        <v>1657</v>
      </c>
    </row>
    <row r="248" spans="1:12" s="164" customFormat="1">
      <c r="B248" s="402" t="s">
        <v>1299</v>
      </c>
      <c r="C248" s="395" t="s">
        <v>1300</v>
      </c>
      <c r="D248" s="73">
        <f>6*(C16+C17+E16+E17)</f>
        <v>18</v>
      </c>
      <c r="E248" s="73"/>
      <c r="F248" s="282">
        <v>0</v>
      </c>
      <c r="G248" s="73"/>
      <c r="H248" s="73"/>
      <c r="I248" s="73">
        <f t="shared" si="22"/>
        <v>18</v>
      </c>
      <c r="J248" s="162">
        <f>I248*Цены!B73</f>
        <v>270</v>
      </c>
      <c r="K248" s="163"/>
    </row>
    <row r="249" spans="1:12" s="164" customFormat="1">
      <c r="B249" s="402" t="s">
        <v>1371</v>
      </c>
      <c r="C249" s="395" t="s">
        <v>1372</v>
      </c>
      <c r="D249" s="73">
        <f>2*(C16+C17+E16+E17)</f>
        <v>6</v>
      </c>
      <c r="E249" s="73"/>
      <c r="F249" s="282">
        <v>0</v>
      </c>
      <c r="G249" s="73"/>
      <c r="H249" s="73"/>
      <c r="I249" s="73">
        <f t="shared" si="22"/>
        <v>6</v>
      </c>
      <c r="J249" s="162">
        <f>I249*Цены!B74</f>
        <v>62.400000000000006</v>
      </c>
      <c r="K249" s="163"/>
    </row>
    <row r="250" spans="1:12" s="164" customFormat="1">
      <c r="B250" s="402" t="s">
        <v>237</v>
      </c>
      <c r="C250" s="395" t="s">
        <v>1448</v>
      </c>
      <c r="D250" s="73">
        <f>(C18+C19+E18+E19)/2</f>
        <v>2950</v>
      </c>
      <c r="E250" s="172">
        <v>0</v>
      </c>
      <c r="F250" s="282">
        <v>5750</v>
      </c>
      <c r="G250" s="73"/>
      <c r="H250" s="73"/>
      <c r="I250" s="73">
        <f t="shared" si="22"/>
        <v>0</v>
      </c>
      <c r="J250" s="162">
        <f>I250*Цены!B75/500</f>
        <v>0</v>
      </c>
      <c r="K250" s="163"/>
    </row>
    <row r="251" spans="1:12" s="164" customFormat="1" ht="26.25">
      <c r="B251" s="416" t="s">
        <v>1377</v>
      </c>
      <c r="C251" s="398" t="s">
        <v>1659</v>
      </c>
      <c r="D251" s="387">
        <f>0.05*(C16+C17+E16+E17)</f>
        <v>0.15000000000000002</v>
      </c>
      <c r="E251" s="387"/>
      <c r="F251" s="388">
        <v>0</v>
      </c>
      <c r="G251" s="73"/>
      <c r="H251" s="73"/>
      <c r="I251" s="73">
        <v>10</v>
      </c>
      <c r="J251" s="162">
        <f>I251*Цены!B76</f>
        <v>750.19999999999993</v>
      </c>
      <c r="K251" s="163" t="s">
        <v>1657</v>
      </c>
      <c r="L251" s="164" t="s">
        <v>44</v>
      </c>
    </row>
    <row r="252" spans="1:12" s="164" customFormat="1" ht="13.5" customHeight="1">
      <c r="A252" s="164">
        <v>1647</v>
      </c>
      <c r="B252" s="420" t="s">
        <v>1087</v>
      </c>
      <c r="C252" s="434" t="s">
        <v>1218</v>
      </c>
      <c r="D252" s="73">
        <f>5*(C24+E24+C25+E25)+2*(C16+C17+E16+E17)</f>
        <v>1031</v>
      </c>
      <c r="E252" s="73"/>
      <c r="F252" s="282">
        <v>1200</v>
      </c>
      <c r="G252" s="73"/>
      <c r="H252" s="73"/>
      <c r="I252" s="73">
        <f t="shared" si="22"/>
        <v>0</v>
      </c>
      <c r="J252" s="162">
        <f>I252*Цены!B77</f>
        <v>0</v>
      </c>
      <c r="K252" s="163"/>
    </row>
    <row r="253" spans="1:12" s="164" customFormat="1" ht="26.25">
      <c r="A253" s="164">
        <v>1444</v>
      </c>
      <c r="B253" s="402" t="s">
        <v>1091</v>
      </c>
      <c r="C253" s="445" t="s">
        <v>1092</v>
      </c>
      <c r="D253" s="73">
        <f>C24+C25+E24+E25+C16+C17+E16+E17</f>
        <v>208</v>
      </c>
      <c r="E253" s="73"/>
      <c r="F253" s="282">
        <v>288</v>
      </c>
      <c r="G253" s="73"/>
      <c r="H253" s="73"/>
      <c r="I253" s="73">
        <f t="shared" si="22"/>
        <v>0</v>
      </c>
      <c r="J253" s="162">
        <f>I253*Цены!B78</f>
        <v>0</v>
      </c>
      <c r="K253" s="163"/>
    </row>
    <row r="254" spans="1:12" s="164" customFormat="1" ht="13.5" customHeight="1">
      <c r="A254" s="164">
        <v>4780</v>
      </c>
      <c r="B254" s="416" t="s">
        <v>1234</v>
      </c>
      <c r="C254" s="398" t="s">
        <v>1235</v>
      </c>
      <c r="D254" s="73">
        <f>2*(C24+E24+C25+E25)+C16*'МГП СС 0,4'!I73+C17*'МГП СС 0,8'!I75+E16*'МГП СС 1,2'!I77+E17*'МГП СС 1,6'!I77</f>
        <v>428</v>
      </c>
      <c r="E254" s="73"/>
      <c r="F254" s="282">
        <v>38</v>
      </c>
      <c r="G254" s="73"/>
      <c r="H254" s="73"/>
      <c r="I254" s="73">
        <f t="shared" si="22"/>
        <v>390</v>
      </c>
      <c r="J254" s="162">
        <f>I254*Цены!B79</f>
        <v>0</v>
      </c>
      <c r="K254" s="163"/>
    </row>
    <row r="255" spans="1:12" s="164" customFormat="1">
      <c r="B255" s="402" t="s">
        <v>236</v>
      </c>
      <c r="C255" s="395"/>
      <c r="D255" s="73">
        <f>C13+C14+E13+C15+C16+C17+E16+E17+E14+C18+C19+E18+E19+C24+C25+E24+E25+C16+C17+E16+E17</f>
        <v>7811</v>
      </c>
      <c r="E255" s="172">
        <v>0</v>
      </c>
      <c r="F255" s="282">
        <v>32000</v>
      </c>
      <c r="G255" s="73"/>
      <c r="H255" s="73"/>
      <c r="I255" s="73">
        <f t="shared" si="22"/>
        <v>0</v>
      </c>
      <c r="J255" s="162">
        <f>I255*Цены!B80</f>
        <v>0</v>
      </c>
      <c r="K255" s="163"/>
    </row>
    <row r="256" spans="1:12" s="164" customFormat="1">
      <c r="B256" s="401" t="s">
        <v>1451</v>
      </c>
      <c r="C256" s="395"/>
      <c r="D256" s="73">
        <f>C13*2</f>
        <v>400</v>
      </c>
      <c r="E256" s="172">
        <v>0</v>
      </c>
      <c r="F256" s="282">
        <v>0</v>
      </c>
      <c r="G256" s="73"/>
      <c r="H256" s="73"/>
      <c r="I256" s="73">
        <f t="shared" si="22"/>
        <v>400</v>
      </c>
      <c r="J256" s="570">
        <f>I256*Цены!B81</f>
        <v>80000</v>
      </c>
      <c r="K256" s="163"/>
    </row>
    <row r="257" spans="1:11" ht="25.5">
      <c r="B257" s="418" t="s">
        <v>1219</v>
      </c>
      <c r="C257" s="418" t="s">
        <v>1220</v>
      </c>
      <c r="D257" s="504">
        <f>C24+E24</f>
        <v>85</v>
      </c>
      <c r="E257" s="323"/>
      <c r="F257" s="472">
        <v>378</v>
      </c>
      <c r="G257" s="323"/>
      <c r="H257" s="323"/>
      <c r="I257" s="73">
        <f t="shared" si="22"/>
        <v>0</v>
      </c>
      <c r="J257" s="162">
        <f>I257*Цены!B82</f>
        <v>0</v>
      </c>
      <c r="K257" s="380"/>
    </row>
    <row r="258" spans="1:11" ht="25.5">
      <c r="B258" s="418" t="s">
        <v>1221</v>
      </c>
      <c r="C258" s="418" t="s">
        <v>1222</v>
      </c>
      <c r="D258" s="504">
        <f>C25+E25</f>
        <v>120</v>
      </c>
      <c r="E258" s="323"/>
      <c r="F258" s="472">
        <v>916</v>
      </c>
      <c r="G258" s="323"/>
      <c r="H258" s="323"/>
      <c r="I258" s="73">
        <f t="shared" si="22"/>
        <v>0</v>
      </c>
      <c r="J258" s="162">
        <f>I258*Цены!B83</f>
        <v>0</v>
      </c>
      <c r="K258" s="380"/>
    </row>
    <row r="259" spans="1:11">
      <c r="B259" s="418" t="s">
        <v>1406</v>
      </c>
      <c r="C259" s="418" t="s">
        <v>1410</v>
      </c>
      <c r="D259" s="504">
        <f>C16+C17+E16+E17</f>
        <v>3</v>
      </c>
      <c r="E259" s="323"/>
      <c r="F259" s="472">
        <v>3</v>
      </c>
      <c r="G259" s="323"/>
      <c r="H259" s="323"/>
      <c r="I259" s="73">
        <f t="shared" si="22"/>
        <v>0</v>
      </c>
      <c r="J259" s="162">
        <f>I259*Цены!B84</f>
        <v>0</v>
      </c>
      <c r="K259" s="380"/>
    </row>
    <row r="260" spans="1:11">
      <c r="B260" s="418" t="s">
        <v>1407</v>
      </c>
      <c r="C260" s="418" t="s">
        <v>1411</v>
      </c>
      <c r="D260" s="504">
        <f>E17</f>
        <v>3</v>
      </c>
      <c r="E260" s="323"/>
      <c r="F260" s="472">
        <v>0</v>
      </c>
      <c r="G260" s="323"/>
      <c r="H260" s="323"/>
      <c r="I260" s="73">
        <f t="shared" si="22"/>
        <v>3</v>
      </c>
      <c r="J260" s="162">
        <f>I260*Цены!B85</f>
        <v>0</v>
      </c>
      <c r="K260" s="380"/>
    </row>
    <row r="261" spans="1:11">
      <c r="B261" s="418" t="s">
        <v>1408</v>
      </c>
      <c r="C261" s="418" t="s">
        <v>1413</v>
      </c>
      <c r="D261" s="504">
        <f>D260</f>
        <v>3</v>
      </c>
      <c r="E261" s="323"/>
      <c r="F261" s="472">
        <v>0</v>
      </c>
      <c r="G261" s="323"/>
      <c r="H261" s="323"/>
      <c r="I261" s="73">
        <f t="shared" si="22"/>
        <v>3</v>
      </c>
      <c r="J261" s="162">
        <f>I261*Цены!B86</f>
        <v>0</v>
      </c>
      <c r="K261" s="380"/>
    </row>
    <row r="262" spans="1:11">
      <c r="B262" s="418" t="s">
        <v>1409</v>
      </c>
      <c r="C262" s="418" t="s">
        <v>1412</v>
      </c>
      <c r="D262" s="504">
        <f>D260</f>
        <v>3</v>
      </c>
      <c r="E262" s="323"/>
      <c r="F262" s="472">
        <v>0</v>
      </c>
      <c r="G262" s="323"/>
      <c r="H262" s="323"/>
      <c r="I262" s="73">
        <f t="shared" si="22"/>
        <v>3</v>
      </c>
      <c r="J262" s="162">
        <f>I262*Цены!B87</f>
        <v>0</v>
      </c>
      <c r="K262" s="380"/>
    </row>
    <row r="263" spans="1:11" s="164" customFormat="1">
      <c r="A263" s="164">
        <v>3488</v>
      </c>
      <c r="B263" s="402" t="s">
        <v>1232</v>
      </c>
      <c r="C263" s="395" t="s">
        <v>762</v>
      </c>
      <c r="D263" s="73">
        <f>2*(C24+E24+C25+E25)</f>
        <v>410</v>
      </c>
      <c r="E263" s="73"/>
      <c r="F263" s="471">
        <v>1000</v>
      </c>
      <c r="G263" s="73"/>
      <c r="H263" s="73"/>
      <c r="I263" s="73">
        <f t="shared" si="22"/>
        <v>0</v>
      </c>
      <c r="J263" s="162">
        <f>I263*Цены!B88</f>
        <v>0</v>
      </c>
      <c r="K263" s="163"/>
    </row>
    <row r="264" spans="1:11" s="164" customFormat="1">
      <c r="A264" s="164">
        <v>3853</v>
      </c>
      <c r="B264" s="402" t="s">
        <v>1207</v>
      </c>
      <c r="C264" s="395" t="s">
        <v>762</v>
      </c>
      <c r="D264" s="73">
        <f>5*(C24+E24+C25+E25)+(C16+C17+E16+E17)</f>
        <v>1028</v>
      </c>
      <c r="E264" s="73"/>
      <c r="F264" s="471">
        <v>600</v>
      </c>
      <c r="G264" s="73"/>
      <c r="H264" s="73"/>
      <c r="I264" s="73">
        <f t="shared" si="22"/>
        <v>428</v>
      </c>
      <c r="J264" s="162">
        <f>I264*Цены!B89</f>
        <v>2383.96</v>
      </c>
      <c r="K264" s="163"/>
    </row>
    <row r="265" spans="1:11" s="164" customFormat="1">
      <c r="A265" s="164">
        <v>1767</v>
      </c>
      <c r="B265" s="402" t="s">
        <v>1402</v>
      </c>
      <c r="C265" s="395" t="s">
        <v>1403</v>
      </c>
      <c r="D265" s="73">
        <f>(E21+E22)*2+E23*2</f>
        <v>8000</v>
      </c>
      <c r="E265" s="177">
        <v>0</v>
      </c>
      <c r="F265" s="282">
        <v>2022</v>
      </c>
      <c r="G265" s="73"/>
      <c r="H265" s="73"/>
      <c r="I265" s="73">
        <f t="shared" si="22"/>
        <v>5978</v>
      </c>
      <c r="J265" s="162">
        <f>I265*Цены!B90</f>
        <v>16559.060000000001</v>
      </c>
      <c r="K265" s="163"/>
    </row>
    <row r="266" spans="1:11" s="164" customFormat="1">
      <c r="A266" s="164">
        <v>2671</v>
      </c>
      <c r="B266" s="402" t="s">
        <v>764</v>
      </c>
      <c r="C266" s="395" t="s">
        <v>762</v>
      </c>
      <c r="D266" s="73">
        <f>E22*2</f>
        <v>6000</v>
      </c>
      <c r="E266" s="172"/>
      <c r="F266" s="282">
        <v>1000</v>
      </c>
      <c r="G266" s="73"/>
      <c r="H266" s="73"/>
      <c r="I266" s="73">
        <f t="shared" si="22"/>
        <v>5000</v>
      </c>
      <c r="J266" s="162">
        <f>I266*Цены!B91</f>
        <v>72500</v>
      </c>
      <c r="K266" s="163"/>
    </row>
    <row r="267" spans="1:11" s="164" customFormat="1">
      <c r="A267" s="164">
        <v>2414</v>
      </c>
      <c r="B267" s="402" t="s">
        <v>1367</v>
      </c>
      <c r="C267" s="395" t="s">
        <v>1143</v>
      </c>
      <c r="D267" s="73">
        <f>10*(C16+C17+E16+E17)</f>
        <v>30</v>
      </c>
      <c r="E267" s="73"/>
      <c r="F267" s="282">
        <v>97</v>
      </c>
      <c r="G267" s="73"/>
      <c r="H267" s="73"/>
      <c r="I267" s="73">
        <f t="shared" si="22"/>
        <v>0</v>
      </c>
      <c r="J267" s="162">
        <f>I267*Цены!B92</f>
        <v>0</v>
      </c>
      <c r="K267" s="163"/>
    </row>
    <row r="268" spans="1:11" s="164" customFormat="1">
      <c r="A268" s="164">
        <v>3491</v>
      </c>
      <c r="B268" s="402" t="s">
        <v>1368</v>
      </c>
      <c r="C268" s="395" t="s">
        <v>1143</v>
      </c>
      <c r="D268" s="73">
        <f>2*(C16+C17+E16+E17)</f>
        <v>6</v>
      </c>
      <c r="E268" s="73"/>
      <c r="F268" s="282">
        <v>21</v>
      </c>
      <c r="G268" s="73"/>
      <c r="H268" s="73"/>
      <c r="I268" s="73">
        <f t="shared" si="22"/>
        <v>0</v>
      </c>
      <c r="J268" s="162">
        <f>I268*Цены!B93</f>
        <v>0</v>
      </c>
      <c r="K268" s="163"/>
    </row>
    <row r="269" spans="1:11" s="164" customFormat="1">
      <c r="B269" s="402" t="s">
        <v>1369</v>
      </c>
      <c r="C269" s="395" t="s">
        <v>1143</v>
      </c>
      <c r="D269" s="73">
        <f>2*(C16+C17+E16+E17)</f>
        <v>6</v>
      </c>
      <c r="E269" s="73"/>
      <c r="F269" s="282">
        <v>0</v>
      </c>
      <c r="G269" s="73"/>
      <c r="H269" s="73"/>
      <c r="I269" s="73">
        <f t="shared" si="22"/>
        <v>6</v>
      </c>
      <c r="J269" s="162">
        <f>I269*Цены!B94</f>
        <v>1.2000000000000002</v>
      </c>
      <c r="K269" s="163"/>
    </row>
    <row r="270" spans="1:11" s="164" customFormat="1">
      <c r="B270" s="402" t="s">
        <v>1378</v>
      </c>
      <c r="C270" s="395" t="s">
        <v>1312</v>
      </c>
      <c r="D270" s="73">
        <f>C16+C17+E16+E17</f>
        <v>3</v>
      </c>
      <c r="E270" s="73"/>
      <c r="F270" s="282">
        <v>0</v>
      </c>
      <c r="G270" s="73"/>
      <c r="H270" s="73"/>
      <c r="I270" s="73">
        <f t="shared" si="22"/>
        <v>3</v>
      </c>
      <c r="J270" s="162">
        <f>I270*Цены!B95</f>
        <v>2.7</v>
      </c>
      <c r="K270" s="163"/>
    </row>
    <row r="271" spans="1:11" s="164" customFormat="1">
      <c r="B271" s="402" t="s">
        <v>1370</v>
      </c>
      <c r="C271" s="395" t="s">
        <v>1143</v>
      </c>
      <c r="D271" s="73">
        <f>8*C16+8*C17+10*E16+12*E17</f>
        <v>36</v>
      </c>
      <c r="E271" s="73"/>
      <c r="F271" s="282">
        <v>0</v>
      </c>
      <c r="G271" s="73"/>
      <c r="H271" s="73"/>
      <c r="I271" s="73">
        <f t="shared" si="22"/>
        <v>36</v>
      </c>
      <c r="J271" s="162">
        <f>I271*Цены!B96</f>
        <v>11.16</v>
      </c>
      <c r="K271" s="163"/>
    </row>
    <row r="272" spans="1:11" s="164" customFormat="1">
      <c r="A272" s="164">
        <v>3493</v>
      </c>
      <c r="B272" s="402" t="s">
        <v>1230</v>
      </c>
      <c r="C272" s="395" t="s">
        <v>1231</v>
      </c>
      <c r="D272" s="73">
        <f>2*(C24+E24+C25+E25)</f>
        <v>410</v>
      </c>
      <c r="E272" s="73"/>
      <c r="F272" s="282">
        <v>1000</v>
      </c>
      <c r="G272" s="73"/>
      <c r="H272" s="73"/>
      <c r="I272" s="73">
        <f t="shared" si="22"/>
        <v>0</v>
      </c>
      <c r="J272" s="162">
        <f>I272*Цены!B97</f>
        <v>0</v>
      </c>
      <c r="K272" s="163"/>
    </row>
    <row r="273" spans="1:11" s="164" customFormat="1">
      <c r="B273" s="402" t="s">
        <v>1365</v>
      </c>
      <c r="C273" s="395" t="s">
        <v>1209</v>
      </c>
      <c r="D273" s="73">
        <f>C16+C17+E16+E17</f>
        <v>3</v>
      </c>
      <c r="E273" s="73"/>
      <c r="F273" s="282">
        <v>0</v>
      </c>
      <c r="G273" s="73"/>
      <c r="H273" s="73"/>
      <c r="I273" s="73">
        <f t="shared" si="22"/>
        <v>3</v>
      </c>
      <c r="J273" s="162">
        <f>I273*Цены!B98</f>
        <v>2.91</v>
      </c>
      <c r="K273" s="163"/>
    </row>
    <row r="274" spans="1:11" s="164" customFormat="1">
      <c r="B274" s="402" t="s">
        <v>1208</v>
      </c>
      <c r="C274" s="395" t="s">
        <v>1209</v>
      </c>
      <c r="D274" s="73">
        <f>C24+E24+C25+E25</f>
        <v>205</v>
      </c>
      <c r="E274" s="73"/>
      <c r="F274" s="282">
        <v>0</v>
      </c>
      <c r="G274" s="73"/>
      <c r="H274" s="73"/>
      <c r="I274" s="73">
        <f t="shared" si="22"/>
        <v>205</v>
      </c>
      <c r="J274" s="162">
        <f>I274*Цены!B99</f>
        <v>401.8</v>
      </c>
      <c r="K274" s="163"/>
    </row>
    <row r="275" spans="1:11" s="164" customFormat="1">
      <c r="B275" s="402" t="s">
        <v>1292</v>
      </c>
      <c r="C275" s="395" t="s">
        <v>120</v>
      </c>
      <c r="D275" s="73">
        <f>4*(C16+C17+E16+E17)</f>
        <v>12</v>
      </c>
      <c r="E275" s="177"/>
      <c r="F275" s="282">
        <v>39</v>
      </c>
      <c r="G275" s="73"/>
      <c r="H275" s="73"/>
      <c r="I275" s="73">
        <f t="shared" si="22"/>
        <v>0</v>
      </c>
      <c r="J275" s="162">
        <f>I275*Цены!B100</f>
        <v>0</v>
      </c>
      <c r="K275" s="163"/>
    </row>
    <row r="276" spans="1:11" s="164" customFormat="1">
      <c r="A276" s="164">
        <v>3974</v>
      </c>
      <c r="B276" s="402" t="s">
        <v>1233</v>
      </c>
      <c r="C276" s="395" t="s">
        <v>120</v>
      </c>
      <c r="D276" s="73">
        <f>4*(C24+E24+C25+E25)+(C16+C17+E16+E17)</f>
        <v>823</v>
      </c>
      <c r="E276" s="177"/>
      <c r="F276" s="282">
        <v>2010</v>
      </c>
      <c r="G276" s="73"/>
      <c r="H276" s="73"/>
      <c r="I276" s="73">
        <f t="shared" si="22"/>
        <v>0</v>
      </c>
      <c r="J276" s="162">
        <f>I276*Цены!B101</f>
        <v>0</v>
      </c>
      <c r="K276" s="163"/>
    </row>
    <row r="277" spans="1:11" s="164" customFormat="1">
      <c r="A277" s="164">
        <v>1776</v>
      </c>
      <c r="B277" s="402" t="s">
        <v>119</v>
      </c>
      <c r="C277" s="395" t="s">
        <v>761</v>
      </c>
      <c r="D277" s="73">
        <f>D265+C24+E24+C25+E25</f>
        <v>8205</v>
      </c>
      <c r="E277" s="177">
        <v>0</v>
      </c>
      <c r="F277" s="282">
        <v>3700</v>
      </c>
      <c r="G277" s="73"/>
      <c r="H277" s="73"/>
      <c r="I277" s="73">
        <f t="shared" si="22"/>
        <v>4505</v>
      </c>
      <c r="J277" s="162">
        <f>I277*Цены!B102</f>
        <v>3964.4</v>
      </c>
      <c r="K277" s="163"/>
    </row>
    <row r="278" spans="1:11" s="164" customFormat="1">
      <c r="A278" s="164">
        <v>2249</v>
      </c>
      <c r="B278" s="402" t="s">
        <v>1223</v>
      </c>
      <c r="C278" s="395" t="s">
        <v>1224</v>
      </c>
      <c r="D278" s="73">
        <f>4*(C24+E24+C25+E25)</f>
        <v>820</v>
      </c>
      <c r="E278" s="177"/>
      <c r="F278" s="282">
        <v>2530</v>
      </c>
      <c r="G278" s="73"/>
      <c r="H278" s="73"/>
      <c r="I278" s="73">
        <f t="shared" si="22"/>
        <v>0</v>
      </c>
      <c r="J278" s="162">
        <f>I278*Цены!B103</f>
        <v>0</v>
      </c>
      <c r="K278" s="163"/>
    </row>
    <row r="279" spans="1:11" s="164" customFormat="1">
      <c r="A279" s="164">
        <v>2247</v>
      </c>
      <c r="B279" s="402" t="s">
        <v>767</v>
      </c>
      <c r="C279" s="395" t="s">
        <v>120</v>
      </c>
      <c r="D279" s="73">
        <f>E23*8+2*(C24+E24+C25+E25)</f>
        <v>8410</v>
      </c>
      <c r="E279" s="172"/>
      <c r="F279" s="282">
        <v>3980</v>
      </c>
      <c r="G279" s="73"/>
      <c r="H279" s="73"/>
      <c r="I279" s="73">
        <f t="shared" si="22"/>
        <v>4430</v>
      </c>
      <c r="J279" s="162">
        <f>I279*Цены!B104</f>
        <v>27155.899999999998</v>
      </c>
      <c r="K279" s="163"/>
    </row>
    <row r="280" spans="1:11" s="164" customFormat="1">
      <c r="A280" s="164">
        <v>2284</v>
      </c>
      <c r="B280" s="402" t="s">
        <v>466</v>
      </c>
      <c r="C280" s="395" t="s">
        <v>763</v>
      </c>
      <c r="D280" s="73">
        <f>E22*2+E23*4</f>
        <v>10000</v>
      </c>
      <c r="E280" s="172">
        <v>0</v>
      </c>
      <c r="F280" s="282">
        <v>1000</v>
      </c>
      <c r="G280" s="73"/>
      <c r="H280" s="73"/>
      <c r="I280" s="73">
        <f t="shared" si="22"/>
        <v>9000</v>
      </c>
      <c r="J280" s="162">
        <f>I280*Цены!B105</f>
        <v>246060</v>
      </c>
      <c r="K280" s="163"/>
    </row>
    <row r="281" spans="1:11" s="164" customFormat="1">
      <c r="B281" s="402" t="s">
        <v>1379</v>
      </c>
      <c r="C281" s="395" t="s">
        <v>1122</v>
      </c>
      <c r="D281" s="73">
        <f>C16+C17+E16+E17</f>
        <v>3</v>
      </c>
      <c r="E281" s="177"/>
      <c r="F281" s="282">
        <v>0</v>
      </c>
      <c r="G281" s="73"/>
      <c r="H281" s="73"/>
      <c r="I281" s="73">
        <f t="shared" si="22"/>
        <v>3</v>
      </c>
      <c r="J281" s="162">
        <f>I281*Цены!B106</f>
        <v>0.30000000000000004</v>
      </c>
      <c r="K281" s="163"/>
    </row>
    <row r="282" spans="1:11" s="164" customFormat="1">
      <c r="A282" s="164">
        <v>4702</v>
      </c>
      <c r="B282" s="402" t="s">
        <v>758</v>
      </c>
      <c r="C282" s="395" t="s">
        <v>759</v>
      </c>
      <c r="D282" s="73">
        <f>C13+C14+C15+E13+E14</f>
        <v>1700</v>
      </c>
      <c r="E282" s="73"/>
      <c r="F282" s="282">
        <v>4630</v>
      </c>
      <c r="G282" s="73"/>
      <c r="H282" s="73"/>
      <c r="I282" s="73">
        <f t="shared" si="22"/>
        <v>0</v>
      </c>
      <c r="J282" s="162">
        <f>I282*Цены!B107</f>
        <v>0</v>
      </c>
      <c r="K282" s="163"/>
    </row>
    <row r="283" spans="1:11" s="164" customFormat="1">
      <c r="B283" s="402" t="s">
        <v>1750</v>
      </c>
      <c r="C283" s="395" t="s">
        <v>760</v>
      </c>
      <c r="D283" s="73">
        <f>D265</f>
        <v>8000</v>
      </c>
      <c r="E283" s="177">
        <v>0</v>
      </c>
      <c r="F283" s="282">
        <v>0</v>
      </c>
      <c r="G283" s="73"/>
      <c r="H283" s="73"/>
      <c r="I283" s="73">
        <f t="shared" si="22"/>
        <v>8000</v>
      </c>
      <c r="J283" s="162">
        <f>I283*Цены!B108</f>
        <v>2800</v>
      </c>
      <c r="K283" s="163"/>
    </row>
    <row r="284" spans="1:11" s="164" customFormat="1">
      <c r="B284" s="402" t="s">
        <v>1121</v>
      </c>
      <c r="C284" s="395" t="s">
        <v>1122</v>
      </c>
      <c r="D284" s="73">
        <f>2*(C24+E24+C25+E25)</f>
        <v>410</v>
      </c>
      <c r="E284" s="73"/>
      <c r="F284" s="282">
        <v>796</v>
      </c>
      <c r="G284" s="73"/>
      <c r="H284" s="73"/>
      <c r="I284" s="73">
        <f t="shared" si="22"/>
        <v>0</v>
      </c>
      <c r="J284" s="162">
        <f>I284*Цены!B109</f>
        <v>0</v>
      </c>
      <c r="K284" s="163"/>
    </row>
    <row r="285" spans="1:11" s="164" customFormat="1">
      <c r="B285" s="402" t="s">
        <v>1429</v>
      </c>
      <c r="C285" s="395" t="s">
        <v>1210</v>
      </c>
      <c r="D285" s="73">
        <f>C24+E24+C25+E25</f>
        <v>205</v>
      </c>
      <c r="E285" s="73"/>
      <c r="F285" s="282">
        <v>0</v>
      </c>
      <c r="G285" s="73"/>
      <c r="H285" s="73"/>
      <c r="I285" s="73">
        <f t="shared" si="22"/>
        <v>205</v>
      </c>
      <c r="J285" s="162">
        <f>I285*Цены!B110</f>
        <v>379.25</v>
      </c>
      <c r="K285" s="163"/>
    </row>
    <row r="286" spans="1:11" s="164" customFormat="1">
      <c r="B286" s="402" t="s">
        <v>765</v>
      </c>
      <c r="C286" s="395" t="s">
        <v>766</v>
      </c>
      <c r="D286" s="73">
        <f>D266+E23*8</f>
        <v>14000</v>
      </c>
      <c r="E286" s="172"/>
      <c r="F286" s="282">
        <v>1000</v>
      </c>
      <c r="G286" s="73"/>
      <c r="H286" s="73"/>
      <c r="I286" s="73">
        <f t="shared" si="22"/>
        <v>13000</v>
      </c>
      <c r="J286" s="162">
        <f>I286*Цены!B111</f>
        <v>61750</v>
      </c>
      <c r="K286" s="163"/>
    </row>
    <row r="287" spans="1:11" s="164" customFormat="1">
      <c r="B287" s="588" t="s">
        <v>1642</v>
      </c>
      <c r="C287" s="398" t="s">
        <v>1388</v>
      </c>
      <c r="D287" s="73">
        <f>E17</f>
        <v>3</v>
      </c>
      <c r="E287" s="73"/>
      <c r="F287" s="282">
        <v>19</v>
      </c>
      <c r="G287" s="73"/>
      <c r="H287" s="73"/>
      <c r="I287" s="73">
        <f t="shared" si="22"/>
        <v>0</v>
      </c>
      <c r="J287" s="162">
        <f>I287*Цены!B112</f>
        <v>0</v>
      </c>
      <c r="K287" s="163"/>
    </row>
    <row r="288" spans="1:11" s="164" customFormat="1">
      <c r="B288" s="589"/>
      <c r="C288" s="398" t="s">
        <v>1389</v>
      </c>
      <c r="D288" s="73">
        <f>E16</f>
        <v>0</v>
      </c>
      <c r="E288" s="73"/>
      <c r="F288" s="282">
        <v>0</v>
      </c>
      <c r="G288" s="73"/>
      <c r="H288" s="73"/>
      <c r="I288" s="73">
        <f t="shared" si="22"/>
        <v>0</v>
      </c>
      <c r="J288" s="162">
        <f>I288*Цены!B113</f>
        <v>0</v>
      </c>
      <c r="K288" s="163"/>
    </row>
    <row r="289" spans="2:11" s="164" customFormat="1">
      <c r="B289" s="589"/>
      <c r="C289" s="398" t="s">
        <v>1390</v>
      </c>
      <c r="D289" s="73">
        <f>C17</f>
        <v>0</v>
      </c>
      <c r="E289" s="73"/>
      <c r="F289" s="282">
        <v>0</v>
      </c>
      <c r="G289" s="73"/>
      <c r="H289" s="73"/>
      <c r="I289" s="73">
        <f t="shared" si="22"/>
        <v>0</v>
      </c>
      <c r="J289" s="162">
        <f>I289*Цены!B114</f>
        <v>0</v>
      </c>
      <c r="K289" s="163"/>
    </row>
    <row r="290" spans="2:11" s="164" customFormat="1">
      <c r="B290" s="590"/>
      <c r="C290" s="398" t="s">
        <v>1391</v>
      </c>
      <c r="D290" s="73">
        <f>C16</f>
        <v>0</v>
      </c>
      <c r="E290" s="73"/>
      <c r="F290" s="282">
        <v>0</v>
      </c>
      <c r="G290" s="73"/>
      <c r="H290" s="73"/>
      <c r="I290" s="73">
        <f t="shared" si="22"/>
        <v>0</v>
      </c>
      <c r="J290" s="162">
        <f>I290*Цены!B115</f>
        <v>0</v>
      </c>
      <c r="K290" s="163"/>
    </row>
    <row r="291" spans="2:11" ht="19.5" thickBot="1">
      <c r="B291" s="417"/>
      <c r="F291" s="184"/>
      <c r="H291" s="128"/>
      <c r="I291" s="69" t="s">
        <v>16</v>
      </c>
      <c r="J291" s="500">
        <f>SUM(J225:J290)</f>
        <v>761075.11199999996</v>
      </c>
      <c r="K291" s="501"/>
    </row>
    <row r="292" spans="2:11" ht="19.5" thickBot="1">
      <c r="B292" s="583" t="s">
        <v>264</v>
      </c>
      <c r="C292" s="584"/>
      <c r="D292" s="584"/>
      <c r="E292" s="584"/>
      <c r="F292" s="584"/>
      <c r="G292" s="584"/>
      <c r="H292" s="584"/>
      <c r="I292" s="584"/>
      <c r="J292" s="584"/>
      <c r="K292" s="493"/>
    </row>
    <row r="293" spans="2:11" ht="45">
      <c r="B293" s="412" t="s">
        <v>187</v>
      </c>
      <c r="C293" s="412" t="s">
        <v>188</v>
      </c>
      <c r="D293" s="323" t="s">
        <v>182</v>
      </c>
      <c r="E293" s="323" t="s">
        <v>183</v>
      </c>
      <c r="F293" s="324" t="s">
        <v>184</v>
      </c>
      <c r="G293" s="323" t="s">
        <v>254</v>
      </c>
      <c r="H293" s="323" t="s">
        <v>253</v>
      </c>
      <c r="I293" s="318" t="s">
        <v>255</v>
      </c>
      <c r="J293" s="331" t="s">
        <v>343</v>
      </c>
      <c r="K293" s="321" t="s">
        <v>349</v>
      </c>
    </row>
    <row r="294" spans="2:11" s="164" customFormat="1">
      <c r="B294" s="327" t="s">
        <v>742</v>
      </c>
      <c r="C294" s="381" t="s">
        <v>741</v>
      </c>
      <c r="D294" s="180">
        <f>E13+C14+E14</f>
        <v>1300</v>
      </c>
      <c r="E294" s="3">
        <v>0</v>
      </c>
      <c r="F294" s="471">
        <v>0</v>
      </c>
      <c r="G294" s="73"/>
      <c r="H294" s="73"/>
      <c r="I294" s="73">
        <f>MAX(D294-F294-E294,)</f>
        <v>1300</v>
      </c>
      <c r="J294" s="162">
        <f>I294*Цены!B117</f>
        <v>179400</v>
      </c>
      <c r="K294" s="163"/>
    </row>
    <row r="295" spans="2:11" s="164" customFormat="1">
      <c r="B295" s="327" t="s">
        <v>168</v>
      </c>
      <c r="C295" s="381" t="s">
        <v>605</v>
      </c>
      <c r="D295" s="180">
        <f>C13</f>
        <v>200</v>
      </c>
      <c r="E295" s="3">
        <v>0</v>
      </c>
      <c r="F295" s="471">
        <v>513</v>
      </c>
      <c r="G295" s="73"/>
      <c r="H295" s="73"/>
      <c r="I295" s="73">
        <f t="shared" ref="I295:I309" si="23">MAX(D295-F295-E295,)</f>
        <v>0</v>
      </c>
      <c r="J295" s="162">
        <f>I295*Цены!B118</f>
        <v>0</v>
      </c>
      <c r="K295" s="163"/>
    </row>
    <row r="296" spans="2:11" s="164" customFormat="1">
      <c r="B296" s="327" t="s">
        <v>677</v>
      </c>
      <c r="C296" s="381" t="s">
        <v>1404</v>
      </c>
      <c r="D296" s="180">
        <f>C18</f>
        <v>700</v>
      </c>
      <c r="E296" s="3">
        <v>0</v>
      </c>
      <c r="F296" s="471">
        <v>900</v>
      </c>
      <c r="G296" s="73"/>
      <c r="H296" s="73"/>
      <c r="I296" s="73">
        <f t="shared" si="23"/>
        <v>0</v>
      </c>
      <c r="J296" s="162">
        <f>I296*Цены!B119</f>
        <v>0</v>
      </c>
      <c r="K296" s="163"/>
    </row>
    <row r="297" spans="2:11" s="164" customFormat="1">
      <c r="B297" s="327" t="s">
        <v>488</v>
      </c>
      <c r="C297" s="381" t="s">
        <v>1405</v>
      </c>
      <c r="D297" s="180">
        <f>((E22*0.021)+((E23*0.041)))+E18+C19+E19</f>
        <v>5304</v>
      </c>
      <c r="E297" s="3">
        <v>0</v>
      </c>
      <c r="F297" s="471">
        <v>2400</v>
      </c>
      <c r="G297" s="73"/>
      <c r="H297" s="73"/>
      <c r="I297" s="73">
        <f t="shared" si="23"/>
        <v>2904</v>
      </c>
      <c r="J297" s="162">
        <f>I297*Цены!B120</f>
        <v>641784</v>
      </c>
      <c r="K297" s="163"/>
    </row>
    <row r="298" spans="2:11" s="164" customFormat="1">
      <c r="B298" s="327" t="s">
        <v>740</v>
      </c>
      <c r="C298" s="381" t="s">
        <v>592</v>
      </c>
      <c r="D298" s="180">
        <f>C15</f>
        <v>200</v>
      </c>
      <c r="E298" s="3">
        <v>0</v>
      </c>
      <c r="F298" s="471">
        <v>0</v>
      </c>
      <c r="G298" s="73"/>
      <c r="H298" s="73"/>
      <c r="I298" s="73">
        <f t="shared" si="23"/>
        <v>200</v>
      </c>
      <c r="J298" s="162">
        <f>I298*Цены!B121</f>
        <v>29200</v>
      </c>
      <c r="K298" s="163"/>
    </row>
    <row r="299" spans="2:11" s="164" customFormat="1">
      <c r="B299" s="327" t="s">
        <v>169</v>
      </c>
      <c r="C299" s="381" t="s">
        <v>269</v>
      </c>
      <c r="D299" s="38">
        <f>E13*2+C14*2+E14*2+C13</f>
        <v>2800</v>
      </c>
      <c r="E299" s="3">
        <v>0</v>
      </c>
      <c r="F299" s="471">
        <v>6640</v>
      </c>
      <c r="G299" s="73"/>
      <c r="H299" s="73"/>
      <c r="I299" s="73">
        <f t="shared" si="23"/>
        <v>0</v>
      </c>
      <c r="J299" s="162">
        <f>I299*Цены!B122</f>
        <v>0</v>
      </c>
      <c r="K299" s="163"/>
    </row>
    <row r="300" spans="2:11" s="164" customFormat="1">
      <c r="B300" s="327" t="s">
        <v>170</v>
      </c>
      <c r="C300" s="381" t="s">
        <v>270</v>
      </c>
      <c r="D300" s="38">
        <f>(E13+C14+E14+C15+C18+C19+E18+E19)*2+(E22*0.021)+(E23*0.041)</f>
        <v>14904</v>
      </c>
      <c r="E300" s="3">
        <v>0</v>
      </c>
      <c r="F300" s="471">
        <v>820</v>
      </c>
      <c r="G300" s="73"/>
      <c r="H300" s="73"/>
      <c r="I300" s="73">
        <f t="shared" si="23"/>
        <v>14084</v>
      </c>
      <c r="J300" s="162">
        <f>I300*Цены!B123</f>
        <v>246470</v>
      </c>
      <c r="K300" s="163"/>
    </row>
    <row r="301" spans="2:11" s="164" customFormat="1" ht="26.25">
      <c r="B301" s="391" t="s">
        <v>1244</v>
      </c>
      <c r="C301" s="381" t="s">
        <v>1245</v>
      </c>
      <c r="D301" s="180">
        <f>C24+E24</f>
        <v>85</v>
      </c>
      <c r="E301" s="3"/>
      <c r="F301" s="471">
        <v>40</v>
      </c>
      <c r="G301" s="73"/>
      <c r="H301" s="73"/>
      <c r="I301" s="73">
        <f t="shared" si="23"/>
        <v>45</v>
      </c>
      <c r="J301" s="162">
        <f>I301*Цены!B124</f>
        <v>10620</v>
      </c>
      <c r="K301" s="174"/>
    </row>
    <row r="302" spans="2:11" s="164" customFormat="1" ht="26.25">
      <c r="B302" s="391" t="s">
        <v>1244</v>
      </c>
      <c r="C302" s="381" t="s">
        <v>1246</v>
      </c>
      <c r="D302" s="180">
        <f>C25+E25</f>
        <v>120</v>
      </c>
      <c r="E302" s="3"/>
      <c r="F302" s="471">
        <v>120</v>
      </c>
      <c r="G302" s="73"/>
      <c r="H302" s="73"/>
      <c r="I302" s="73">
        <f t="shared" si="23"/>
        <v>0</v>
      </c>
      <c r="J302" s="162">
        <f>I302*Цены!B125</f>
        <v>0</v>
      </c>
      <c r="K302" s="174"/>
    </row>
    <row r="303" spans="2:11" s="164" customFormat="1">
      <c r="B303" s="327" t="s">
        <v>1247</v>
      </c>
      <c r="C303" s="381" t="s">
        <v>1248</v>
      </c>
      <c r="D303" s="180">
        <f>D301*2</f>
        <v>170</v>
      </c>
      <c r="E303" s="3"/>
      <c r="F303" s="471">
        <v>0</v>
      </c>
      <c r="G303" s="73"/>
      <c r="H303" s="73"/>
      <c r="I303" s="73">
        <f t="shared" si="23"/>
        <v>170</v>
      </c>
      <c r="J303" s="162">
        <f>I303*Цены!B126</f>
        <v>4046</v>
      </c>
      <c r="K303" s="174"/>
    </row>
    <row r="304" spans="2:11" s="164" customFormat="1">
      <c r="B304" s="327" t="s">
        <v>1249</v>
      </c>
      <c r="C304" s="381" t="s">
        <v>1248</v>
      </c>
      <c r="D304" s="180">
        <f>D302*2</f>
        <v>240</v>
      </c>
      <c r="E304" s="3"/>
      <c r="F304" s="471">
        <v>0</v>
      </c>
      <c r="G304" s="73"/>
      <c r="H304" s="73"/>
      <c r="I304" s="73">
        <f t="shared" si="23"/>
        <v>240</v>
      </c>
      <c r="J304" s="162">
        <f>I304*Цены!B127</f>
        <v>7800</v>
      </c>
      <c r="K304" s="174"/>
    </row>
    <row r="305" spans="2:12" s="164" customFormat="1" ht="12.75" customHeight="1">
      <c r="B305" s="327" t="s">
        <v>1380</v>
      </c>
      <c r="C305" s="381" t="s">
        <v>1381</v>
      </c>
      <c r="D305" s="180">
        <f>E17</f>
        <v>3</v>
      </c>
      <c r="E305" s="3"/>
      <c r="F305" s="471">
        <v>17</v>
      </c>
      <c r="G305" s="73"/>
      <c r="H305" s="73"/>
      <c r="I305" s="73">
        <f t="shared" si="23"/>
        <v>0</v>
      </c>
      <c r="J305" s="162">
        <f>I305*Цены!B128</f>
        <v>0</v>
      </c>
      <c r="K305" s="174"/>
    </row>
    <row r="306" spans="2:12" s="164" customFormat="1" ht="13.5" customHeight="1">
      <c r="B306" s="327" t="s">
        <v>1383</v>
      </c>
      <c r="C306" s="381" t="s">
        <v>1382</v>
      </c>
      <c r="D306" s="180">
        <f>E16</f>
        <v>0</v>
      </c>
      <c r="E306" s="3"/>
      <c r="F306" s="471">
        <v>0</v>
      </c>
      <c r="G306" s="73"/>
      <c r="H306" s="73"/>
      <c r="I306" s="73">
        <f t="shared" si="23"/>
        <v>0</v>
      </c>
      <c r="J306" s="162">
        <f>I306*Цены!B129</f>
        <v>0</v>
      </c>
      <c r="K306" s="174"/>
    </row>
    <row r="307" spans="2:12" s="164" customFormat="1" ht="13.5" customHeight="1">
      <c r="B307" s="327" t="s">
        <v>1387</v>
      </c>
      <c r="C307" s="381" t="s">
        <v>1384</v>
      </c>
      <c r="D307" s="180">
        <f>C17</f>
        <v>0</v>
      </c>
      <c r="E307" s="3"/>
      <c r="F307" s="471">
        <v>10</v>
      </c>
      <c r="G307" s="73"/>
      <c r="H307" s="73"/>
      <c r="I307" s="73">
        <f t="shared" si="23"/>
        <v>0</v>
      </c>
      <c r="J307" s="162">
        <f>I307*Цены!B130</f>
        <v>0</v>
      </c>
      <c r="K307" s="174"/>
    </row>
    <row r="308" spans="2:12" s="164" customFormat="1" ht="13.5" customHeight="1">
      <c r="B308" s="327" t="s">
        <v>1386</v>
      </c>
      <c r="C308" s="381" t="s">
        <v>1385</v>
      </c>
      <c r="D308" s="180">
        <f>C16</f>
        <v>0</v>
      </c>
      <c r="E308" s="3"/>
      <c r="F308" s="471">
        <v>3</v>
      </c>
      <c r="G308" s="73"/>
      <c r="H308" s="73"/>
      <c r="I308" s="73">
        <f t="shared" si="23"/>
        <v>0</v>
      </c>
      <c r="J308" s="162">
        <f>I308*Цены!B131</f>
        <v>0</v>
      </c>
      <c r="K308" s="174"/>
    </row>
    <row r="309" spans="2:12" s="164" customFormat="1" ht="24.75" customHeight="1" thickBot="1">
      <c r="B309" s="327" t="s">
        <v>171</v>
      </c>
      <c r="C309" s="381" t="s">
        <v>271</v>
      </c>
      <c r="D309" s="180">
        <f>(C13+E13+C14+E14+C15+C18+C19+E18+E19)*'ТРВ-15м-2'!I57/2</f>
        <v>182.4</v>
      </c>
      <c r="E309" s="3">
        <v>0</v>
      </c>
      <c r="F309" s="471">
        <v>350</v>
      </c>
      <c r="G309" s="73"/>
      <c r="H309" s="73"/>
      <c r="I309" s="73">
        <f t="shared" si="23"/>
        <v>0</v>
      </c>
      <c r="J309" s="162">
        <f>I309*Цены!B132</f>
        <v>0</v>
      </c>
      <c r="K309" s="174"/>
    </row>
    <row r="310" spans="2:12" ht="19.5" thickBot="1">
      <c r="B310" s="325"/>
      <c r="C310" s="446"/>
      <c r="D310" s="62"/>
      <c r="E310" s="63"/>
      <c r="F310" s="283"/>
      <c r="G310" s="58"/>
      <c r="H310" s="59"/>
      <c r="I310" s="69" t="s">
        <v>16</v>
      </c>
      <c r="J310" s="498">
        <f>SUM(J294:J309)</f>
        <v>1119320</v>
      </c>
      <c r="K310" s="499"/>
    </row>
    <row r="311" spans="2:12" ht="19.5" thickBot="1">
      <c r="B311" s="583" t="s">
        <v>272</v>
      </c>
      <c r="C311" s="584"/>
      <c r="D311" s="584"/>
      <c r="E311" s="584"/>
      <c r="F311" s="584"/>
      <c r="G311" s="584"/>
      <c r="H311" s="584"/>
      <c r="I311" s="584"/>
      <c r="J311" s="584"/>
      <c r="K311" s="493"/>
    </row>
    <row r="312" spans="2:12" s="164" customFormat="1" ht="45">
      <c r="B312" s="421" t="s">
        <v>187</v>
      </c>
      <c r="C312" s="421" t="s">
        <v>188</v>
      </c>
      <c r="D312" s="322" t="s">
        <v>182</v>
      </c>
      <c r="E312" s="322" t="s">
        <v>183</v>
      </c>
      <c r="F312" s="324" t="s">
        <v>184</v>
      </c>
      <c r="G312" s="322" t="s">
        <v>254</v>
      </c>
      <c r="H312" s="322" t="s">
        <v>253</v>
      </c>
      <c r="I312" s="328" t="s">
        <v>255</v>
      </c>
      <c r="J312" s="332" t="s">
        <v>343</v>
      </c>
      <c r="K312" s="330" t="s">
        <v>349</v>
      </c>
    </row>
    <row r="313" spans="2:12" s="164" customFormat="1">
      <c r="B313" s="367" t="s">
        <v>172</v>
      </c>
      <c r="C313" s="381" t="s">
        <v>273</v>
      </c>
      <c r="D313" s="248">
        <f>(E13+C14+E14+C15+E16+C16+C17+E17)*'ТРВ-15м-2'!I71+C13*'12М'!J52/66</f>
        <v>231.53490909090908</v>
      </c>
      <c r="E313" s="491">
        <v>0</v>
      </c>
      <c r="F313" s="282">
        <v>108</v>
      </c>
      <c r="G313" s="73"/>
      <c r="H313" s="73"/>
      <c r="I313" s="231">
        <f t="shared" ref="I313:I321" si="24">MAX(D313-F313-E313,)</f>
        <v>123.53490909090908</v>
      </c>
      <c r="J313" s="162">
        <f>I313*Цены!B134</f>
        <v>7696.2248363636354</v>
      </c>
      <c r="K313" s="163"/>
    </row>
    <row r="314" spans="2:12" s="164" customFormat="1">
      <c r="B314" s="367" t="s">
        <v>173</v>
      </c>
      <c r="C314" s="381"/>
      <c r="D314" s="180">
        <f>(C13/3+E13+C14+C15+E16+C16+C17+E17+C18+C19+E18+E19+C24+C25+E24+E25)*'ТРВ-15м-2'!I70</f>
        <v>74.746666666666655</v>
      </c>
      <c r="E314" s="491">
        <v>0</v>
      </c>
      <c r="F314" s="282">
        <v>48</v>
      </c>
      <c r="G314" s="73"/>
      <c r="H314" s="73"/>
      <c r="I314" s="231">
        <f t="shared" si="24"/>
        <v>26.746666666666655</v>
      </c>
      <c r="J314" s="162">
        <f>I314*Цены!B135</f>
        <v>13507.06666666666</v>
      </c>
      <c r="K314" s="163"/>
    </row>
    <row r="315" spans="2:12" s="164" customFormat="1" ht="13.5" customHeight="1">
      <c r="B315" s="367" t="s">
        <v>274</v>
      </c>
      <c r="C315" s="381" t="s">
        <v>275</v>
      </c>
      <c r="D315" s="180">
        <f>(C13+C14+C15+C18+C19+E13+E14+E18+E19)*0.01</f>
        <v>76</v>
      </c>
      <c r="E315" s="491">
        <v>0</v>
      </c>
      <c r="F315" s="282">
        <v>96</v>
      </c>
      <c r="G315" s="73"/>
      <c r="H315" s="73"/>
      <c r="I315" s="231">
        <f t="shared" si="24"/>
        <v>0</v>
      </c>
      <c r="J315" s="162">
        <f>I315*Цены!B136</f>
        <v>0</v>
      </c>
      <c r="K315" s="163"/>
    </row>
    <row r="316" spans="2:12" s="164" customFormat="1">
      <c r="B316" s="422" t="s">
        <v>347</v>
      </c>
      <c r="C316" s="447" t="s">
        <v>1013</v>
      </c>
      <c r="D316" s="180">
        <f>(C13+C14+C15+C16+C17+C18+C19+C24+C25+E13+E14+E16+E17+E18+E19+E24+E25)*1.05</f>
        <v>8198.4</v>
      </c>
      <c r="E316" s="491">
        <v>0</v>
      </c>
      <c r="F316" s="282">
        <v>10800</v>
      </c>
      <c r="G316" s="73"/>
      <c r="H316" s="73"/>
      <c r="I316" s="231">
        <f t="shared" si="24"/>
        <v>0</v>
      </c>
      <c r="J316" s="162">
        <f>I316*Цены!B137</f>
        <v>0</v>
      </c>
      <c r="K316" s="174"/>
    </row>
    <row r="317" spans="2:12" s="164" customFormat="1">
      <c r="B317" s="423" t="s">
        <v>544</v>
      </c>
      <c r="C317" s="444" t="s">
        <v>545</v>
      </c>
      <c r="D317" s="233">
        <f>C13/100+E13/60+C14/60+E14/60+C15/48+(C18+C19+E18+E19)/24</f>
        <v>273.66666666666669</v>
      </c>
      <c r="E317" s="158">
        <v>0</v>
      </c>
      <c r="F317" s="285">
        <v>80</v>
      </c>
      <c r="G317" s="158"/>
      <c r="H317" s="158"/>
      <c r="I317" s="231">
        <f t="shared" si="24"/>
        <v>193.66666666666669</v>
      </c>
      <c r="J317" s="162">
        <f>I317*Цены!B138</f>
        <v>77466.666666666672</v>
      </c>
      <c r="K317" s="174"/>
    </row>
    <row r="318" spans="2:12" s="164" customFormat="1" ht="25.5">
      <c r="B318" s="424" t="s">
        <v>1430</v>
      </c>
      <c r="C318" s="398" t="s">
        <v>1250</v>
      </c>
      <c r="D318" s="368">
        <f>D301</f>
        <v>85</v>
      </c>
      <c r="E318" s="73"/>
      <c r="F318" s="388"/>
      <c r="G318" s="387"/>
      <c r="H318" s="387"/>
      <c r="I318" s="231">
        <f t="shared" si="24"/>
        <v>85</v>
      </c>
      <c r="J318" s="484">
        <f>I318*Цены!B139</f>
        <v>87184.5</v>
      </c>
      <c r="K318" s="163"/>
    </row>
    <row r="319" spans="2:12" s="164" customFormat="1" ht="25.5">
      <c r="B319" s="424" t="s">
        <v>1431</v>
      </c>
      <c r="C319" s="398" t="s">
        <v>1250</v>
      </c>
      <c r="D319" s="368">
        <f>D302</f>
        <v>120</v>
      </c>
      <c r="E319" s="73"/>
      <c r="F319" s="388"/>
      <c r="G319" s="387"/>
      <c r="H319" s="387"/>
      <c r="I319" s="231">
        <f t="shared" si="24"/>
        <v>120</v>
      </c>
      <c r="J319" s="484">
        <f>I319*Цены!B140</f>
        <v>153192</v>
      </c>
      <c r="K319" s="163"/>
    </row>
    <row r="320" spans="2:12" s="164" customFormat="1" ht="25.5">
      <c r="B320" s="425" t="s">
        <v>1251</v>
      </c>
      <c r="C320" s="448" t="s">
        <v>1667</v>
      </c>
      <c r="D320" s="492">
        <f>(C24+E24)*'МГП ЦОД 10'!I92+'МГП ЦОД 20'!I92*('Дефицит основной'!C25+'Дефицит основной'!E25)</f>
        <v>7.35</v>
      </c>
      <c r="E320" s="382"/>
      <c r="F320" s="567">
        <v>4</v>
      </c>
      <c r="G320" s="382"/>
      <c r="H320" s="382"/>
      <c r="I320" s="231">
        <f t="shared" si="24"/>
        <v>3.3499999999999996</v>
      </c>
      <c r="J320" s="162">
        <f>I320*Цены!B141</f>
        <v>6699.9999999999991</v>
      </c>
      <c r="K320" s="338"/>
      <c r="L320" s="164" t="s">
        <v>1638</v>
      </c>
    </row>
    <row r="321" spans="2:11" s="164" customFormat="1">
      <c r="B321" s="425" t="s">
        <v>1392</v>
      </c>
      <c r="C321" s="448" t="s">
        <v>1320</v>
      </c>
      <c r="D321" s="492">
        <f>E17</f>
        <v>3</v>
      </c>
      <c r="E321" s="382"/>
      <c r="F321" s="567"/>
      <c r="G321" s="382"/>
      <c r="H321" s="382"/>
      <c r="I321" s="231">
        <f t="shared" si="24"/>
        <v>3</v>
      </c>
      <c r="J321" s="162">
        <f>I321*Цены!B142</f>
        <v>3015</v>
      </c>
      <c r="K321" s="338"/>
    </row>
    <row r="322" spans="2:11" s="164" customFormat="1">
      <c r="B322" s="425" t="s">
        <v>1393</v>
      </c>
      <c r="C322" s="448" t="s">
        <v>1336</v>
      </c>
      <c r="D322" s="492">
        <f>E16</f>
        <v>0</v>
      </c>
      <c r="E322" s="382"/>
      <c r="F322" s="567"/>
      <c r="G322" s="382"/>
      <c r="H322" s="382"/>
      <c r="I322" s="231">
        <f t="shared" ref="I322:I324" si="25">MAX(D322-F322-E322,)</f>
        <v>0</v>
      </c>
      <c r="J322" s="162">
        <f>I322*Цены!B143</f>
        <v>0</v>
      </c>
      <c r="K322" s="338"/>
    </row>
    <row r="323" spans="2:11" s="164" customFormat="1">
      <c r="B323" s="425" t="s">
        <v>1394</v>
      </c>
      <c r="C323" s="448" t="s">
        <v>1348</v>
      </c>
      <c r="D323" s="492">
        <f>C17</f>
        <v>0</v>
      </c>
      <c r="E323" s="382"/>
      <c r="F323" s="567"/>
      <c r="G323" s="382"/>
      <c r="H323" s="382"/>
      <c r="I323" s="231">
        <f t="shared" si="25"/>
        <v>0</v>
      </c>
      <c r="J323" s="162">
        <f>I323*Цены!B144</f>
        <v>0</v>
      </c>
      <c r="K323" s="338"/>
    </row>
    <row r="324" spans="2:11" s="73" customFormat="1">
      <c r="B324" s="424" t="s">
        <v>1395</v>
      </c>
      <c r="C324" s="398" t="s">
        <v>1360</v>
      </c>
      <c r="D324" s="368">
        <f>C16</f>
        <v>0</v>
      </c>
      <c r="E324" s="43"/>
      <c r="F324" s="388"/>
      <c r="G324" s="43"/>
      <c r="H324" s="43"/>
      <c r="I324" s="231">
        <f t="shared" si="25"/>
        <v>0</v>
      </c>
      <c r="J324" s="162">
        <f>I324*Цены!B145</f>
        <v>0</v>
      </c>
      <c r="K324" s="336"/>
    </row>
    <row r="325" spans="2:11" ht="19.5" thickBot="1">
      <c r="B325" s="426"/>
      <c r="C325" s="449"/>
      <c r="D325" s="366"/>
      <c r="E325" s="1"/>
      <c r="F325" s="184"/>
      <c r="H325" s="128"/>
      <c r="I325" s="69" t="s">
        <v>16</v>
      </c>
      <c r="J325" s="500">
        <f>SUM(J313:J324)</f>
        <v>348761.45816969697</v>
      </c>
      <c r="K325" s="501"/>
    </row>
    <row r="326" spans="2:11" ht="19.5" thickBot="1">
      <c r="B326" s="583" t="s">
        <v>280</v>
      </c>
      <c r="C326" s="584"/>
      <c r="D326" s="584"/>
      <c r="E326" s="584"/>
      <c r="F326" s="584"/>
      <c r="G326" s="584"/>
      <c r="H326" s="584"/>
      <c r="I326" s="584"/>
      <c r="J326" s="584"/>
      <c r="K326" s="493"/>
    </row>
    <row r="327" spans="2:11" ht="45">
      <c r="B327" s="412" t="s">
        <v>187</v>
      </c>
      <c r="C327" s="412" t="s">
        <v>188</v>
      </c>
      <c r="D327" s="323" t="s">
        <v>182</v>
      </c>
      <c r="E327" s="323" t="s">
        <v>183</v>
      </c>
      <c r="F327" s="324" t="s">
        <v>184</v>
      </c>
      <c r="G327" s="323" t="s">
        <v>254</v>
      </c>
      <c r="H327" s="323" t="s">
        <v>253</v>
      </c>
      <c r="I327" s="318" t="s">
        <v>255</v>
      </c>
      <c r="J327" s="331" t="s">
        <v>343</v>
      </c>
      <c r="K327" s="321" t="s">
        <v>349</v>
      </c>
    </row>
    <row r="328" spans="2:11" s="164" customFormat="1">
      <c r="B328" s="367" t="s">
        <v>593</v>
      </c>
      <c r="C328" s="381"/>
      <c r="D328" s="180">
        <f>C13</f>
        <v>200</v>
      </c>
      <c r="E328" s="38">
        <v>0</v>
      </c>
      <c r="F328" s="388">
        <v>450</v>
      </c>
      <c r="G328" s="73"/>
      <c r="H328" s="73"/>
      <c r="I328" s="73">
        <f>MAX(D328-E328-F328,)</f>
        <v>0</v>
      </c>
      <c r="J328" s="162">
        <f>I328*Цены!B147</f>
        <v>0</v>
      </c>
      <c r="K328" s="163"/>
    </row>
    <row r="329" spans="2:11" s="164" customFormat="1">
      <c r="B329" s="367" t="s">
        <v>1601</v>
      </c>
      <c r="C329" s="381"/>
      <c r="D329" s="180">
        <f>D328</f>
        <v>200</v>
      </c>
      <c r="E329" s="38">
        <v>0</v>
      </c>
      <c r="F329" s="388">
        <v>1031</v>
      </c>
      <c r="G329" s="73"/>
      <c r="H329" s="73"/>
      <c r="I329" s="73">
        <f t="shared" ref="I329:I352" si="26">MAX(D329-E329-F329,)</f>
        <v>0</v>
      </c>
      <c r="J329" s="162">
        <f>I329*Цены!B148</f>
        <v>0</v>
      </c>
      <c r="K329" s="163"/>
    </row>
    <row r="330" spans="2:11" s="164" customFormat="1">
      <c r="B330" s="367" t="s">
        <v>1600</v>
      </c>
      <c r="C330" s="381"/>
      <c r="D330" s="180">
        <f>D329</f>
        <v>200</v>
      </c>
      <c r="E330" s="38">
        <v>0</v>
      </c>
      <c r="F330" s="388">
        <v>900</v>
      </c>
      <c r="G330" s="73"/>
      <c r="H330" s="73"/>
      <c r="I330" s="73">
        <f t="shared" si="26"/>
        <v>0</v>
      </c>
      <c r="J330" s="162">
        <f>I330*Цены!B149</f>
        <v>0</v>
      </c>
      <c r="K330" s="163"/>
    </row>
    <row r="331" spans="2:11" s="164" customFormat="1">
      <c r="B331" s="367" t="s">
        <v>596</v>
      </c>
      <c r="C331" s="381"/>
      <c r="D331" s="180">
        <f>E13</f>
        <v>900</v>
      </c>
      <c r="E331" s="38">
        <v>0</v>
      </c>
      <c r="F331" s="388">
        <v>448</v>
      </c>
      <c r="G331" s="73"/>
      <c r="H331" s="73"/>
      <c r="I331" s="73">
        <f t="shared" si="26"/>
        <v>452</v>
      </c>
      <c r="J331" s="162">
        <f>I331*Цены!B150</f>
        <v>5424</v>
      </c>
      <c r="K331" s="163"/>
    </row>
    <row r="332" spans="2:11" s="164" customFormat="1">
      <c r="B332" s="367" t="s">
        <v>1599</v>
      </c>
      <c r="C332" s="381"/>
      <c r="D332" s="180">
        <f>D331</f>
        <v>900</v>
      </c>
      <c r="E332" s="38">
        <v>0</v>
      </c>
      <c r="F332" s="388">
        <v>300</v>
      </c>
      <c r="G332" s="73"/>
      <c r="H332" s="73"/>
      <c r="I332" s="73">
        <f t="shared" si="26"/>
        <v>600</v>
      </c>
      <c r="J332" s="162">
        <f>I332*Цены!B151</f>
        <v>2400</v>
      </c>
      <c r="K332" s="163"/>
    </row>
    <row r="333" spans="2:11" s="164" customFormat="1">
      <c r="B333" s="367" t="s">
        <v>1598</v>
      </c>
      <c r="C333" s="381"/>
      <c r="D333" s="180">
        <f>D332</f>
        <v>900</v>
      </c>
      <c r="E333" s="38">
        <v>0</v>
      </c>
      <c r="F333" s="388">
        <v>297</v>
      </c>
      <c r="G333" s="73"/>
      <c r="H333" s="73"/>
      <c r="I333" s="73">
        <f t="shared" si="26"/>
        <v>603</v>
      </c>
      <c r="J333" s="162">
        <f>I333*Цены!B152</f>
        <v>3618</v>
      </c>
      <c r="K333" s="163"/>
    </row>
    <row r="334" spans="2:11" s="164" customFormat="1">
      <c r="B334" s="367" t="s">
        <v>599</v>
      </c>
      <c r="C334" s="381"/>
      <c r="D334" s="180">
        <f>C14</f>
        <v>200</v>
      </c>
      <c r="E334" s="38">
        <v>0</v>
      </c>
      <c r="F334" s="388">
        <v>312</v>
      </c>
      <c r="G334" s="73"/>
      <c r="H334" s="73"/>
      <c r="I334" s="73">
        <f t="shared" si="26"/>
        <v>0</v>
      </c>
      <c r="J334" s="162">
        <f>I334*Цены!B153</f>
        <v>0</v>
      </c>
      <c r="K334" s="163"/>
    </row>
    <row r="335" spans="2:11" s="164" customFormat="1">
      <c r="B335" s="367" t="s">
        <v>1597</v>
      </c>
      <c r="C335" s="381"/>
      <c r="D335" s="180">
        <f>D334</f>
        <v>200</v>
      </c>
      <c r="E335" s="38">
        <v>0</v>
      </c>
      <c r="F335" s="388">
        <v>314</v>
      </c>
      <c r="G335" s="73"/>
      <c r="H335" s="73"/>
      <c r="I335" s="73">
        <f t="shared" si="26"/>
        <v>0</v>
      </c>
      <c r="J335" s="162">
        <f>I335*Цены!B154</f>
        <v>0</v>
      </c>
      <c r="K335" s="163"/>
    </row>
    <row r="336" spans="2:11" s="164" customFormat="1">
      <c r="B336" s="367" t="s">
        <v>1596</v>
      </c>
      <c r="C336" s="381"/>
      <c r="D336" s="180">
        <f>D335</f>
        <v>200</v>
      </c>
      <c r="E336" s="38">
        <v>0</v>
      </c>
      <c r="F336" s="388">
        <v>484</v>
      </c>
      <c r="G336" s="73"/>
      <c r="H336" s="73"/>
      <c r="I336" s="73">
        <f t="shared" si="26"/>
        <v>0</v>
      </c>
      <c r="J336" s="162">
        <f>I336*Цены!B155</f>
        <v>0</v>
      </c>
      <c r="K336" s="163"/>
    </row>
    <row r="337" spans="2:11" s="164" customFormat="1">
      <c r="B337" s="367" t="s">
        <v>678</v>
      </c>
      <c r="C337" s="381"/>
      <c r="D337" s="180">
        <f>E14</f>
        <v>200</v>
      </c>
      <c r="E337" s="38">
        <v>0</v>
      </c>
      <c r="F337" s="388">
        <v>1365</v>
      </c>
      <c r="G337" s="73"/>
      <c r="H337" s="73"/>
      <c r="I337" s="73">
        <f t="shared" si="26"/>
        <v>0</v>
      </c>
      <c r="J337" s="162">
        <f>I337*Цены!B156</f>
        <v>0</v>
      </c>
      <c r="K337" s="163"/>
    </row>
    <row r="338" spans="2:11" s="164" customFormat="1">
      <c r="B338" s="367" t="s">
        <v>1595</v>
      </c>
      <c r="C338" s="381"/>
      <c r="D338" s="180">
        <f>D337</f>
        <v>200</v>
      </c>
      <c r="E338" s="38">
        <v>0</v>
      </c>
      <c r="F338" s="388">
        <v>1386</v>
      </c>
      <c r="G338" s="73"/>
      <c r="H338" s="73"/>
      <c r="I338" s="73">
        <f t="shared" si="26"/>
        <v>0</v>
      </c>
      <c r="J338" s="162">
        <f>I338*Цены!B157</f>
        <v>0</v>
      </c>
      <c r="K338" s="163"/>
    </row>
    <row r="339" spans="2:11" s="164" customFormat="1">
      <c r="B339" s="367" t="s">
        <v>1594</v>
      </c>
      <c r="C339" s="381"/>
      <c r="D339" s="180">
        <f>D338</f>
        <v>200</v>
      </c>
      <c r="E339" s="38">
        <v>0</v>
      </c>
      <c r="F339" s="388">
        <v>1300</v>
      </c>
      <c r="G339" s="73"/>
      <c r="H339" s="73"/>
      <c r="I339" s="73">
        <f t="shared" si="26"/>
        <v>0</v>
      </c>
      <c r="J339" s="162">
        <f>I339*Цены!B158</f>
        <v>0</v>
      </c>
      <c r="K339" s="163"/>
    </row>
    <row r="340" spans="2:11" s="164" customFormat="1">
      <c r="B340" s="367" t="s">
        <v>1618</v>
      </c>
      <c r="C340" s="381"/>
      <c r="D340" s="180">
        <f>C15</f>
        <v>200</v>
      </c>
      <c r="E340" s="38">
        <v>0</v>
      </c>
      <c r="F340" s="388">
        <v>375</v>
      </c>
      <c r="G340" s="73"/>
      <c r="H340" s="73"/>
      <c r="I340" s="73">
        <f t="shared" si="26"/>
        <v>0</v>
      </c>
      <c r="J340" s="162">
        <f>I340*Цены!B159</f>
        <v>0</v>
      </c>
      <c r="K340" s="163"/>
    </row>
    <row r="341" spans="2:11" s="164" customFormat="1">
      <c r="B341" s="367" t="s">
        <v>1619</v>
      </c>
      <c r="C341" s="381"/>
      <c r="D341" s="180">
        <f>D340</f>
        <v>200</v>
      </c>
      <c r="E341" s="38">
        <v>0</v>
      </c>
      <c r="F341" s="388">
        <v>329</v>
      </c>
      <c r="G341" s="73"/>
      <c r="H341" s="73"/>
      <c r="I341" s="73">
        <f t="shared" si="26"/>
        <v>0</v>
      </c>
      <c r="J341" s="162">
        <f>I341*Цены!B160</f>
        <v>0</v>
      </c>
      <c r="K341" s="163"/>
    </row>
    <row r="342" spans="2:11" s="164" customFormat="1">
      <c r="B342" s="367" t="s">
        <v>1620</v>
      </c>
      <c r="C342" s="381"/>
      <c r="D342" s="180">
        <f>D341</f>
        <v>200</v>
      </c>
      <c r="E342" s="38">
        <v>0</v>
      </c>
      <c r="F342" s="388">
        <v>350</v>
      </c>
      <c r="G342" s="73"/>
      <c r="H342" s="73"/>
      <c r="I342" s="73">
        <f t="shared" si="26"/>
        <v>0</v>
      </c>
      <c r="J342" s="162">
        <f>I342*Цены!B161</f>
        <v>0</v>
      </c>
      <c r="K342" s="163"/>
    </row>
    <row r="343" spans="2:11" s="164" customFormat="1" ht="26.25">
      <c r="B343" s="367" t="s">
        <v>1018</v>
      </c>
      <c r="C343" s="381"/>
      <c r="D343" s="180">
        <f>C18+E18+C19+E19</f>
        <v>5900</v>
      </c>
      <c r="E343" s="38">
        <v>0</v>
      </c>
      <c r="F343" s="388">
        <v>600</v>
      </c>
      <c r="G343" s="73"/>
      <c r="H343" s="73"/>
      <c r="I343" s="73">
        <f t="shared" si="26"/>
        <v>5300</v>
      </c>
      <c r="J343" s="162">
        <f>I343*Цены!B162</f>
        <v>53000</v>
      </c>
      <c r="K343" s="163"/>
    </row>
    <row r="344" spans="2:11" s="164" customFormat="1" ht="26.25">
      <c r="B344" s="367" t="s">
        <v>1593</v>
      </c>
      <c r="C344" s="381"/>
      <c r="D344" s="180">
        <f>C18</f>
        <v>700</v>
      </c>
      <c r="E344" s="38">
        <v>0</v>
      </c>
      <c r="F344" s="388">
        <v>1320</v>
      </c>
      <c r="G344" s="73"/>
      <c r="H344" s="73"/>
      <c r="I344" s="73">
        <f t="shared" si="26"/>
        <v>0</v>
      </c>
      <c r="J344" s="162">
        <f>I344*Цены!B163</f>
        <v>0</v>
      </c>
      <c r="K344" s="163"/>
    </row>
    <row r="345" spans="2:11" s="164" customFormat="1" ht="26.25">
      <c r="B345" s="367" t="s">
        <v>1592</v>
      </c>
      <c r="C345" s="381"/>
      <c r="D345" s="180">
        <f>D344</f>
        <v>700</v>
      </c>
      <c r="E345" s="38">
        <v>0</v>
      </c>
      <c r="F345" s="388">
        <v>1200</v>
      </c>
      <c r="G345" s="73"/>
      <c r="H345" s="73"/>
      <c r="I345" s="73">
        <f t="shared" si="26"/>
        <v>0</v>
      </c>
      <c r="J345" s="162">
        <f>I345*Цены!B164</f>
        <v>0</v>
      </c>
      <c r="K345" s="163"/>
    </row>
    <row r="346" spans="2:11" s="164" customFormat="1" ht="26.25">
      <c r="B346" s="367" t="s">
        <v>1591</v>
      </c>
      <c r="C346" s="381"/>
      <c r="D346" s="180">
        <f>+E18</f>
        <v>4500</v>
      </c>
      <c r="E346" s="38">
        <v>0</v>
      </c>
      <c r="F346" s="388">
        <v>1030</v>
      </c>
      <c r="G346" s="73"/>
      <c r="H346" s="73"/>
      <c r="I346" s="73">
        <f t="shared" si="26"/>
        <v>3470</v>
      </c>
      <c r="J346" s="162">
        <f>I346*Цены!B165</f>
        <v>13880</v>
      </c>
      <c r="K346" s="174"/>
    </row>
    <row r="347" spans="2:11" s="164" customFormat="1" ht="26.25">
      <c r="B347" s="367" t="s">
        <v>1590</v>
      </c>
      <c r="C347" s="381"/>
      <c r="D347" s="180">
        <f>D346</f>
        <v>4500</v>
      </c>
      <c r="E347" s="38">
        <v>0</v>
      </c>
      <c r="F347" s="388">
        <v>1450</v>
      </c>
      <c r="G347" s="73"/>
      <c r="H347" s="73"/>
      <c r="I347" s="73">
        <f t="shared" si="26"/>
        <v>3050</v>
      </c>
      <c r="J347" s="162">
        <f>I347*Цены!B166</f>
        <v>18300</v>
      </c>
      <c r="K347" s="174"/>
    </row>
    <row r="348" spans="2:11" s="164" customFormat="1" ht="26.25">
      <c r="B348" s="367" t="s">
        <v>1589</v>
      </c>
      <c r="C348" s="381"/>
      <c r="D348" s="180">
        <f>C19</f>
        <v>550</v>
      </c>
      <c r="E348" s="38">
        <v>0</v>
      </c>
      <c r="F348" s="388">
        <v>550</v>
      </c>
      <c r="G348" s="73"/>
      <c r="H348" s="73"/>
      <c r="I348" s="73">
        <f t="shared" si="26"/>
        <v>0</v>
      </c>
      <c r="J348" s="162">
        <f>I348*Цены!B167</f>
        <v>0</v>
      </c>
      <c r="K348" s="174"/>
    </row>
    <row r="349" spans="2:11" s="164" customFormat="1" ht="26.25">
      <c r="B349" s="367" t="s">
        <v>1588</v>
      </c>
      <c r="C349" s="381"/>
      <c r="D349" s="180">
        <f>D348</f>
        <v>550</v>
      </c>
      <c r="E349" s="38">
        <v>0</v>
      </c>
      <c r="F349" s="388">
        <v>500</v>
      </c>
      <c r="G349" s="73"/>
      <c r="H349" s="73"/>
      <c r="I349" s="73">
        <f t="shared" si="26"/>
        <v>50</v>
      </c>
      <c r="J349" s="162">
        <f>I349*Цены!B168</f>
        <v>450</v>
      </c>
      <c r="K349" s="174"/>
    </row>
    <row r="350" spans="2:11" s="164" customFormat="1" ht="26.25">
      <c r="B350" s="367" t="s">
        <v>1587</v>
      </c>
      <c r="C350" s="381"/>
      <c r="D350" s="180">
        <f>E19</f>
        <v>150</v>
      </c>
      <c r="E350" s="38">
        <v>0</v>
      </c>
      <c r="F350" s="388">
        <v>0</v>
      </c>
      <c r="G350" s="73"/>
      <c r="H350" s="73"/>
      <c r="I350" s="73">
        <f t="shared" si="26"/>
        <v>150</v>
      </c>
      <c r="J350" s="162">
        <f>I350*Цены!B169</f>
        <v>750</v>
      </c>
      <c r="K350" s="174"/>
    </row>
    <row r="351" spans="2:11" s="164" customFormat="1" ht="26.25">
      <c r="B351" s="367" t="s">
        <v>1586</v>
      </c>
      <c r="C351" s="381"/>
      <c r="D351" s="180">
        <f>D350</f>
        <v>150</v>
      </c>
      <c r="E351" s="38">
        <v>0</v>
      </c>
      <c r="F351" s="388">
        <v>200</v>
      </c>
      <c r="G351" s="73"/>
      <c r="H351" s="73"/>
      <c r="I351" s="73">
        <f t="shared" si="26"/>
        <v>0</v>
      </c>
      <c r="J351" s="162">
        <f>I351*Цены!B170</f>
        <v>0</v>
      </c>
      <c r="K351" s="174"/>
    </row>
    <row r="352" spans="2:11" s="164" customFormat="1">
      <c r="B352" s="427" t="s">
        <v>1686</v>
      </c>
      <c r="C352" s="413"/>
      <c r="D352" s="364">
        <f>D240+D241+D242+D243</f>
        <v>12100</v>
      </c>
      <c r="E352" s="365"/>
      <c r="F352" s="567"/>
      <c r="G352" s="158"/>
      <c r="H352" s="158"/>
      <c r="I352" s="73">
        <f t="shared" si="26"/>
        <v>12100</v>
      </c>
      <c r="J352" s="162">
        <f>I352*Цены!B171</f>
        <v>0</v>
      </c>
      <c r="K352" s="174"/>
    </row>
    <row r="353" spans="2:11" s="164" customFormat="1">
      <c r="B353" s="367" t="s">
        <v>1602</v>
      </c>
      <c r="C353" s="381"/>
      <c r="D353" s="180">
        <f>C24+C25+E24+E25</f>
        <v>205</v>
      </c>
      <c r="E353" s="38"/>
      <c r="F353" s="388">
        <v>376</v>
      </c>
      <c r="G353" s="73"/>
      <c r="H353" s="73"/>
      <c r="I353" s="158">
        <f t="shared" ref="I353:I366" si="27">MAX(D353-E353-F353,)</f>
        <v>0</v>
      </c>
      <c r="J353" s="162">
        <f>I353*Цены!B172</f>
        <v>0</v>
      </c>
      <c r="K353" s="163"/>
    </row>
    <row r="354" spans="2:11" s="164" customFormat="1">
      <c r="B354" s="367" t="s">
        <v>1603</v>
      </c>
      <c r="C354" s="381"/>
      <c r="D354" s="180">
        <f>C16+C17+E16+E17</f>
        <v>3</v>
      </c>
      <c r="E354" s="38"/>
      <c r="F354" s="388">
        <v>0</v>
      </c>
      <c r="G354" s="73"/>
      <c r="H354" s="73"/>
      <c r="I354" s="158">
        <f t="shared" si="27"/>
        <v>3</v>
      </c>
      <c r="J354" s="162">
        <f>I354*Цены!B173</f>
        <v>48</v>
      </c>
      <c r="K354" s="163"/>
    </row>
    <row r="355" spans="2:11" s="164" customFormat="1" ht="26.25">
      <c r="B355" s="367" t="s">
        <v>1582</v>
      </c>
      <c r="C355" s="381"/>
      <c r="D355" s="180">
        <f>C24+E24</f>
        <v>85</v>
      </c>
      <c r="E355" s="38"/>
      <c r="F355" s="388">
        <v>436</v>
      </c>
      <c r="G355" s="73"/>
      <c r="H355" s="73"/>
      <c r="I355" s="158">
        <f t="shared" si="27"/>
        <v>0</v>
      </c>
      <c r="J355" s="162">
        <f>I355*Цены!B174</f>
        <v>0</v>
      </c>
      <c r="K355" s="163"/>
    </row>
    <row r="356" spans="2:11" s="164" customFormat="1" ht="26.25">
      <c r="B356" s="367" t="s">
        <v>1583</v>
      </c>
      <c r="C356" s="381"/>
      <c r="D356" s="180">
        <f>C25+E25</f>
        <v>120</v>
      </c>
      <c r="E356" s="38"/>
      <c r="F356" s="388">
        <v>407</v>
      </c>
      <c r="G356" s="73"/>
      <c r="H356" s="73"/>
      <c r="I356" s="158">
        <f t="shared" si="27"/>
        <v>0</v>
      </c>
      <c r="J356" s="162">
        <f>I356*Цены!B175</f>
        <v>0</v>
      </c>
      <c r="K356" s="163"/>
    </row>
    <row r="357" spans="2:11" s="164" customFormat="1" ht="26.25">
      <c r="B357" s="367" t="s">
        <v>1584</v>
      </c>
      <c r="C357" s="381"/>
      <c r="D357" s="180">
        <f>D355</f>
        <v>85</v>
      </c>
      <c r="E357" s="38"/>
      <c r="F357" s="388">
        <v>266</v>
      </c>
      <c r="G357" s="73"/>
      <c r="H357" s="73"/>
      <c r="I357" s="158">
        <f t="shared" si="27"/>
        <v>0</v>
      </c>
      <c r="J357" s="162">
        <f>I357*Цены!B176</f>
        <v>0</v>
      </c>
      <c r="K357" s="163"/>
    </row>
    <row r="358" spans="2:11" s="164" customFormat="1" ht="26.25">
      <c r="B358" s="367" t="s">
        <v>1585</v>
      </c>
      <c r="C358" s="381"/>
      <c r="D358" s="180">
        <f>D356</f>
        <v>120</v>
      </c>
      <c r="E358" s="38"/>
      <c r="F358" s="388">
        <v>306</v>
      </c>
      <c r="G358" s="73"/>
      <c r="H358" s="73"/>
      <c r="I358" s="158">
        <f t="shared" si="27"/>
        <v>0</v>
      </c>
      <c r="J358" s="162">
        <f>I358*Цены!B177</f>
        <v>0</v>
      </c>
      <c r="K358" s="163"/>
    </row>
    <row r="359" spans="2:11" s="164" customFormat="1">
      <c r="B359" s="367" t="s">
        <v>1604</v>
      </c>
      <c r="C359" s="381"/>
      <c r="D359" s="180">
        <f>E17</f>
        <v>3</v>
      </c>
      <c r="E359" s="38"/>
      <c r="F359" s="388">
        <v>0</v>
      </c>
      <c r="G359" s="73"/>
      <c r="H359" s="73"/>
      <c r="I359" s="158">
        <f t="shared" si="27"/>
        <v>3</v>
      </c>
      <c r="J359" s="162">
        <f>I359*Цены!B178</f>
        <v>18</v>
      </c>
      <c r="K359" s="163"/>
    </row>
    <row r="360" spans="2:11" s="164" customFormat="1">
      <c r="B360" s="367" t="s">
        <v>1605</v>
      </c>
      <c r="C360" s="381"/>
      <c r="D360" s="180">
        <f>E16</f>
        <v>0</v>
      </c>
      <c r="E360" s="38"/>
      <c r="F360" s="388">
        <v>0</v>
      </c>
      <c r="G360" s="73"/>
      <c r="H360" s="73"/>
      <c r="I360" s="158">
        <f t="shared" si="27"/>
        <v>0</v>
      </c>
      <c r="J360" s="162">
        <f>I360*Цены!B179</f>
        <v>0</v>
      </c>
      <c r="K360" s="163"/>
    </row>
    <row r="361" spans="2:11" s="164" customFormat="1">
      <c r="B361" s="367" t="s">
        <v>1606</v>
      </c>
      <c r="C361" s="381"/>
      <c r="D361" s="180">
        <f>C17</f>
        <v>0</v>
      </c>
      <c r="E361" s="38"/>
      <c r="F361" s="388">
        <v>0</v>
      </c>
      <c r="G361" s="73"/>
      <c r="H361" s="73"/>
      <c r="I361" s="158">
        <f t="shared" si="27"/>
        <v>0</v>
      </c>
      <c r="J361" s="162">
        <f>I361*Цены!B180</f>
        <v>0</v>
      </c>
      <c r="K361" s="163"/>
    </row>
    <row r="362" spans="2:11" s="164" customFormat="1">
      <c r="B362" s="367" t="s">
        <v>1607</v>
      </c>
      <c r="C362" s="381"/>
      <c r="D362" s="180">
        <f>C16</f>
        <v>0</v>
      </c>
      <c r="E362" s="38"/>
      <c r="F362" s="388">
        <v>0</v>
      </c>
      <c r="G362" s="73"/>
      <c r="H362" s="73"/>
      <c r="I362" s="158">
        <f t="shared" si="27"/>
        <v>0</v>
      </c>
      <c r="J362" s="162">
        <f>I362*Цены!B181</f>
        <v>0</v>
      </c>
      <c r="K362" s="163"/>
    </row>
    <row r="363" spans="2:11" s="164" customFormat="1">
      <c r="B363" s="367" t="s">
        <v>1608</v>
      </c>
      <c r="C363" s="381"/>
      <c r="D363" s="180">
        <f>D359</f>
        <v>3</v>
      </c>
      <c r="E363" s="38"/>
      <c r="F363" s="388">
        <v>0</v>
      </c>
      <c r="G363" s="73"/>
      <c r="H363" s="73"/>
      <c r="I363" s="158">
        <f t="shared" si="27"/>
        <v>3</v>
      </c>
      <c r="J363" s="162">
        <f>I363*Цены!B182</f>
        <v>21</v>
      </c>
      <c r="K363" s="163"/>
    </row>
    <row r="364" spans="2:11" s="164" customFormat="1">
      <c r="B364" s="367" t="s">
        <v>1609</v>
      </c>
      <c r="C364" s="381"/>
      <c r="D364" s="180">
        <f>D360</f>
        <v>0</v>
      </c>
      <c r="E364" s="38"/>
      <c r="F364" s="388">
        <v>0</v>
      </c>
      <c r="G364" s="73"/>
      <c r="H364" s="73"/>
      <c r="I364" s="158">
        <f t="shared" si="27"/>
        <v>0</v>
      </c>
      <c r="J364" s="162">
        <f>I364*Цены!B183</f>
        <v>0</v>
      </c>
      <c r="K364" s="163"/>
    </row>
    <row r="365" spans="2:11" s="164" customFormat="1">
      <c r="B365" s="367" t="s">
        <v>1610</v>
      </c>
      <c r="C365" s="381"/>
      <c r="D365" s="180">
        <f>D361</f>
        <v>0</v>
      </c>
      <c r="E365" s="38"/>
      <c r="F365" s="388">
        <v>0</v>
      </c>
      <c r="G365" s="73"/>
      <c r="H365" s="73"/>
      <c r="I365" s="158">
        <f t="shared" si="27"/>
        <v>0</v>
      </c>
      <c r="J365" s="162">
        <f>I365*Цены!B184</f>
        <v>0</v>
      </c>
      <c r="K365" s="163"/>
    </row>
    <row r="366" spans="2:11" s="164" customFormat="1">
      <c r="B366" s="427" t="s">
        <v>1611</v>
      </c>
      <c r="C366" s="413"/>
      <c r="D366" s="364">
        <f>D362</f>
        <v>0</v>
      </c>
      <c r="E366" s="365"/>
      <c r="F366" s="567">
        <v>0</v>
      </c>
      <c r="G366" s="158"/>
      <c r="H366" s="158"/>
      <c r="I366" s="158">
        <f t="shared" si="27"/>
        <v>0</v>
      </c>
      <c r="J366" s="173">
        <f>I366*Цены!B185</f>
        <v>0</v>
      </c>
      <c r="K366" s="174"/>
    </row>
    <row r="367" spans="2:11" s="164" customFormat="1" ht="13.5" customHeight="1">
      <c r="B367" s="367" t="s">
        <v>1660</v>
      </c>
      <c r="C367" s="381"/>
      <c r="D367" s="180">
        <f>D359</f>
        <v>3</v>
      </c>
      <c r="E367" s="38"/>
      <c r="F367" s="388">
        <v>50</v>
      </c>
      <c r="G367" s="73"/>
      <c r="H367" s="73"/>
      <c r="I367" s="158">
        <f t="shared" ref="I367:I370" si="28">MAX(D367-E367-F367,)</f>
        <v>0</v>
      </c>
      <c r="J367" s="173">
        <f>I367*Цены!B186</f>
        <v>0</v>
      </c>
      <c r="K367" s="51"/>
    </row>
    <row r="368" spans="2:11" s="164" customFormat="1" ht="12.75" customHeight="1">
      <c r="B368" s="367" t="s">
        <v>1661</v>
      </c>
      <c r="C368" s="381"/>
      <c r="D368" s="180">
        <f>D360</f>
        <v>0</v>
      </c>
      <c r="E368" s="38"/>
      <c r="F368" s="388">
        <v>0</v>
      </c>
      <c r="G368" s="73"/>
      <c r="H368" s="73"/>
      <c r="I368" s="158">
        <f t="shared" si="28"/>
        <v>0</v>
      </c>
      <c r="J368" s="173">
        <f>I368*Цены!B187</f>
        <v>0</v>
      </c>
      <c r="K368" s="163"/>
    </row>
    <row r="369" spans="1:14" s="164" customFormat="1" ht="13.5" customHeight="1">
      <c r="B369" s="367" t="s">
        <v>1662</v>
      </c>
      <c r="C369" s="381"/>
      <c r="D369" s="180">
        <f>D361</f>
        <v>0</v>
      </c>
      <c r="E369" s="38"/>
      <c r="F369" s="388">
        <v>0</v>
      </c>
      <c r="G369" s="73"/>
      <c r="H369" s="73"/>
      <c r="I369" s="158">
        <f t="shared" si="28"/>
        <v>0</v>
      </c>
      <c r="J369" s="173">
        <f>I369*Цены!B188</f>
        <v>0</v>
      </c>
      <c r="K369" s="163"/>
    </row>
    <row r="370" spans="1:14" s="164" customFormat="1" ht="13.5" customHeight="1" thickBot="1">
      <c r="B370" s="367" t="s">
        <v>1663</v>
      </c>
      <c r="C370" s="381"/>
      <c r="D370" s="180">
        <f>D362</f>
        <v>0</v>
      </c>
      <c r="E370" s="38"/>
      <c r="F370" s="388">
        <v>0</v>
      </c>
      <c r="G370" s="73"/>
      <c r="H370" s="73"/>
      <c r="I370" s="158">
        <f t="shared" si="28"/>
        <v>0</v>
      </c>
      <c r="J370" s="173">
        <f>I370*Цены!B189</f>
        <v>0</v>
      </c>
      <c r="K370" s="163"/>
    </row>
    <row r="371" spans="1:14" ht="19.5" thickBot="1">
      <c r="B371" s="426"/>
      <c r="C371" s="449"/>
      <c r="D371" s="366"/>
      <c r="E371" s="1"/>
      <c r="F371" s="184"/>
      <c r="H371" s="128"/>
      <c r="I371" s="69" t="s">
        <v>16</v>
      </c>
      <c r="J371" s="505">
        <f>SUM(J328:J370)</f>
        <v>97909</v>
      </c>
      <c r="K371" s="501"/>
    </row>
    <row r="372" spans="1:14" ht="19.5" thickBot="1">
      <c r="B372" s="583" t="s">
        <v>313</v>
      </c>
      <c r="C372" s="584"/>
      <c r="D372" s="584"/>
      <c r="E372" s="584"/>
      <c r="F372" s="584"/>
      <c r="G372" s="584"/>
      <c r="H372" s="584"/>
      <c r="I372" s="584"/>
      <c r="J372" s="584"/>
      <c r="K372" s="493"/>
    </row>
    <row r="373" spans="1:14" ht="45">
      <c r="B373" s="428" t="s">
        <v>187</v>
      </c>
      <c r="C373" s="428" t="s">
        <v>188</v>
      </c>
      <c r="D373" s="318" t="s">
        <v>182</v>
      </c>
      <c r="E373" s="318" t="s">
        <v>183</v>
      </c>
      <c r="F373" s="319" t="s">
        <v>184</v>
      </c>
      <c r="G373" s="318" t="s">
        <v>254</v>
      </c>
      <c r="H373" s="318" t="s">
        <v>253</v>
      </c>
      <c r="I373" s="318" t="s">
        <v>255</v>
      </c>
      <c r="J373" s="320" t="s">
        <v>343</v>
      </c>
      <c r="K373" s="321" t="s">
        <v>349</v>
      </c>
    </row>
    <row r="374" spans="1:14" s="164" customFormat="1">
      <c r="B374" s="402" t="s">
        <v>308</v>
      </c>
      <c r="C374" s="402" t="s">
        <v>504</v>
      </c>
      <c r="D374" s="73">
        <f>(C13+E13+C14+E14+C15+E16+C16+C17+E17+C18+C19+E18+E19)*'ТРВ-15м-2'!I92</f>
        <v>83.632999999999996</v>
      </c>
      <c r="E374" s="73"/>
      <c r="F374" s="388">
        <v>144</v>
      </c>
      <c r="G374" s="73"/>
      <c r="H374" s="73"/>
      <c r="I374" s="387">
        <f t="shared" ref="I374:I376" si="29">MAX(D374-F374-E374,)</f>
        <v>0</v>
      </c>
      <c r="J374" s="162">
        <f>I374*Цены!B191</f>
        <v>0</v>
      </c>
      <c r="K374" s="163"/>
      <c r="L374" s="164">
        <f>5*18</f>
        <v>90</v>
      </c>
      <c r="N374" s="164">
        <f>7920*2</f>
        <v>15840</v>
      </c>
    </row>
    <row r="375" spans="1:14" s="164" customFormat="1">
      <c r="B375" s="402" t="s">
        <v>308</v>
      </c>
      <c r="C375" s="367" t="s">
        <v>489</v>
      </c>
      <c r="D375" s="73">
        <f>D374/2</f>
        <v>41.816499999999998</v>
      </c>
      <c r="E375" s="73"/>
      <c r="F375" s="388">
        <v>0</v>
      </c>
      <c r="G375" s="73"/>
      <c r="H375" s="73"/>
      <c r="I375" s="387">
        <f t="shared" si="29"/>
        <v>41.816499999999998</v>
      </c>
      <c r="J375" s="162">
        <f>I375*Цены!B192</f>
        <v>10516.013419999999</v>
      </c>
      <c r="K375" s="163"/>
    </row>
    <row r="376" spans="1:14" s="164" customFormat="1">
      <c r="B376" s="402" t="s">
        <v>562</v>
      </c>
      <c r="C376" s="367" t="s">
        <v>546</v>
      </c>
      <c r="D376" s="73">
        <f>(C13+E13+C14+E14+C15+E16+C16+C17+E17+C18+C19+E18+E19)*'ТРВ-15м-2'!I93</f>
        <v>22.809000000000001</v>
      </c>
      <c r="E376" s="73"/>
      <c r="F376" s="388">
        <v>0</v>
      </c>
      <c r="G376" s="73"/>
      <c r="H376" s="73"/>
      <c r="I376" s="387">
        <f t="shared" si="29"/>
        <v>22.809000000000001</v>
      </c>
      <c r="J376" s="162">
        <f>I376*Цены!B193</f>
        <v>11404.5</v>
      </c>
      <c r="K376" s="163"/>
    </row>
    <row r="377" spans="1:14" s="164" customFormat="1">
      <c r="B377" s="401" t="s">
        <v>310</v>
      </c>
      <c r="C377" s="395"/>
      <c r="D377" s="73">
        <f>(C13+E13+C14+E14+C15+E16+C16+C17+E17+C18+E18+C19+E19+C24+E24+C25+E25+E23+E22)*0.0003</f>
        <v>3.5423999999999998</v>
      </c>
      <c r="E377" s="73"/>
      <c r="F377" s="388">
        <v>0</v>
      </c>
      <c r="G377" s="73"/>
      <c r="H377" s="73"/>
      <c r="I377" s="73"/>
      <c r="J377" s="162">
        <f>I377*Цены!B194</f>
        <v>0</v>
      </c>
      <c r="K377" s="163"/>
    </row>
    <row r="378" spans="1:14" s="164" customFormat="1">
      <c r="A378" s="164">
        <v>1057</v>
      </c>
      <c r="B378" s="401" t="s">
        <v>508</v>
      </c>
      <c r="C378" s="395"/>
      <c r="D378" s="73">
        <f>(C13+E13+C14+E14+C15+E16+C16+C17+E17+C18+C19+E18+E19+E23)*'ТРВ-15м-2'!I74</f>
        <v>51.618000000000002</v>
      </c>
      <c r="E378" s="73"/>
      <c r="F378" s="388">
        <v>2</v>
      </c>
      <c r="G378" s="73"/>
      <c r="H378" s="73"/>
      <c r="I378" s="73"/>
      <c r="J378" s="162">
        <f>I378*Цены!B195</f>
        <v>0</v>
      </c>
      <c r="K378" s="163"/>
    </row>
    <row r="379" spans="1:14" s="164" customFormat="1" ht="25.5">
      <c r="B379" s="424" t="s">
        <v>509</v>
      </c>
      <c r="C379" s="395"/>
      <c r="D379" s="387">
        <f>D378*3+E23*кроншт!F96</f>
        <v>214.85400000000001</v>
      </c>
      <c r="E379" s="43"/>
      <c r="F379" s="388"/>
      <c r="G379" s="43"/>
      <c r="H379" s="43"/>
      <c r="I379" s="387">
        <f t="shared" ref="I379:I392" si="30">MAX(D379-F379-E379,)</f>
        <v>214.85400000000001</v>
      </c>
      <c r="J379" s="484">
        <f>I379*Цены!B196</f>
        <v>204111.30000000002</v>
      </c>
      <c r="K379" s="163"/>
    </row>
    <row r="380" spans="1:14" s="164" customFormat="1">
      <c r="B380" s="424" t="s">
        <v>1664</v>
      </c>
      <c r="C380" s="395" t="s">
        <v>1666</v>
      </c>
      <c r="D380" s="387">
        <v>8</v>
      </c>
      <c r="E380" s="43"/>
      <c r="F380" s="388"/>
      <c r="G380" s="43"/>
      <c r="H380" s="43"/>
      <c r="I380" s="387">
        <f t="shared" si="30"/>
        <v>8</v>
      </c>
      <c r="J380" s="484">
        <f>I380*Цены!B197</f>
        <v>55200</v>
      </c>
      <c r="K380" s="163"/>
    </row>
    <row r="381" spans="1:14" s="164" customFormat="1">
      <c r="B381" s="402" t="s">
        <v>312</v>
      </c>
      <c r="C381" s="395"/>
      <c r="D381" s="73">
        <f>(C13/10+E13+C14+E14+C15+E16+C16+C17+E17+C18+C19+E18+E19+C24+C25+E24+E25)*'ТРВ-15м-2'!I94</f>
        <v>76.28</v>
      </c>
      <c r="E381" s="73"/>
      <c r="F381" s="388">
        <v>45</v>
      </c>
      <c r="G381" s="73"/>
      <c r="H381" s="73"/>
      <c r="I381" s="387">
        <f t="shared" si="30"/>
        <v>31.28</v>
      </c>
      <c r="J381" s="162">
        <f>I381*Цены!B198</f>
        <v>12386.880000000001</v>
      </c>
      <c r="K381" s="163"/>
    </row>
    <row r="382" spans="1:14" s="164" customFormat="1">
      <c r="B382" s="402" t="s">
        <v>1242</v>
      </c>
      <c r="C382" s="395" t="s">
        <v>1243</v>
      </c>
      <c r="D382" s="73">
        <f>0.04*(C24+E24+C25+E25)+0.04*(C16+C17+E16+E17)</f>
        <v>8.3199999999999985</v>
      </c>
      <c r="E382" s="73"/>
      <c r="F382" s="388">
        <v>3</v>
      </c>
      <c r="G382" s="73"/>
      <c r="H382" s="73"/>
      <c r="I382" s="387">
        <f t="shared" si="30"/>
        <v>5.3199999999999985</v>
      </c>
      <c r="J382" s="162">
        <f>I382*Цены!B199</f>
        <v>14895.999999999996</v>
      </c>
      <c r="K382" s="163"/>
      <c r="L382" s="164" t="s">
        <v>44</v>
      </c>
    </row>
    <row r="383" spans="1:14" s="164" customFormat="1">
      <c r="B383" s="402" t="s">
        <v>334</v>
      </c>
      <c r="C383" s="402" t="s">
        <v>482</v>
      </c>
      <c r="D383" s="73">
        <f>(C16+E16+C17+E17+C18+C19+E18+E19)*'ТРВ-15м-2'!I54+(C13+E13+C14+E14+C15)*'12М'!J36</f>
        <v>162.922</v>
      </c>
      <c r="E383" s="73"/>
      <c r="F383" s="388">
        <v>10</v>
      </c>
      <c r="G383" s="73"/>
      <c r="H383" s="73"/>
      <c r="I383" s="387">
        <f t="shared" si="30"/>
        <v>152.922</v>
      </c>
      <c r="J383" s="162">
        <f>I383*Цены!B200</f>
        <v>68814.899999999994</v>
      </c>
      <c r="K383" s="163"/>
      <c r="L383" s="164">
        <f>14*12</f>
        <v>168</v>
      </c>
    </row>
    <row r="384" spans="1:14" s="164" customFormat="1">
      <c r="B384" s="402" t="s">
        <v>335</v>
      </c>
      <c r="C384" s="395"/>
      <c r="D384" s="73">
        <f>(C13+E13+C14+E14+C15+E16+C16+C17+E17+C18+C19+E18+E19)*'18М'!J62</f>
        <v>7.6029999999999998</v>
      </c>
      <c r="E384" s="73"/>
      <c r="F384" s="388">
        <v>3.6</v>
      </c>
      <c r="G384" s="73"/>
      <c r="H384" s="73"/>
      <c r="I384" s="387">
        <f t="shared" si="30"/>
        <v>4.0030000000000001</v>
      </c>
      <c r="J384" s="162">
        <f>I384*Цены!B201</f>
        <v>1341.0050000000001</v>
      </c>
      <c r="K384" s="163"/>
    </row>
    <row r="385" spans="1:11" s="289" customFormat="1">
      <c r="B385" s="402" t="s">
        <v>174</v>
      </c>
      <c r="C385" s="395" t="s">
        <v>314</v>
      </c>
      <c r="D385" s="73">
        <f>(C13+C14+C15+E13+E14)*'24М'!J49+(C16+C17+C18+C19+E16+E17+E18+E19)*'ТРВ-15м-2'!I72</f>
        <v>1951.39</v>
      </c>
      <c r="E385" s="73"/>
      <c r="F385" s="388">
        <v>660</v>
      </c>
      <c r="G385" s="73"/>
      <c r="H385" s="73"/>
      <c r="I385" s="387">
        <f t="shared" si="30"/>
        <v>1291.3900000000001</v>
      </c>
      <c r="J385" s="162">
        <f>I385*Цены!B202</f>
        <v>271191.90000000002</v>
      </c>
      <c r="K385" s="163"/>
    </row>
    <row r="386" spans="1:11" s="164" customFormat="1">
      <c r="A386" s="164">
        <v>3190</v>
      </c>
      <c r="B386" s="582" t="s">
        <v>315</v>
      </c>
      <c r="C386" s="395" t="s">
        <v>316</v>
      </c>
      <c r="D386" s="73">
        <f>(C13+E13+C14+C15+E16+C16+C17+E17+C18+C19+E18+E19)*0.01*1.2</f>
        <v>88.835999999999999</v>
      </c>
      <c r="E386" s="73"/>
      <c r="F386" s="388">
        <v>10</v>
      </c>
      <c r="G386" s="73"/>
      <c r="H386" s="73"/>
      <c r="I386" s="387">
        <f t="shared" si="30"/>
        <v>78.835999999999999</v>
      </c>
      <c r="J386" s="162">
        <f>I386*Цены!B203</f>
        <v>2522.752</v>
      </c>
      <c r="K386" s="163"/>
    </row>
    <row r="387" spans="1:11" s="164" customFormat="1">
      <c r="B387" s="582"/>
      <c r="C387" s="395" t="s">
        <v>317</v>
      </c>
      <c r="D387" s="73">
        <f>(C13+E13+C14+C15+E16+C16+C17+E17+C18+C19+E18+E19)*0.01*1.2</f>
        <v>88.835999999999999</v>
      </c>
      <c r="E387" s="73"/>
      <c r="F387" s="388">
        <v>49</v>
      </c>
      <c r="G387" s="73"/>
      <c r="H387" s="73"/>
      <c r="I387" s="387">
        <f t="shared" si="30"/>
        <v>39.835999999999999</v>
      </c>
      <c r="J387" s="162">
        <f>I387*Цены!B204</f>
        <v>1234.9159999999999</v>
      </c>
      <c r="K387" s="163"/>
    </row>
    <row r="388" spans="1:11" s="164" customFormat="1">
      <c r="B388" s="416" t="s">
        <v>491</v>
      </c>
      <c r="C388" s="395" t="s">
        <v>492</v>
      </c>
      <c r="D388" s="73">
        <f>((C16+C17+E16+E17+C18+C19+E18+E19)*0.0044)+((C14+C13+C15+E13+E14)*0.003*0.6)</f>
        <v>29.033200000000001</v>
      </c>
      <c r="E388" s="73"/>
      <c r="F388" s="388">
        <v>8</v>
      </c>
      <c r="G388" s="73"/>
      <c r="H388" s="73"/>
      <c r="I388" s="387">
        <f t="shared" si="30"/>
        <v>21.033200000000001</v>
      </c>
      <c r="J388" s="162">
        <f>I388*Цены!B205</f>
        <v>83060.106800000009</v>
      </c>
      <c r="K388" s="163"/>
    </row>
    <row r="389" spans="1:11" s="164" customFormat="1">
      <c r="B389" s="452" t="s">
        <v>491</v>
      </c>
      <c r="C389" s="395" t="s">
        <v>757</v>
      </c>
      <c r="D389" s="73">
        <f>((C16+C17+E16+E17+C18+C19+E18+E19)*0.0028)+((C13+C14+C15+E13+E14)*0.003*0.4)</f>
        <v>18.5684</v>
      </c>
      <c r="E389" s="73"/>
      <c r="F389" s="388">
        <v>3</v>
      </c>
      <c r="G389" s="73"/>
      <c r="H389" s="73"/>
      <c r="I389" s="387">
        <f t="shared" si="30"/>
        <v>15.5684</v>
      </c>
      <c r="J389" s="162">
        <f>I389*Цены!B206</f>
        <v>61479.611600000004</v>
      </c>
      <c r="K389" s="163"/>
    </row>
    <row r="390" spans="1:11" s="164" customFormat="1">
      <c r="B390" s="452" t="s">
        <v>769</v>
      </c>
      <c r="C390" s="395"/>
      <c r="D390" s="73">
        <f>((C16+C17+E16+E17+C18+C19+E18+E19)*0.0145)+((C13+C14+C15+E13+E14)*0.0135)</f>
        <v>108.54350000000001</v>
      </c>
      <c r="E390" s="73"/>
      <c r="F390" s="388">
        <v>40</v>
      </c>
      <c r="G390" s="73"/>
      <c r="H390" s="73"/>
      <c r="I390" s="387">
        <f t="shared" si="30"/>
        <v>68.543500000000009</v>
      </c>
      <c r="J390" s="162">
        <f>I390*Цены!B207</f>
        <v>44553.275000000009</v>
      </c>
      <c r="K390" s="163"/>
    </row>
    <row r="391" spans="1:11" s="164" customFormat="1">
      <c r="B391" s="402" t="s">
        <v>318</v>
      </c>
      <c r="C391" s="395"/>
      <c r="D391" s="43">
        <v>0</v>
      </c>
      <c r="E391" s="43">
        <v>0</v>
      </c>
      <c r="F391" s="388"/>
      <c r="G391" s="43">
        <v>0</v>
      </c>
      <c r="H391" s="43" t="s">
        <v>3</v>
      </c>
      <c r="I391" s="387">
        <f t="shared" si="30"/>
        <v>0</v>
      </c>
      <c r="J391" s="162">
        <v>30000</v>
      </c>
      <c r="K391" s="51"/>
    </row>
    <row r="392" spans="1:11" s="164" customFormat="1" ht="15.75" thickBot="1">
      <c r="B392" s="402" t="s">
        <v>319</v>
      </c>
      <c r="C392" s="395"/>
      <c r="D392" s="43">
        <v>0</v>
      </c>
      <c r="E392" s="43">
        <v>0</v>
      </c>
      <c r="F392" s="388"/>
      <c r="G392" s="43">
        <v>0</v>
      </c>
      <c r="H392" s="43" t="s">
        <v>3</v>
      </c>
      <c r="I392" s="387">
        <f t="shared" si="30"/>
        <v>0</v>
      </c>
      <c r="J392" s="162">
        <v>600000</v>
      </c>
      <c r="K392" s="51"/>
    </row>
    <row r="393" spans="1:11" ht="19.5" thickBot="1">
      <c r="B393" s="409"/>
      <c r="C393" s="435"/>
      <c r="D393" s="58"/>
      <c r="E393" s="58"/>
      <c r="F393" s="386"/>
      <c r="G393" s="58"/>
      <c r="H393" s="59"/>
      <c r="I393" s="69" t="s">
        <v>16</v>
      </c>
      <c r="J393" s="527">
        <f>SUM(J374:J392)</f>
        <v>1472713.1598200002</v>
      </c>
      <c r="K393" s="499"/>
    </row>
    <row r="394" spans="1:11" ht="19.5" thickBot="1">
      <c r="B394" s="583" t="s">
        <v>320</v>
      </c>
      <c r="C394" s="584"/>
      <c r="D394" s="584"/>
      <c r="E394" s="584"/>
      <c r="F394" s="584"/>
      <c r="G394" s="584"/>
      <c r="H394" s="584"/>
      <c r="I394" s="584"/>
      <c r="J394" s="584"/>
      <c r="K394" s="493"/>
    </row>
    <row r="395" spans="1:11" ht="45">
      <c r="B395" s="430" t="s">
        <v>187</v>
      </c>
      <c r="C395" s="430" t="s">
        <v>188</v>
      </c>
      <c r="D395" s="328" t="s">
        <v>182</v>
      </c>
      <c r="E395" s="318" t="s">
        <v>183</v>
      </c>
      <c r="F395" s="319" t="s">
        <v>184</v>
      </c>
      <c r="G395" s="318" t="s">
        <v>254</v>
      </c>
      <c r="H395" s="318" t="s">
        <v>253</v>
      </c>
      <c r="I395" s="318" t="s">
        <v>255</v>
      </c>
      <c r="J395" s="320" t="s">
        <v>343</v>
      </c>
      <c r="K395" s="321" t="s">
        <v>349</v>
      </c>
    </row>
    <row r="396" spans="1:11" s="164" customFormat="1">
      <c r="B396" s="402" t="s">
        <v>180</v>
      </c>
      <c r="C396" s="395"/>
      <c r="D396" s="73">
        <f>(C13+C14+C15+E13+E14+C16+C17+E16+E17+C18+C19+E18+E19+C24+C25+E24+E25)*0.13</f>
        <v>1015.0400000000001</v>
      </c>
      <c r="E396" s="73"/>
      <c r="F396" s="282">
        <v>250</v>
      </c>
      <c r="G396" s="73"/>
      <c r="H396" s="73"/>
      <c r="I396" s="387">
        <f t="shared" ref="I396:I397" si="31">MAX(D396-F396-E396,)</f>
        <v>765.04000000000008</v>
      </c>
      <c r="J396" s="162">
        <f>I396*Цены!B211</f>
        <v>10465.747200000002</v>
      </c>
      <c r="K396" s="163"/>
    </row>
    <row r="397" spans="1:11" s="164" customFormat="1" ht="24" customHeight="1">
      <c r="B397" s="402" t="s">
        <v>751</v>
      </c>
      <c r="C397" s="395" t="s">
        <v>752</v>
      </c>
      <c r="D397" s="73">
        <f>((C16+C17+E16+E17+C18+C19+E18+E19)*0.013)+((C13+C14+C15+E13+E14)*0.013)</f>
        <v>98.838999999999984</v>
      </c>
      <c r="E397" s="73"/>
      <c r="F397" s="282"/>
      <c r="G397" s="73"/>
      <c r="H397" s="73"/>
      <c r="I397" s="387">
        <f t="shared" si="31"/>
        <v>98.838999999999984</v>
      </c>
      <c r="J397" s="162">
        <f>I397*Цены!B212</f>
        <v>4468.5111899999993</v>
      </c>
      <c r="K397" s="163"/>
    </row>
    <row r="398" spans="1:11" s="164" customFormat="1" ht="26.25">
      <c r="B398" s="398" t="s">
        <v>753</v>
      </c>
      <c r="C398" s="402" t="s">
        <v>754</v>
      </c>
      <c r="D398" s="73">
        <f>(C16+C17+E16+E17+C18+C19+E18+E19)*0.001</f>
        <v>5.9030000000000005</v>
      </c>
      <c r="E398" s="73"/>
      <c r="F398" s="282">
        <v>5</v>
      </c>
      <c r="G398" s="73"/>
      <c r="H398" s="73"/>
      <c r="I398" s="231">
        <f t="shared" ref="I398:I414" si="32">MAX(D398-F398-E398,)</f>
        <v>0.90300000000000047</v>
      </c>
      <c r="J398" s="162">
        <f>I398*Цены!B213</f>
        <v>406.35000000000019</v>
      </c>
      <c r="K398" s="163"/>
    </row>
    <row r="399" spans="1:11" s="164" customFormat="1" ht="26.25">
      <c r="B399" s="398" t="s">
        <v>755</v>
      </c>
      <c r="C399" s="402" t="s">
        <v>756</v>
      </c>
      <c r="D399" s="73">
        <f>((C16+C17+E16+E17+C18+C19+E18+E19)*0.015)</f>
        <v>88.545000000000002</v>
      </c>
      <c r="E399" s="73"/>
      <c r="F399" s="282">
        <v>8</v>
      </c>
      <c r="G399" s="73"/>
      <c r="H399" s="73"/>
      <c r="I399" s="387">
        <f t="shared" si="32"/>
        <v>80.545000000000002</v>
      </c>
      <c r="J399" s="162">
        <f>I399*Цены!B214</f>
        <v>4027.25</v>
      </c>
      <c r="K399" s="163"/>
    </row>
    <row r="400" spans="1:11" s="164" customFormat="1">
      <c r="B400" s="398" t="s">
        <v>91</v>
      </c>
      <c r="C400" s="395" t="s">
        <v>768</v>
      </c>
      <c r="D400" s="73">
        <f>(C16+C17+E16+E17+C18+C19+E18+E19)*0.03</f>
        <v>177.09</v>
      </c>
      <c r="E400" s="73"/>
      <c r="F400" s="282"/>
      <c r="G400" s="73"/>
      <c r="H400" s="73"/>
      <c r="I400" s="387">
        <f t="shared" si="32"/>
        <v>177.09</v>
      </c>
      <c r="J400" s="162">
        <f>I400*Цены!B215</f>
        <v>8854.5</v>
      </c>
      <c r="K400" s="163"/>
    </row>
    <row r="401" spans="2:13" s="164" customFormat="1">
      <c r="B401" s="398" t="s">
        <v>323</v>
      </c>
      <c r="C401" s="395"/>
      <c r="D401" s="73">
        <f>(C13+E13+C14+C15+E14+E16+C16+C17+E17)*0.004</f>
        <v>6.8120000000000003</v>
      </c>
      <c r="E401" s="73"/>
      <c r="F401" s="282">
        <v>39</v>
      </c>
      <c r="G401" s="73"/>
      <c r="H401" s="73"/>
      <c r="I401" s="231">
        <f t="shared" si="32"/>
        <v>0</v>
      </c>
      <c r="J401" s="162">
        <f>I401*Цены!B216</f>
        <v>0</v>
      </c>
      <c r="K401" s="163"/>
    </row>
    <row r="402" spans="2:13" s="164" customFormat="1" ht="26.25">
      <c r="B402" s="402" t="s">
        <v>750</v>
      </c>
      <c r="C402" s="395"/>
      <c r="D402" s="73">
        <f>(C16+C17+E16+E17+C18+C19+E18+E19)*'ТРВ-15м-2'!I80+(C13+C14+C15+E13+E14)*'18М'!J58</f>
        <v>13.506</v>
      </c>
      <c r="E402" s="73"/>
      <c r="F402" s="282">
        <v>2</v>
      </c>
      <c r="G402" s="73"/>
      <c r="H402" s="73"/>
      <c r="I402" s="387">
        <f t="shared" si="32"/>
        <v>11.506</v>
      </c>
      <c r="J402" s="162">
        <f>I402*Цены!B217</f>
        <v>10355.4</v>
      </c>
      <c r="K402" s="163"/>
    </row>
    <row r="403" spans="2:13" s="164" customFormat="1">
      <c r="B403" s="402" t="s">
        <v>337</v>
      </c>
      <c r="C403" s="395" t="s">
        <v>338</v>
      </c>
      <c r="D403" s="73">
        <f>(C13+E13+C14+E14+C15+E16+C16+C17+E17+C18+C19+E18+E19+C24+C25+E24+E25)*'ТРВ-15м-2'!I73</f>
        <v>78.08</v>
      </c>
      <c r="E403" s="73"/>
      <c r="F403" s="282">
        <v>15</v>
      </c>
      <c r="G403" s="73"/>
      <c r="H403" s="73"/>
      <c r="I403" s="231">
        <f t="shared" si="32"/>
        <v>63.08</v>
      </c>
      <c r="J403" s="162">
        <f>I403*Цены!B218</f>
        <v>1450.84</v>
      </c>
      <c r="K403" s="163"/>
    </row>
    <row r="404" spans="2:13" s="164" customFormat="1">
      <c r="B404" s="401" t="s">
        <v>325</v>
      </c>
      <c r="C404" s="395"/>
      <c r="D404" s="73">
        <f>(C16+C17+E16+E17+C18+C19+E18+E19)*0.0001+(C13+C14+C15+E13+E14)*0.001</f>
        <v>2.2903000000000002</v>
      </c>
      <c r="E404" s="73"/>
      <c r="F404" s="282">
        <v>0</v>
      </c>
      <c r="G404" s="73"/>
      <c r="H404" s="73"/>
      <c r="I404" s="231">
        <f t="shared" si="32"/>
        <v>2.2903000000000002</v>
      </c>
      <c r="J404" s="162">
        <f>I404*Цены!B219</f>
        <v>0</v>
      </c>
      <c r="K404" s="163"/>
    </row>
    <row r="405" spans="2:13" s="164" customFormat="1">
      <c r="B405" s="401" t="s">
        <v>332</v>
      </c>
      <c r="C405" s="395" t="s">
        <v>1648</v>
      </c>
      <c r="D405" s="73">
        <f>(C13+E13+C14+C15+E14+E16+C16+C17+E17+C18+E18+E19)*0.01</f>
        <v>70.53</v>
      </c>
      <c r="E405" s="73"/>
      <c r="F405" s="282">
        <v>139</v>
      </c>
      <c r="G405" s="73"/>
      <c r="H405" s="73"/>
      <c r="I405" s="231">
        <f t="shared" si="32"/>
        <v>0</v>
      </c>
      <c r="J405" s="162">
        <f>I405*Цены!B220</f>
        <v>0</v>
      </c>
      <c r="K405" s="163"/>
    </row>
    <row r="406" spans="2:13" s="164" customFormat="1">
      <c r="B406" s="401" t="s">
        <v>333</v>
      </c>
      <c r="C406" s="395" t="s">
        <v>1649</v>
      </c>
      <c r="D406" s="73">
        <f>D405</f>
        <v>70.53</v>
      </c>
      <c r="E406" s="73"/>
      <c r="F406" s="282">
        <v>44</v>
      </c>
      <c r="G406" s="73"/>
      <c r="H406" s="73"/>
      <c r="I406" s="231">
        <f t="shared" si="32"/>
        <v>26.53</v>
      </c>
      <c r="J406" s="162">
        <f>I406*Цены!B221</f>
        <v>583.66000000000008</v>
      </c>
      <c r="K406" s="163"/>
    </row>
    <row r="407" spans="2:13" s="164" customFormat="1">
      <c r="B407" s="401" t="s">
        <v>493</v>
      </c>
      <c r="C407" s="395" t="s">
        <v>495</v>
      </c>
      <c r="D407" s="73">
        <f>(C13+E13+C14+C15+E14+E16+C16+C17+E17+C18+E18+E19)*0.002</f>
        <v>14.106</v>
      </c>
      <c r="E407" s="73"/>
      <c r="F407" s="282">
        <v>17</v>
      </c>
      <c r="G407" s="73"/>
      <c r="H407" s="73"/>
      <c r="I407" s="231">
        <f t="shared" si="32"/>
        <v>0</v>
      </c>
      <c r="J407" s="162">
        <f>I407*Цены!B222</f>
        <v>0</v>
      </c>
      <c r="K407" s="163"/>
      <c r="M407" s="183"/>
    </row>
    <row r="408" spans="2:13" s="164" customFormat="1">
      <c r="B408" s="401" t="s">
        <v>326</v>
      </c>
      <c r="C408" s="395"/>
      <c r="D408" s="73">
        <f>(C13+E13+C14+C15+E14+E16+C16+C17+E17+C18+E18+E19)*0.005</f>
        <v>35.265000000000001</v>
      </c>
      <c r="E408" s="73"/>
      <c r="F408" s="282">
        <v>0</v>
      </c>
      <c r="G408" s="73"/>
      <c r="H408" s="73"/>
      <c r="I408" s="231">
        <f t="shared" si="32"/>
        <v>35.265000000000001</v>
      </c>
      <c r="J408" s="162">
        <f>I408*Цены!B223</f>
        <v>3532.8477000000003</v>
      </c>
      <c r="K408" s="163"/>
    </row>
    <row r="409" spans="2:13" s="164" customFormat="1">
      <c r="B409" s="401" t="s">
        <v>327</v>
      </c>
      <c r="C409" s="395"/>
      <c r="D409" s="73">
        <f>(C13+E13+C14+C15+E14+E16+C16+C17+E17+C18+E18+E19)*0.0005</f>
        <v>3.5265</v>
      </c>
      <c r="E409" s="73"/>
      <c r="F409" s="282">
        <v>0</v>
      </c>
      <c r="G409" s="73"/>
      <c r="H409" s="73"/>
      <c r="I409" s="231">
        <f t="shared" si="32"/>
        <v>3.5265</v>
      </c>
      <c r="J409" s="162">
        <f>I409*Цены!B224</f>
        <v>0</v>
      </c>
      <c r="K409" s="163"/>
    </row>
    <row r="410" spans="2:13" s="164" customFormat="1">
      <c r="B410" s="401" t="s">
        <v>328</v>
      </c>
      <c r="C410" s="395"/>
      <c r="D410" s="73">
        <f>D409</f>
        <v>3.5265</v>
      </c>
      <c r="E410" s="73"/>
      <c r="F410" s="282">
        <v>100</v>
      </c>
      <c r="G410" s="73"/>
      <c r="H410" s="73"/>
      <c r="I410" s="231">
        <f t="shared" si="32"/>
        <v>0</v>
      </c>
      <c r="J410" s="162">
        <f>I410*Цены!B225</f>
        <v>0</v>
      </c>
      <c r="K410" s="163"/>
    </row>
    <row r="411" spans="2:13" s="164" customFormat="1">
      <c r="B411" s="401" t="s">
        <v>94</v>
      </c>
      <c r="C411" s="395"/>
      <c r="D411" s="73">
        <f>(C13+E13+C14+C15+E14+E16+C16+C17+E17+C18+E18+E19+C19+C24+C25+E24+E25)*'ТРВ-15м-2'!I82</f>
        <v>156.16</v>
      </c>
      <c r="E411" s="73"/>
      <c r="F411" s="282">
        <v>30</v>
      </c>
      <c r="G411" s="73"/>
      <c r="H411" s="73"/>
      <c r="I411" s="231">
        <f t="shared" si="32"/>
        <v>126.16</v>
      </c>
      <c r="J411" s="162">
        <f>I411*Цены!B226</f>
        <v>3633.4079999999999</v>
      </c>
      <c r="K411" s="163"/>
    </row>
    <row r="412" spans="2:13" s="164" customFormat="1">
      <c r="B412" s="402" t="s">
        <v>329</v>
      </c>
      <c r="C412" s="395"/>
      <c r="D412" s="73">
        <f>D411</f>
        <v>156.16</v>
      </c>
      <c r="E412" s="73"/>
      <c r="F412" s="282">
        <v>120</v>
      </c>
      <c r="G412" s="73"/>
      <c r="H412" s="73"/>
      <c r="I412" s="231">
        <f t="shared" si="32"/>
        <v>36.159999999999997</v>
      </c>
      <c r="J412" s="162">
        <f>I412*Цены!B227</f>
        <v>940.15999999999985</v>
      </c>
      <c r="K412" s="163"/>
    </row>
    <row r="413" spans="2:13" s="164" customFormat="1">
      <c r="B413" s="402" t="s">
        <v>97</v>
      </c>
      <c r="C413" s="395" t="s">
        <v>98</v>
      </c>
      <c r="D413" s="73">
        <f>(C16+C17+E16+E17+C18+C19+E18+E19+C24+C25+E24+E25)*0.004+((C13+C14+C15+E13+E14)*0.004)</f>
        <v>31.232000000000003</v>
      </c>
      <c r="E413" s="73"/>
      <c r="F413" s="282">
        <v>22</v>
      </c>
      <c r="G413" s="73"/>
      <c r="H413" s="73"/>
      <c r="I413" s="231">
        <f t="shared" si="32"/>
        <v>9.2320000000000029</v>
      </c>
      <c r="J413" s="162">
        <f>I413*Цены!B228</f>
        <v>369.28000000000009</v>
      </c>
      <c r="K413" s="174"/>
    </row>
    <row r="414" spans="2:13" s="164" customFormat="1" ht="15.75" thickBot="1">
      <c r="B414" s="402" t="s">
        <v>330</v>
      </c>
      <c r="C414" s="395"/>
      <c r="D414" s="73"/>
      <c r="E414" s="73"/>
      <c r="F414" s="282"/>
      <c r="G414" s="73"/>
      <c r="H414" s="73"/>
      <c r="I414" s="231">
        <f t="shared" si="32"/>
        <v>0</v>
      </c>
      <c r="J414" s="173"/>
      <c r="K414" s="174"/>
    </row>
    <row r="415" spans="2:13" ht="19.5" thickBot="1">
      <c r="F415" s="71"/>
      <c r="I415" s="129" t="s">
        <v>16</v>
      </c>
      <c r="J415" s="498">
        <f>SUM(J396:J414)</f>
        <v>49087.954089999999</v>
      </c>
      <c r="K415" s="499"/>
    </row>
    <row r="416" spans="2:13" ht="19.5" thickBot="1">
      <c r="B416" s="579" t="s">
        <v>339</v>
      </c>
      <c r="C416" s="580"/>
      <c r="D416" s="581"/>
      <c r="F416" s="71"/>
    </row>
    <row r="417" spans="2:11">
      <c r="B417" s="410" t="s">
        <v>187</v>
      </c>
      <c r="C417" s="410" t="s">
        <v>342</v>
      </c>
      <c r="D417" s="323" t="s">
        <v>343</v>
      </c>
      <c r="F417" s="71"/>
    </row>
    <row r="418" spans="2:11" s="164" customFormat="1">
      <c r="B418" s="429" t="s">
        <v>542</v>
      </c>
      <c r="C418" s="429"/>
      <c r="D418" s="187"/>
      <c r="F418" s="71"/>
      <c r="J418" s="184"/>
      <c r="K418" s="185"/>
    </row>
    <row r="419" spans="2:11" s="164" customFormat="1">
      <c r="B419" s="429"/>
      <c r="C419" s="450"/>
      <c r="D419" s="187"/>
      <c r="F419" s="71"/>
      <c r="J419" s="184"/>
      <c r="K419" s="185"/>
    </row>
    <row r="420" spans="2:11" s="164" customFormat="1">
      <c r="B420" s="429"/>
      <c r="C420" s="450"/>
      <c r="D420" s="187"/>
      <c r="F420" s="71"/>
      <c r="J420" s="184"/>
      <c r="K420" s="185"/>
    </row>
    <row r="421" spans="2:11" s="164" customFormat="1">
      <c r="B421" s="402" t="s">
        <v>340</v>
      </c>
      <c r="C421" s="395" t="s">
        <v>344</v>
      </c>
      <c r="D421" s="572">
        <f>C13*'П и Ц'!E35+'П и Ц'!E36*E13+'Дефицит основной'!C14*'П и Ц'!E37+'П и Ц'!E38*'Дефицит основной'!E14+'Дефицит основной'!C15*'П и Ц'!E39+C18*'П и Ц'!E14+'П и Ц'!E15*'Дефицит основной'!E18+'Дефицит основной'!C19*'П и Ц'!E16+'П и Ц'!E17*'П и Ц'!E17+(C24+E24+C25+E25)*'П и Ц'!E56+('П и Ц'!E60+'П и Ц'!E61)*'Дефицит основной'!E22</f>
        <v>1089200.25</v>
      </c>
      <c r="F421" s="71"/>
      <c r="J421" s="184"/>
      <c r="K421" s="185"/>
    </row>
    <row r="422" spans="2:11" s="164" customFormat="1" ht="15.75" thickBot="1">
      <c r="B422" s="402" t="s">
        <v>749</v>
      </c>
      <c r="C422" s="395" t="s">
        <v>345</v>
      </c>
      <c r="D422" s="572">
        <f>(C18+E18+C19+E19)*'П и Ц'!K14+'П и Ц'!K35*'Дефицит основной'!C13+'П и Ц'!K37*('Дефицит основной'!E13+'Дефицит основной'!C14)+('Дефицит основной'!E14+'Дефицит основной'!C15)*'П и Ц'!K39+(C24+E24+C25+E25)*'П и Ц'!K57</f>
        <v>135382</v>
      </c>
      <c r="F422" s="71"/>
      <c r="J422" s="184"/>
      <c r="K422" s="185"/>
    </row>
    <row r="423" spans="2:11" ht="16.5" thickBot="1">
      <c r="B423" s="405"/>
      <c r="C423" s="451" t="s">
        <v>16</v>
      </c>
      <c r="D423" s="464">
        <f>SUM(D418:D422)</f>
        <v>1224582.25</v>
      </c>
      <c r="F423" s="71"/>
    </row>
    <row r="424" spans="2:11" ht="29.25" thickBot="1">
      <c r="B424" s="405"/>
      <c r="D424" s="286"/>
      <c r="F424" s="71"/>
      <c r="H424" s="576" t="s">
        <v>350</v>
      </c>
      <c r="I424" s="576"/>
      <c r="J424" s="503">
        <f>J415+J393+J371+J325+J310+J291+J222+J206+J201+J191+J178+J99+J92+D423</f>
        <v>19764015.408659697</v>
      </c>
      <c r="K424" s="502"/>
    </row>
  </sheetData>
  <mergeCells count="251">
    <mergeCell ref="G150:H150"/>
    <mergeCell ref="I150:J150"/>
    <mergeCell ref="G151:H151"/>
    <mergeCell ref="G152:H152"/>
    <mergeCell ref="G153:H153"/>
    <mergeCell ref="G154:H154"/>
    <mergeCell ref="G155:H155"/>
    <mergeCell ref="G156:H156"/>
    <mergeCell ref="I151:J151"/>
    <mergeCell ref="I152:J152"/>
    <mergeCell ref="I153:J153"/>
    <mergeCell ref="I154:J154"/>
    <mergeCell ref="I155:J155"/>
    <mergeCell ref="I156:J156"/>
    <mergeCell ref="I144:J144"/>
    <mergeCell ref="I145:J145"/>
    <mergeCell ref="I146:J146"/>
    <mergeCell ref="I148:J148"/>
    <mergeCell ref="G144:H144"/>
    <mergeCell ref="G145:H145"/>
    <mergeCell ref="G146:H146"/>
    <mergeCell ref="G148:H148"/>
    <mergeCell ref="G147:H147"/>
    <mergeCell ref="I147:J147"/>
    <mergeCell ref="G138:H138"/>
    <mergeCell ref="G140:H140"/>
    <mergeCell ref="I138:J138"/>
    <mergeCell ref="I140:J140"/>
    <mergeCell ref="G139:H139"/>
    <mergeCell ref="I139:J139"/>
    <mergeCell ref="G142:H142"/>
    <mergeCell ref="I142:J142"/>
    <mergeCell ref="G143:H143"/>
    <mergeCell ref="I143:J143"/>
    <mergeCell ref="G132:H132"/>
    <mergeCell ref="I132:J132"/>
    <mergeCell ref="G118:H118"/>
    <mergeCell ref="I118:J118"/>
    <mergeCell ref="G133:H133"/>
    <mergeCell ref="G134:H134"/>
    <mergeCell ref="G135:H135"/>
    <mergeCell ref="G136:H136"/>
    <mergeCell ref="I133:J133"/>
    <mergeCell ref="I134:J134"/>
    <mergeCell ref="I135:J135"/>
    <mergeCell ref="I136:J136"/>
    <mergeCell ref="G129:H129"/>
    <mergeCell ref="G130:H130"/>
    <mergeCell ref="I119:J119"/>
    <mergeCell ref="I120:J120"/>
    <mergeCell ref="I121:J121"/>
    <mergeCell ref="I122:J122"/>
    <mergeCell ref="I123:J123"/>
    <mergeCell ref="I124:J124"/>
    <mergeCell ref="I125:J125"/>
    <mergeCell ref="I126:J126"/>
    <mergeCell ref="I127:J127"/>
    <mergeCell ref="I128:J128"/>
    <mergeCell ref="I129:J129"/>
    <mergeCell ref="I130:J130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12:H112"/>
    <mergeCell ref="I112:J112"/>
    <mergeCell ref="G113:H113"/>
    <mergeCell ref="I113:J113"/>
    <mergeCell ref="G115:H115"/>
    <mergeCell ref="I115:J115"/>
    <mergeCell ref="G116:H116"/>
    <mergeCell ref="I116:J116"/>
    <mergeCell ref="G119:H119"/>
    <mergeCell ref="I109:J109"/>
    <mergeCell ref="I110:J110"/>
    <mergeCell ref="G103:H103"/>
    <mergeCell ref="I103:J103"/>
    <mergeCell ref="G104:H104"/>
    <mergeCell ref="G105:H105"/>
    <mergeCell ref="G106:H106"/>
    <mergeCell ref="I104:J104"/>
    <mergeCell ref="I105:J105"/>
    <mergeCell ref="I106:J106"/>
    <mergeCell ref="G89:H89"/>
    <mergeCell ref="I89:J89"/>
    <mergeCell ref="G90:H90"/>
    <mergeCell ref="G91:H91"/>
    <mergeCell ref="I91:J91"/>
    <mergeCell ref="I90:J90"/>
    <mergeCell ref="G76:H76"/>
    <mergeCell ref="I76:J76"/>
    <mergeCell ref="G74:H74"/>
    <mergeCell ref="I74:J74"/>
    <mergeCell ref="I83:J83"/>
    <mergeCell ref="I78:J78"/>
    <mergeCell ref="G78:H78"/>
    <mergeCell ref="G80:H80"/>
    <mergeCell ref="G81:H81"/>
    <mergeCell ref="I80:J80"/>
    <mergeCell ref="I81:J81"/>
    <mergeCell ref="G82:H82"/>
    <mergeCell ref="I82:J82"/>
    <mergeCell ref="I87:J87"/>
    <mergeCell ref="G84:H84"/>
    <mergeCell ref="G85:H85"/>
    <mergeCell ref="G86:H86"/>
    <mergeCell ref="G87:H87"/>
    <mergeCell ref="G83:H83"/>
    <mergeCell ref="I84:J84"/>
    <mergeCell ref="I85:J85"/>
    <mergeCell ref="I86:J86"/>
    <mergeCell ref="G73:H73"/>
    <mergeCell ref="I73:J73"/>
    <mergeCell ref="I69:J69"/>
    <mergeCell ref="G68:H68"/>
    <mergeCell ref="B207:J207"/>
    <mergeCell ref="B202:J202"/>
    <mergeCell ref="B192:J192"/>
    <mergeCell ref="B171:B174"/>
    <mergeCell ref="I96:J96"/>
    <mergeCell ref="G96:H96"/>
    <mergeCell ref="G75:H75"/>
    <mergeCell ref="G77:H77"/>
    <mergeCell ref="I77:J77"/>
    <mergeCell ref="G72:H72"/>
    <mergeCell ref="I72:J72"/>
    <mergeCell ref="B179:J179"/>
    <mergeCell ref="G71:H71"/>
    <mergeCell ref="I71:J71"/>
    <mergeCell ref="G70:H70"/>
    <mergeCell ref="I70:J70"/>
    <mergeCell ref="I64:J64"/>
    <mergeCell ref="I66:J66"/>
    <mergeCell ref="G65:H65"/>
    <mergeCell ref="G66:H66"/>
    <mergeCell ref="I65:J65"/>
    <mergeCell ref="G62:H62"/>
    <mergeCell ref="G63:H63"/>
    <mergeCell ref="I62:J62"/>
    <mergeCell ref="I63:J63"/>
    <mergeCell ref="B10:E11"/>
    <mergeCell ref="B28:C28"/>
    <mergeCell ref="D28:E28"/>
    <mergeCell ref="B20:E20"/>
    <mergeCell ref="I55:J55"/>
    <mergeCell ref="B12:E12"/>
    <mergeCell ref="G51:H51"/>
    <mergeCell ref="I51:J51"/>
    <mergeCell ref="I52:J52"/>
    <mergeCell ref="H11:I11"/>
    <mergeCell ref="G53:H53"/>
    <mergeCell ref="I53:J53"/>
    <mergeCell ref="G14:J16"/>
    <mergeCell ref="G17:J17"/>
    <mergeCell ref="G52:H52"/>
    <mergeCell ref="I54:J54"/>
    <mergeCell ref="G54:H54"/>
    <mergeCell ref="G55:H55"/>
    <mergeCell ref="B93:J93"/>
    <mergeCell ref="B48:J48"/>
    <mergeCell ref="B102:B131"/>
    <mergeCell ref="B137:B161"/>
    <mergeCell ref="I75:J75"/>
    <mergeCell ref="I68:J68"/>
    <mergeCell ref="G69:H69"/>
    <mergeCell ref="I97:J97"/>
    <mergeCell ref="I98:J98"/>
    <mergeCell ref="G98:H98"/>
    <mergeCell ref="G97:H97"/>
    <mergeCell ref="G79:H79"/>
    <mergeCell ref="I79:J79"/>
    <mergeCell ref="I56:J56"/>
    <mergeCell ref="G60:H60"/>
    <mergeCell ref="I60:J60"/>
    <mergeCell ref="G61:H61"/>
    <mergeCell ref="I61:J61"/>
    <mergeCell ref="G59:H59"/>
    <mergeCell ref="I59:J59"/>
    <mergeCell ref="G56:H56"/>
    <mergeCell ref="G57:H57"/>
    <mergeCell ref="I57:J57"/>
    <mergeCell ref="G64:H64"/>
    <mergeCell ref="B164:B167"/>
    <mergeCell ref="G158:H158"/>
    <mergeCell ref="G159:H159"/>
    <mergeCell ref="G160:H160"/>
    <mergeCell ref="I158:J158"/>
    <mergeCell ref="I159:J159"/>
    <mergeCell ref="I160:J160"/>
    <mergeCell ref="H424:I424"/>
    <mergeCell ref="B100:J100"/>
    <mergeCell ref="B416:D416"/>
    <mergeCell ref="B386:B387"/>
    <mergeCell ref="B311:J311"/>
    <mergeCell ref="B210:B214"/>
    <mergeCell ref="B287:B290"/>
    <mergeCell ref="B394:J394"/>
    <mergeCell ref="B372:J372"/>
    <mergeCell ref="B326:J326"/>
    <mergeCell ref="B292:J292"/>
    <mergeCell ref="B223:J223"/>
    <mergeCell ref="B235:C235"/>
    <mergeCell ref="G108:H108"/>
    <mergeCell ref="G109:H109"/>
    <mergeCell ref="G110:H110"/>
    <mergeCell ref="I108:J108"/>
    <mergeCell ref="G162:H162"/>
    <mergeCell ref="I162:J162"/>
    <mergeCell ref="G166:H166"/>
    <mergeCell ref="G167:H167"/>
    <mergeCell ref="I166:J166"/>
    <mergeCell ref="I167:J167"/>
    <mergeCell ref="G163:H163"/>
    <mergeCell ref="I163:J163"/>
    <mergeCell ref="G165:H165"/>
    <mergeCell ref="I165:J165"/>
    <mergeCell ref="G169:H169"/>
    <mergeCell ref="G170:H170"/>
    <mergeCell ref="I169:J169"/>
    <mergeCell ref="I170:J170"/>
    <mergeCell ref="G172:H172"/>
    <mergeCell ref="G173:H173"/>
    <mergeCell ref="I172:J172"/>
    <mergeCell ref="I173:J173"/>
    <mergeCell ref="G175:H175"/>
    <mergeCell ref="G177:H177"/>
    <mergeCell ref="I175:J175"/>
    <mergeCell ref="I177:J177"/>
    <mergeCell ref="G176:H176"/>
    <mergeCell ref="I176:J176"/>
    <mergeCell ref="G182:H182"/>
    <mergeCell ref="I182:J182"/>
    <mergeCell ref="I183:J183"/>
    <mergeCell ref="G183:H183"/>
    <mergeCell ref="G184:H184"/>
    <mergeCell ref="I184:J184"/>
    <mergeCell ref="G186:H186"/>
    <mergeCell ref="G187:H187"/>
    <mergeCell ref="G188:H188"/>
    <mergeCell ref="G189:H189"/>
    <mergeCell ref="G190:H190"/>
    <mergeCell ref="I186:J186"/>
    <mergeCell ref="I187:J187"/>
    <mergeCell ref="I188:J188"/>
    <mergeCell ref="I189:J189"/>
    <mergeCell ref="I190:J190"/>
  </mergeCells>
  <phoneticPr fontId="48" type="noConversion"/>
  <conditionalFormatting sqref="I91 I50:I58 I60:I67 I69:I88">
    <cfRule type="cellIs" dxfId="253" priority="71" operator="lessThan">
      <formula>0</formula>
    </cfRule>
  </conditionalFormatting>
  <conditionalFormatting sqref="I68">
    <cfRule type="cellIs" dxfId="252" priority="64" operator="lessThan">
      <formula>0</formula>
    </cfRule>
  </conditionalFormatting>
  <conditionalFormatting sqref="I96">
    <cfRule type="cellIs" dxfId="251" priority="63" operator="lessThan">
      <formula>0</formula>
    </cfRule>
  </conditionalFormatting>
  <conditionalFormatting sqref="I59">
    <cfRule type="cellIs" dxfId="250" priority="52" operator="lessThan">
      <formula>0</formula>
    </cfRule>
  </conditionalFormatting>
  <conditionalFormatting sqref="I89:I90">
    <cfRule type="cellIs" dxfId="249" priority="51" operator="lessThan">
      <formula>0</formula>
    </cfRule>
  </conditionalFormatting>
  <conditionalFormatting sqref="I103">
    <cfRule type="cellIs" dxfId="248" priority="50" operator="lessThan">
      <formula>0</formula>
    </cfRule>
  </conditionalFormatting>
  <conditionalFormatting sqref="I108">
    <cfRule type="cellIs" dxfId="247" priority="49" operator="lessThan">
      <formula>0</formula>
    </cfRule>
  </conditionalFormatting>
  <conditionalFormatting sqref="I112">
    <cfRule type="cellIs" dxfId="246" priority="48" operator="lessThan">
      <formula>0</formula>
    </cfRule>
  </conditionalFormatting>
  <conditionalFormatting sqref="I115">
    <cfRule type="cellIs" dxfId="245" priority="47" operator="lessThan">
      <formula>0</formula>
    </cfRule>
  </conditionalFormatting>
  <conditionalFormatting sqref="I118">
    <cfRule type="cellIs" dxfId="244" priority="46" operator="lessThan">
      <formula>0</formula>
    </cfRule>
  </conditionalFormatting>
  <conditionalFormatting sqref="I132">
    <cfRule type="cellIs" dxfId="243" priority="45" operator="lessThan">
      <formula>0</formula>
    </cfRule>
  </conditionalFormatting>
  <conditionalFormatting sqref="I138">
    <cfRule type="cellIs" dxfId="242" priority="44" operator="lessThan">
      <formula>0</formula>
    </cfRule>
  </conditionalFormatting>
  <conditionalFormatting sqref="I142">
    <cfRule type="cellIs" dxfId="241" priority="43" operator="lessThan">
      <formula>0</formula>
    </cfRule>
  </conditionalFormatting>
  <conditionalFormatting sqref="I150">
    <cfRule type="cellIs" dxfId="240" priority="42" operator="lessThan">
      <formula>0</formula>
    </cfRule>
  </conditionalFormatting>
  <conditionalFormatting sqref="I158">
    <cfRule type="cellIs" dxfId="239" priority="41" operator="lessThan">
      <formula>0</formula>
    </cfRule>
  </conditionalFormatting>
  <conditionalFormatting sqref="I165">
    <cfRule type="cellIs" dxfId="238" priority="40" operator="lessThan">
      <formula>0</formula>
    </cfRule>
  </conditionalFormatting>
  <conditionalFormatting sqref="I162">
    <cfRule type="cellIs" dxfId="237" priority="39" operator="lessThan">
      <formula>0</formula>
    </cfRule>
  </conditionalFormatting>
  <conditionalFormatting sqref="I169">
    <cfRule type="cellIs" dxfId="236" priority="38" operator="lessThan">
      <formula>0</formula>
    </cfRule>
  </conditionalFormatting>
  <conditionalFormatting sqref="I172">
    <cfRule type="cellIs" dxfId="235" priority="37" operator="lessThan">
      <formula>0</formula>
    </cfRule>
  </conditionalFormatting>
  <conditionalFormatting sqref="I175:I176">
    <cfRule type="cellIs" dxfId="234" priority="36" operator="lessThan">
      <formula>0</formula>
    </cfRule>
  </conditionalFormatting>
  <conditionalFormatting sqref="I182">
    <cfRule type="cellIs" dxfId="233" priority="35" operator="lessThan">
      <formula>0</formula>
    </cfRule>
  </conditionalFormatting>
  <conditionalFormatting sqref="I186">
    <cfRule type="cellIs" dxfId="232" priority="34" operator="lessThan">
      <formula>0</formula>
    </cfRule>
  </conditionalFormatting>
  <conditionalFormatting sqref="I95">
    <cfRule type="cellIs" dxfId="231" priority="33" operator="lessThan">
      <formula>0</formula>
    </cfRule>
  </conditionalFormatting>
  <conditionalFormatting sqref="I102">
    <cfRule type="cellIs" dxfId="230" priority="32" operator="lessThan">
      <formula>0</formula>
    </cfRule>
  </conditionalFormatting>
  <conditionalFormatting sqref="I107">
    <cfRule type="cellIs" dxfId="229" priority="31" operator="lessThan">
      <formula>0</formula>
    </cfRule>
  </conditionalFormatting>
  <conditionalFormatting sqref="I111">
    <cfRule type="cellIs" dxfId="228" priority="30" operator="lessThan">
      <formula>0</formula>
    </cfRule>
  </conditionalFormatting>
  <conditionalFormatting sqref="I114">
    <cfRule type="cellIs" dxfId="227" priority="29" operator="lessThan">
      <formula>0</formula>
    </cfRule>
  </conditionalFormatting>
  <conditionalFormatting sqref="I117">
    <cfRule type="cellIs" dxfId="226" priority="28" operator="lessThan">
      <formula>0</formula>
    </cfRule>
  </conditionalFormatting>
  <conditionalFormatting sqref="I131">
    <cfRule type="cellIs" dxfId="225" priority="27" operator="lessThan">
      <formula>0</formula>
    </cfRule>
  </conditionalFormatting>
  <conditionalFormatting sqref="I137">
    <cfRule type="cellIs" dxfId="224" priority="26" operator="lessThan">
      <formula>0</formula>
    </cfRule>
  </conditionalFormatting>
  <conditionalFormatting sqref="I141">
    <cfRule type="cellIs" dxfId="223" priority="25" operator="lessThan">
      <formula>0</formula>
    </cfRule>
  </conditionalFormatting>
  <conditionalFormatting sqref="I149">
    <cfRule type="cellIs" dxfId="222" priority="24" operator="lessThan">
      <formula>0</formula>
    </cfRule>
  </conditionalFormatting>
  <conditionalFormatting sqref="I157">
    <cfRule type="cellIs" dxfId="221" priority="23" operator="lessThan">
      <formula>0</formula>
    </cfRule>
  </conditionalFormatting>
  <conditionalFormatting sqref="I161">
    <cfRule type="cellIs" dxfId="220" priority="22" operator="lessThan">
      <formula>0</formula>
    </cfRule>
  </conditionalFormatting>
  <conditionalFormatting sqref="I164">
    <cfRule type="cellIs" dxfId="219" priority="21" operator="lessThan">
      <formula>0</formula>
    </cfRule>
  </conditionalFormatting>
  <conditionalFormatting sqref="I168">
    <cfRule type="cellIs" dxfId="218" priority="20" operator="lessThan">
      <formula>0</formula>
    </cfRule>
  </conditionalFormatting>
  <conditionalFormatting sqref="I171">
    <cfRule type="cellIs" dxfId="217" priority="19" operator="lessThan">
      <formula>0</formula>
    </cfRule>
  </conditionalFormatting>
  <conditionalFormatting sqref="I174">
    <cfRule type="cellIs" dxfId="216" priority="18" operator="lessThan">
      <formula>0</formula>
    </cfRule>
  </conditionalFormatting>
  <conditionalFormatting sqref="I181">
    <cfRule type="cellIs" dxfId="215" priority="17" operator="lessThan">
      <formula>0</formula>
    </cfRule>
  </conditionalFormatting>
  <conditionalFormatting sqref="I185">
    <cfRule type="cellIs" dxfId="214" priority="16" operator="lessThan">
      <formula>0</formula>
    </cfRule>
  </conditionalFormatting>
  <conditionalFormatting sqref="I204">
    <cfRule type="cellIs" dxfId="213" priority="15" operator="lessThan">
      <formula>0</formula>
    </cfRule>
  </conditionalFormatting>
  <conditionalFormatting sqref="I205">
    <cfRule type="cellIs" dxfId="212" priority="14" operator="lessThan">
      <formula>0</formula>
    </cfRule>
  </conditionalFormatting>
  <conditionalFormatting sqref="I209">
    <cfRule type="cellIs" dxfId="211" priority="13" operator="lessThan">
      <formula>0</formula>
    </cfRule>
  </conditionalFormatting>
  <conditionalFormatting sqref="I210">
    <cfRule type="cellIs" dxfId="210" priority="12" operator="lessThan">
      <formula>0</formula>
    </cfRule>
  </conditionalFormatting>
  <conditionalFormatting sqref="I211">
    <cfRule type="cellIs" dxfId="209" priority="11" operator="lessThan">
      <formula>0</formula>
    </cfRule>
  </conditionalFormatting>
  <conditionalFormatting sqref="I212">
    <cfRule type="cellIs" dxfId="208" priority="10" operator="lessThan">
      <formula>0</formula>
    </cfRule>
  </conditionalFormatting>
  <conditionalFormatting sqref="I213">
    <cfRule type="cellIs" dxfId="207" priority="9" operator="lessThan">
      <formula>0</formula>
    </cfRule>
  </conditionalFormatting>
  <conditionalFormatting sqref="I214">
    <cfRule type="cellIs" dxfId="206" priority="8" operator="lessThan">
      <formula>0</formula>
    </cfRule>
  </conditionalFormatting>
  <conditionalFormatting sqref="I215">
    <cfRule type="cellIs" dxfId="205" priority="7" operator="lessThan">
      <formula>0</formula>
    </cfRule>
  </conditionalFormatting>
  <conditionalFormatting sqref="I216">
    <cfRule type="cellIs" dxfId="204" priority="6" operator="lessThan">
      <formula>0</formula>
    </cfRule>
  </conditionalFormatting>
  <conditionalFormatting sqref="I217">
    <cfRule type="cellIs" dxfId="203" priority="5" operator="lessThan">
      <formula>0</formula>
    </cfRule>
  </conditionalFormatting>
  <conditionalFormatting sqref="I218">
    <cfRule type="cellIs" dxfId="202" priority="4" operator="lessThan">
      <formula>0</formula>
    </cfRule>
  </conditionalFormatting>
  <conditionalFormatting sqref="I219">
    <cfRule type="cellIs" dxfId="201" priority="3" operator="lessThan">
      <formula>0</formula>
    </cfRule>
  </conditionalFormatting>
  <conditionalFormatting sqref="I220">
    <cfRule type="cellIs" dxfId="200" priority="2" operator="lessThan">
      <formula>0</formula>
    </cfRule>
  </conditionalFormatting>
  <conditionalFormatting sqref="I221">
    <cfRule type="cellIs" dxfId="199" priority="1" operator="lessThan">
      <formula>0</formula>
    </cfRule>
  </conditionalFormatting>
  <hyperlinks>
    <hyperlink ref="C253" r:id="rId1"/>
  </hyperlinks>
  <pageMargins left="0.19685039370078741" right="0.19685039370078741" top="0.19685039370078741" bottom="0.19685039370078741" header="0.11811023622047245" footer="0.11811023622047245"/>
  <pageSetup paperSize="9" scale="70" orientation="landscape" r:id="rId2"/>
  <rowBreaks count="6" manualBreakCount="6">
    <brk id="47" min="1" max="15" man="1"/>
    <brk id="191" max="16383" man="1"/>
    <brk id="222" max="16383" man="1"/>
    <brk id="310" max="16383" man="1"/>
    <brk id="348" min="1" max="15" man="1"/>
    <brk id="393" max="16383" man="1"/>
  </rowBreaks>
  <colBreaks count="1" manualBreakCount="1">
    <brk id="11" max="1048575" man="1"/>
  </col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topLeftCell="A22" workbookViewId="0">
      <selection activeCell="C74" sqref="C74"/>
    </sheetView>
  </sheetViews>
  <sheetFormatPr defaultRowHeight="15"/>
  <cols>
    <col min="1" max="1" width="6.85546875" bestFit="1" customWidth="1"/>
    <col min="2" max="2" width="31" customWidth="1"/>
    <col min="3" max="3" width="48.140625" customWidth="1"/>
    <col min="4" max="4" width="8.28515625" bestFit="1" customWidth="1"/>
    <col min="5" max="5" width="26.5703125" customWidth="1"/>
    <col min="6" max="6" width="33.42578125" customWidth="1"/>
    <col min="7" max="7" width="9.28515625" customWidth="1"/>
    <col min="8" max="8" width="7.28515625" bestFit="1" customWidth="1"/>
    <col min="9" max="9" width="8.7109375" bestFit="1" customWidth="1"/>
    <col min="10" max="10" width="6.42578125" bestFit="1" customWidth="1"/>
    <col min="11" max="11" width="38.85546875" customWidth="1"/>
    <col min="13" max="13" width="16.85546875" bestFit="1" customWidth="1"/>
    <col min="14" max="14" width="6" bestFit="1" customWidth="1"/>
    <col min="15" max="15" width="6.42578125" bestFit="1" customWidth="1"/>
  </cols>
  <sheetData>
    <row r="1" spans="1:15" ht="21" thickBot="1">
      <c r="A1" s="655" t="s">
        <v>1339</v>
      </c>
      <c r="B1" s="656"/>
      <c r="C1" s="656"/>
      <c r="D1" s="656"/>
      <c r="E1" s="656"/>
      <c r="F1" s="656"/>
      <c r="G1" s="656"/>
      <c r="H1" s="657"/>
      <c r="I1" s="657"/>
      <c r="J1" s="657"/>
      <c r="K1" s="658"/>
      <c r="L1" s="294"/>
      <c r="M1" s="781" t="s">
        <v>1037</v>
      </c>
      <c r="N1" s="782"/>
      <c r="O1" s="783"/>
    </row>
    <row r="2" spans="1:15" ht="15.75">
      <c r="A2" s="659" t="s">
        <v>17</v>
      </c>
      <c r="B2" s="661" t="s">
        <v>789</v>
      </c>
      <c r="C2" s="661" t="s">
        <v>790</v>
      </c>
      <c r="D2" s="661" t="s">
        <v>791</v>
      </c>
      <c r="E2" s="661"/>
      <c r="F2" s="661"/>
      <c r="G2" s="661" t="s">
        <v>792</v>
      </c>
      <c r="H2" s="663" t="s">
        <v>367</v>
      </c>
      <c r="I2" s="664"/>
      <c r="J2" s="665" t="s">
        <v>793</v>
      </c>
      <c r="K2" s="667" t="s">
        <v>794</v>
      </c>
      <c r="L2" s="294"/>
      <c r="M2" s="688" t="s">
        <v>1038</v>
      </c>
      <c r="N2" s="689">
        <v>10</v>
      </c>
      <c r="O2" s="690" t="s">
        <v>793</v>
      </c>
    </row>
    <row r="3" spans="1:15" ht="32.25" thickBot="1">
      <c r="A3" s="660"/>
      <c r="B3" s="662"/>
      <c r="C3" s="662"/>
      <c r="D3" s="287" t="s">
        <v>795</v>
      </c>
      <c r="E3" s="287" t="s">
        <v>796</v>
      </c>
      <c r="F3" s="287" t="s">
        <v>797</v>
      </c>
      <c r="G3" s="662"/>
      <c r="H3" s="296" t="s">
        <v>25</v>
      </c>
      <c r="I3" s="296" t="s">
        <v>798</v>
      </c>
      <c r="J3" s="666"/>
      <c r="K3" s="668"/>
      <c r="L3" s="294"/>
      <c r="M3" s="768"/>
      <c r="N3" s="770"/>
      <c r="O3" s="771"/>
    </row>
    <row r="4" spans="1:15" ht="16.5" thickBot="1">
      <c r="A4" s="705" t="s">
        <v>799</v>
      </c>
      <c r="B4" s="706"/>
      <c r="C4" s="706"/>
      <c r="D4" s="706"/>
      <c r="E4" s="706"/>
      <c r="F4" s="706"/>
      <c r="G4" s="706"/>
      <c r="H4" s="706"/>
      <c r="I4" s="706"/>
      <c r="J4" s="706"/>
      <c r="K4" s="707"/>
      <c r="L4" s="294"/>
      <c r="M4" s="772" t="s">
        <v>1039</v>
      </c>
      <c r="N4" s="773"/>
      <c r="O4" s="774"/>
    </row>
    <row r="5" spans="1:15" ht="15.75">
      <c r="A5" s="297">
        <v>1</v>
      </c>
      <c r="B5" s="672" t="s">
        <v>1040</v>
      </c>
      <c r="C5" s="672"/>
      <c r="D5" s="672"/>
      <c r="E5" s="672"/>
      <c r="F5" s="672"/>
      <c r="G5" s="672"/>
      <c r="H5" s="672"/>
      <c r="I5" s="672"/>
      <c r="J5" s="672"/>
      <c r="K5" s="673"/>
      <c r="L5" s="294"/>
      <c r="M5" s="691"/>
      <c r="N5" s="692"/>
      <c r="O5" s="693"/>
    </row>
    <row r="6" spans="1:15" ht="16.5" thickBot="1">
      <c r="A6" s="298" t="s">
        <v>801</v>
      </c>
      <c r="B6" s="651" t="s">
        <v>2</v>
      </c>
      <c r="C6" s="651"/>
      <c r="D6" s="651"/>
      <c r="E6" s="651"/>
      <c r="F6" s="651"/>
      <c r="G6" s="651"/>
      <c r="H6" s="651"/>
      <c r="I6" s="651"/>
      <c r="J6" s="651"/>
      <c r="K6" s="652"/>
      <c r="L6" s="294"/>
      <c r="M6" s="775"/>
      <c r="N6" s="776"/>
      <c r="O6" s="777"/>
    </row>
    <row r="7" spans="1:15" ht="15.75" customHeight="1">
      <c r="A7" s="298" t="s">
        <v>802</v>
      </c>
      <c r="B7" s="369" t="s">
        <v>1253</v>
      </c>
      <c r="C7" s="369" t="s">
        <v>38</v>
      </c>
      <c r="D7" s="18" t="s">
        <v>771</v>
      </c>
      <c r="E7" s="18" t="s">
        <v>1117</v>
      </c>
      <c r="F7" s="18" t="s">
        <v>821</v>
      </c>
      <c r="G7" s="18">
        <v>1</v>
      </c>
      <c r="H7" s="18">
        <v>0.20200000000000001</v>
      </c>
      <c r="I7" s="18">
        <f>G7*H7</f>
        <v>0.20200000000000001</v>
      </c>
      <c r="J7" s="18" t="s">
        <v>807</v>
      </c>
      <c r="K7" s="299"/>
      <c r="L7" s="294"/>
      <c r="M7" s="377">
        <f>$N$2</f>
        <v>10</v>
      </c>
      <c r="N7" s="339">
        <f>M7*I7</f>
        <v>2.02</v>
      </c>
      <c r="O7" s="337" t="s">
        <v>807</v>
      </c>
    </row>
    <row r="8" spans="1:15" ht="16.5" customHeight="1">
      <c r="A8" s="298" t="s">
        <v>808</v>
      </c>
      <c r="B8" s="18" t="s">
        <v>1043</v>
      </c>
      <c r="C8" s="18" t="s">
        <v>124</v>
      </c>
      <c r="D8" s="18" t="s">
        <v>771</v>
      </c>
      <c r="E8" s="18" t="s">
        <v>773</v>
      </c>
      <c r="F8" s="18" t="s">
        <v>37</v>
      </c>
      <c r="G8" s="18">
        <v>1</v>
      </c>
      <c r="H8" s="18">
        <v>8.7999999999999995E-2</v>
      </c>
      <c r="I8" s="18">
        <f t="shared" ref="I8:I18" si="0">G8*H8</f>
        <v>8.7999999999999995E-2</v>
      </c>
      <c r="J8" s="18" t="s">
        <v>807</v>
      </c>
      <c r="K8" s="299"/>
      <c r="L8" s="294"/>
      <c r="M8" s="340">
        <f>$N$2</f>
        <v>10</v>
      </c>
      <c r="N8" s="70">
        <f>M8*I8</f>
        <v>0.87999999999999989</v>
      </c>
      <c r="O8" s="299" t="s">
        <v>807</v>
      </c>
    </row>
    <row r="9" spans="1:15" ht="15" customHeight="1">
      <c r="A9" s="298" t="s">
        <v>811</v>
      </c>
      <c r="B9" s="18" t="s">
        <v>1044</v>
      </c>
      <c r="C9" s="18" t="s">
        <v>1045</v>
      </c>
      <c r="D9" s="18" t="s">
        <v>771</v>
      </c>
      <c r="E9" s="18" t="s">
        <v>1046</v>
      </c>
      <c r="F9" s="18" t="s">
        <v>821</v>
      </c>
      <c r="G9" s="18">
        <v>1</v>
      </c>
      <c r="H9" s="18">
        <v>7.4999999999999997E-2</v>
      </c>
      <c r="I9" s="18">
        <f t="shared" si="0"/>
        <v>7.4999999999999997E-2</v>
      </c>
      <c r="J9" s="18" t="s">
        <v>807</v>
      </c>
      <c r="K9" s="299"/>
      <c r="L9" s="294"/>
      <c r="M9" s="340">
        <f>$N$2</f>
        <v>10</v>
      </c>
      <c r="N9" s="70">
        <f>M9*I9</f>
        <v>0.75</v>
      </c>
      <c r="O9" s="299" t="s">
        <v>807</v>
      </c>
    </row>
    <row r="10" spans="1:15" ht="14.25" customHeight="1">
      <c r="A10" s="298" t="s">
        <v>815</v>
      </c>
      <c r="B10" s="369" t="s">
        <v>1254</v>
      </c>
      <c r="C10" s="369" t="s">
        <v>853</v>
      </c>
      <c r="D10" s="18" t="s">
        <v>771</v>
      </c>
      <c r="E10" s="18" t="s">
        <v>820</v>
      </c>
      <c r="F10" s="18" t="s">
        <v>821</v>
      </c>
      <c r="G10" s="18">
        <v>1</v>
      </c>
      <c r="H10" s="18">
        <v>0.18</v>
      </c>
      <c r="I10" s="18">
        <f t="shared" si="0"/>
        <v>0.18</v>
      </c>
      <c r="J10" s="18" t="s">
        <v>807</v>
      </c>
      <c r="K10" s="299"/>
      <c r="L10" s="294"/>
      <c r="M10" s="340">
        <f>$N$2</f>
        <v>10</v>
      </c>
      <c r="N10" s="70">
        <f>M10*I10</f>
        <v>1.7999999999999998</v>
      </c>
      <c r="O10" s="299" t="s">
        <v>807</v>
      </c>
    </row>
    <row r="11" spans="1:15" ht="12" customHeight="1">
      <c r="A11" s="298" t="s">
        <v>818</v>
      </c>
      <c r="B11" s="18" t="s">
        <v>1047</v>
      </c>
      <c r="C11" s="18" t="s">
        <v>1048</v>
      </c>
      <c r="D11" s="18" t="s">
        <v>772</v>
      </c>
      <c r="E11" s="18" t="s">
        <v>774</v>
      </c>
      <c r="F11" s="18" t="s">
        <v>806</v>
      </c>
      <c r="G11" s="18">
        <v>1</v>
      </c>
      <c r="H11" s="18">
        <v>2.6000000000000002E-2</v>
      </c>
      <c r="I11" s="18">
        <f t="shared" si="0"/>
        <v>2.6000000000000002E-2</v>
      </c>
      <c r="J11" s="18" t="s">
        <v>807</v>
      </c>
      <c r="K11" s="299"/>
      <c r="L11" s="294"/>
      <c r="M11" s="340">
        <f>$N$2</f>
        <v>10</v>
      </c>
      <c r="N11" s="70">
        <f>M11*I11</f>
        <v>0.26</v>
      </c>
      <c r="O11" s="299" t="s">
        <v>807</v>
      </c>
    </row>
    <row r="12" spans="1:15" ht="15.75">
      <c r="A12" s="298" t="s">
        <v>1057</v>
      </c>
      <c r="B12" s="651" t="s">
        <v>839</v>
      </c>
      <c r="C12" s="651"/>
      <c r="D12" s="651"/>
      <c r="E12" s="651"/>
      <c r="F12" s="651"/>
      <c r="G12" s="651"/>
      <c r="H12" s="651"/>
      <c r="I12" s="651"/>
      <c r="J12" s="651"/>
      <c r="K12" s="652"/>
      <c r="L12" s="294"/>
      <c r="M12" s="711"/>
      <c r="N12" s="712"/>
      <c r="O12" s="713"/>
    </row>
    <row r="13" spans="1:15" ht="15.75">
      <c r="A13" s="298" t="s">
        <v>1058</v>
      </c>
      <c r="B13" s="18" t="s">
        <v>3</v>
      </c>
      <c r="C13" s="18" t="s">
        <v>1059</v>
      </c>
      <c r="D13" s="18" t="s">
        <v>3</v>
      </c>
      <c r="E13" s="18" t="s">
        <v>3</v>
      </c>
      <c r="F13" s="18" t="s">
        <v>762</v>
      </c>
      <c r="G13" s="18">
        <v>1</v>
      </c>
      <c r="H13" s="18">
        <v>1</v>
      </c>
      <c r="I13" s="18">
        <f t="shared" si="0"/>
        <v>1</v>
      </c>
      <c r="J13" s="18" t="s">
        <v>841</v>
      </c>
      <c r="K13" s="299"/>
      <c r="L13" s="294"/>
      <c r="M13" s="340">
        <f t="shared" ref="M13:M98" si="1">$N$2</f>
        <v>10</v>
      </c>
      <c r="N13" s="70">
        <f t="shared" ref="N13:N98" si="2">M13*I13</f>
        <v>10</v>
      </c>
      <c r="O13" s="299" t="s">
        <v>841</v>
      </c>
    </row>
    <row r="14" spans="1:15" ht="15.75">
      <c r="A14" s="298" t="s">
        <v>1061</v>
      </c>
      <c r="B14" s="18" t="s">
        <v>3</v>
      </c>
      <c r="C14" s="18" t="s">
        <v>1255</v>
      </c>
      <c r="D14" s="18" t="s">
        <v>3</v>
      </c>
      <c r="E14" s="18" t="s">
        <v>3</v>
      </c>
      <c r="F14" s="18" t="s">
        <v>1209</v>
      </c>
      <c r="G14" s="18">
        <v>1</v>
      </c>
      <c r="H14" s="18">
        <v>1</v>
      </c>
      <c r="I14" s="18">
        <f t="shared" si="0"/>
        <v>1</v>
      </c>
      <c r="J14" s="18" t="s">
        <v>841</v>
      </c>
      <c r="K14" s="299"/>
      <c r="L14" s="294"/>
      <c r="M14" s="340">
        <f t="shared" si="1"/>
        <v>10</v>
      </c>
      <c r="N14" s="70">
        <f t="shared" si="2"/>
        <v>10</v>
      </c>
      <c r="O14" s="299" t="s">
        <v>841</v>
      </c>
    </row>
    <row r="15" spans="1:15" ht="15.75">
      <c r="A15" s="298" t="s">
        <v>1064</v>
      </c>
      <c r="B15" s="18" t="s">
        <v>3</v>
      </c>
      <c r="C15" s="18" t="s">
        <v>1256</v>
      </c>
      <c r="D15" s="18" t="s">
        <v>3</v>
      </c>
      <c r="E15" s="18" t="s">
        <v>3</v>
      </c>
      <c r="F15" s="18" t="s">
        <v>3</v>
      </c>
      <c r="G15" s="18">
        <v>1</v>
      </c>
      <c r="H15" s="18">
        <v>1</v>
      </c>
      <c r="I15" s="18">
        <f t="shared" si="0"/>
        <v>1</v>
      </c>
      <c r="J15" s="18" t="s">
        <v>841</v>
      </c>
      <c r="K15" s="299"/>
      <c r="L15" s="294"/>
      <c r="M15" s="340">
        <f t="shared" si="1"/>
        <v>10</v>
      </c>
      <c r="N15" s="70">
        <f t="shared" si="2"/>
        <v>10</v>
      </c>
      <c r="O15" s="299" t="s">
        <v>841</v>
      </c>
    </row>
    <row r="16" spans="1:15" ht="15.75">
      <c r="A16" s="298" t="s">
        <v>1067</v>
      </c>
      <c r="B16" s="18" t="s">
        <v>3</v>
      </c>
      <c r="C16" s="18" t="s">
        <v>1079</v>
      </c>
      <c r="D16" s="18" t="s">
        <v>3</v>
      </c>
      <c r="E16" s="18" t="s">
        <v>3</v>
      </c>
      <c r="F16" s="18" t="s">
        <v>3</v>
      </c>
      <c r="G16" s="18">
        <v>1</v>
      </c>
      <c r="H16" s="18">
        <v>1</v>
      </c>
      <c r="I16" s="18">
        <f t="shared" si="0"/>
        <v>1</v>
      </c>
      <c r="J16" s="18" t="s">
        <v>841</v>
      </c>
      <c r="K16" s="299"/>
      <c r="L16" s="294"/>
      <c r="M16" s="340">
        <f t="shared" si="1"/>
        <v>10</v>
      </c>
      <c r="N16" s="70">
        <f t="shared" si="2"/>
        <v>10</v>
      </c>
      <c r="O16" s="299" t="s">
        <v>841</v>
      </c>
    </row>
    <row r="17" spans="1:15" ht="15.75">
      <c r="A17" s="298" t="s">
        <v>1070</v>
      </c>
      <c r="B17" s="18" t="s">
        <v>3</v>
      </c>
      <c r="C17" s="18" t="s">
        <v>1081</v>
      </c>
      <c r="D17" s="18" t="s">
        <v>3</v>
      </c>
      <c r="E17" s="18" t="s">
        <v>3</v>
      </c>
      <c r="F17" s="18" t="s">
        <v>3</v>
      </c>
      <c r="G17" s="18">
        <v>1</v>
      </c>
      <c r="H17" s="18">
        <v>1</v>
      </c>
      <c r="I17" s="18">
        <f t="shared" si="0"/>
        <v>1</v>
      </c>
      <c r="J17" s="18" t="s">
        <v>841</v>
      </c>
      <c r="K17" s="299"/>
      <c r="L17" s="294"/>
      <c r="M17" s="340">
        <f t="shared" si="1"/>
        <v>10</v>
      </c>
      <c r="N17" s="70">
        <f t="shared" si="2"/>
        <v>10</v>
      </c>
      <c r="O17" s="299" t="s">
        <v>841</v>
      </c>
    </row>
    <row r="18" spans="1:15" ht="16.5" thickBot="1">
      <c r="A18" s="298" t="s">
        <v>1072</v>
      </c>
      <c r="B18" s="34" t="s">
        <v>3</v>
      </c>
      <c r="C18" s="34" t="s">
        <v>1085</v>
      </c>
      <c r="D18" s="34" t="s">
        <v>3</v>
      </c>
      <c r="E18" s="34" t="s">
        <v>3</v>
      </c>
      <c r="F18" s="34" t="s">
        <v>3</v>
      </c>
      <c r="G18" s="34">
        <v>1</v>
      </c>
      <c r="H18" s="34">
        <v>1</v>
      </c>
      <c r="I18" s="34">
        <f t="shared" si="0"/>
        <v>1</v>
      </c>
      <c r="J18" s="34" t="s">
        <v>841</v>
      </c>
      <c r="K18" s="315"/>
      <c r="L18" s="294"/>
      <c r="M18" s="340">
        <f t="shared" si="1"/>
        <v>10</v>
      </c>
      <c r="N18" s="70">
        <f t="shared" si="2"/>
        <v>10</v>
      </c>
      <c r="O18" s="299" t="s">
        <v>841</v>
      </c>
    </row>
    <row r="19" spans="1:15" ht="15.75">
      <c r="A19" s="297" t="s">
        <v>822</v>
      </c>
      <c r="B19" s="672" t="s">
        <v>823</v>
      </c>
      <c r="C19" s="672"/>
      <c r="D19" s="672"/>
      <c r="E19" s="672"/>
      <c r="F19" s="672"/>
      <c r="G19" s="672"/>
      <c r="H19" s="672"/>
      <c r="I19" s="672"/>
      <c r="J19" s="672"/>
      <c r="K19" s="673"/>
      <c r="L19" s="294"/>
      <c r="M19" s="711"/>
      <c r="N19" s="712"/>
      <c r="O19" s="713"/>
    </row>
    <row r="20" spans="1:15" ht="15.75">
      <c r="A20" s="298" t="s">
        <v>824</v>
      </c>
      <c r="B20" s="651" t="s">
        <v>2</v>
      </c>
      <c r="C20" s="651"/>
      <c r="D20" s="651"/>
      <c r="E20" s="651"/>
      <c r="F20" s="651"/>
      <c r="G20" s="651"/>
      <c r="H20" s="651"/>
      <c r="I20" s="651"/>
      <c r="J20" s="651"/>
      <c r="K20" s="652"/>
      <c r="L20" s="294"/>
      <c r="M20" s="711"/>
      <c r="N20" s="712"/>
      <c r="O20" s="713"/>
    </row>
    <row r="21" spans="1:15" ht="16.5" customHeight="1">
      <c r="A21" s="298" t="s">
        <v>825</v>
      </c>
      <c r="B21" s="18" t="s">
        <v>826</v>
      </c>
      <c r="C21" s="18" t="s">
        <v>827</v>
      </c>
      <c r="D21" s="18" t="s">
        <v>777</v>
      </c>
      <c r="E21" s="18" t="s">
        <v>775</v>
      </c>
      <c r="F21" s="18" t="s">
        <v>828</v>
      </c>
      <c r="G21" s="18">
        <v>1</v>
      </c>
      <c r="H21" s="18">
        <v>0.28699999999999998</v>
      </c>
      <c r="I21" s="18">
        <f t="shared" ref="I21:I25" si="3">G21*H21</f>
        <v>0.28699999999999998</v>
      </c>
      <c r="J21" s="18" t="s">
        <v>807</v>
      </c>
      <c r="K21" s="299"/>
      <c r="L21" s="294"/>
      <c r="M21" s="340">
        <f t="shared" si="1"/>
        <v>10</v>
      </c>
      <c r="N21" s="70">
        <f t="shared" si="2"/>
        <v>2.8699999999999997</v>
      </c>
      <c r="O21" s="299" t="s">
        <v>807</v>
      </c>
    </row>
    <row r="22" spans="1:15" ht="20.25" customHeight="1">
      <c r="A22" s="298" t="s">
        <v>829</v>
      </c>
      <c r="B22" s="18" t="s">
        <v>830</v>
      </c>
      <c r="C22" s="18" t="s">
        <v>5</v>
      </c>
      <c r="D22" s="18" t="s">
        <v>772</v>
      </c>
      <c r="E22" s="18" t="s">
        <v>779</v>
      </c>
      <c r="F22" s="18" t="s">
        <v>831</v>
      </c>
      <c r="G22" s="18">
        <v>1</v>
      </c>
      <c r="H22" s="18">
        <v>1.3999999999999999E-2</v>
      </c>
      <c r="I22" s="18">
        <f t="shared" si="3"/>
        <v>1.3999999999999999E-2</v>
      </c>
      <c r="J22" s="18" t="s">
        <v>807</v>
      </c>
      <c r="K22" s="299"/>
      <c r="L22" s="294"/>
      <c r="M22" s="340">
        <f t="shared" si="1"/>
        <v>10</v>
      </c>
      <c r="N22" s="70">
        <f t="shared" si="2"/>
        <v>0.13999999999999999</v>
      </c>
      <c r="O22" s="299" t="s">
        <v>807</v>
      </c>
    </row>
    <row r="23" spans="1:15" ht="16.5" customHeight="1">
      <c r="A23" s="298" t="s">
        <v>832</v>
      </c>
      <c r="B23" s="18" t="s">
        <v>833</v>
      </c>
      <c r="C23" s="18" t="s">
        <v>7</v>
      </c>
      <c r="D23" s="18" t="s">
        <v>778</v>
      </c>
      <c r="E23" s="18" t="s">
        <v>776</v>
      </c>
      <c r="F23" s="18" t="s">
        <v>834</v>
      </c>
      <c r="G23" s="18">
        <v>1</v>
      </c>
      <c r="H23" s="18">
        <v>2E-3</v>
      </c>
      <c r="I23" s="18">
        <f t="shared" si="3"/>
        <v>2E-3</v>
      </c>
      <c r="J23" s="18" t="s">
        <v>807</v>
      </c>
      <c r="K23" s="299"/>
      <c r="L23" s="294"/>
      <c r="M23" s="340">
        <f t="shared" si="1"/>
        <v>10</v>
      </c>
      <c r="N23" s="70">
        <f t="shared" si="2"/>
        <v>0.02</v>
      </c>
      <c r="O23" s="299" t="s">
        <v>807</v>
      </c>
    </row>
    <row r="24" spans="1:15" ht="15.75">
      <c r="A24" s="298" t="s">
        <v>838</v>
      </c>
      <c r="B24" s="651" t="s">
        <v>839</v>
      </c>
      <c r="C24" s="651"/>
      <c r="D24" s="651"/>
      <c r="E24" s="651"/>
      <c r="F24" s="651"/>
      <c r="G24" s="651"/>
      <c r="H24" s="651"/>
      <c r="I24" s="651"/>
      <c r="J24" s="651"/>
      <c r="K24" s="652"/>
      <c r="L24" s="294"/>
      <c r="M24" s="711"/>
      <c r="N24" s="712"/>
      <c r="O24" s="713"/>
    </row>
    <row r="25" spans="1:15" ht="16.5" thickBot="1">
      <c r="A25" s="305" t="s">
        <v>840</v>
      </c>
      <c r="B25" s="34" t="s">
        <v>3</v>
      </c>
      <c r="C25" s="34" t="s">
        <v>780</v>
      </c>
      <c r="D25" s="34" t="s">
        <v>3</v>
      </c>
      <c r="E25" s="34" t="s">
        <v>3</v>
      </c>
      <c r="F25" s="18" t="s">
        <v>36</v>
      </c>
      <c r="G25" s="34">
        <v>1</v>
      </c>
      <c r="H25" s="34">
        <v>1</v>
      </c>
      <c r="I25" s="34">
        <f t="shared" si="3"/>
        <v>1</v>
      </c>
      <c r="J25" s="34" t="s">
        <v>841</v>
      </c>
      <c r="K25" s="315"/>
      <c r="L25" s="294"/>
      <c r="M25" s="340">
        <f t="shared" si="1"/>
        <v>10</v>
      </c>
      <c r="N25" s="70">
        <f t="shared" si="2"/>
        <v>10</v>
      </c>
      <c r="O25" s="299" t="s">
        <v>841</v>
      </c>
    </row>
    <row r="26" spans="1:15" ht="15.75">
      <c r="A26" s="297">
        <v>3</v>
      </c>
      <c r="B26" s="672" t="s">
        <v>1257</v>
      </c>
      <c r="C26" s="672"/>
      <c r="D26" s="672"/>
      <c r="E26" s="672"/>
      <c r="F26" s="672"/>
      <c r="G26" s="672"/>
      <c r="H26" s="672"/>
      <c r="I26" s="672"/>
      <c r="J26" s="672"/>
      <c r="K26" s="673"/>
      <c r="L26" s="294"/>
      <c r="M26" s="711"/>
      <c r="N26" s="712"/>
      <c r="O26" s="713"/>
    </row>
    <row r="27" spans="1:15" ht="15.75">
      <c r="A27" s="298" t="s">
        <v>843</v>
      </c>
      <c r="B27" s="651" t="s">
        <v>2</v>
      </c>
      <c r="C27" s="651"/>
      <c r="D27" s="651"/>
      <c r="E27" s="651"/>
      <c r="F27" s="651"/>
      <c r="G27" s="651"/>
      <c r="H27" s="651"/>
      <c r="I27" s="651"/>
      <c r="J27" s="651"/>
      <c r="K27" s="652"/>
      <c r="L27" s="294"/>
      <c r="M27" s="711"/>
      <c r="N27" s="712"/>
      <c r="O27" s="713"/>
    </row>
    <row r="28" spans="1:15" ht="18" customHeight="1">
      <c r="A28" s="298" t="s">
        <v>844</v>
      </c>
      <c r="B28" s="369" t="s">
        <v>1258</v>
      </c>
      <c r="C28" s="369" t="s">
        <v>770</v>
      </c>
      <c r="D28" s="369" t="s">
        <v>770</v>
      </c>
      <c r="E28" s="18" t="s">
        <v>1259</v>
      </c>
      <c r="F28" s="18" t="s">
        <v>1097</v>
      </c>
      <c r="G28" s="18">
        <v>1</v>
      </c>
      <c r="H28" s="18">
        <v>1.1439999999999999</v>
      </c>
      <c r="I28" s="18">
        <f t="shared" ref="I28:I35" si="4">G28*H28</f>
        <v>1.1439999999999999</v>
      </c>
      <c r="J28" s="18" t="s">
        <v>807</v>
      </c>
      <c r="K28" s="299"/>
      <c r="L28" s="294"/>
      <c r="M28" s="340">
        <f t="shared" si="1"/>
        <v>10</v>
      </c>
      <c r="N28" s="70">
        <f t="shared" si="2"/>
        <v>11.44</v>
      </c>
      <c r="O28" s="299" t="s">
        <v>807</v>
      </c>
    </row>
    <row r="29" spans="1:15" ht="16.5" customHeight="1">
      <c r="A29" s="298" t="s">
        <v>848</v>
      </c>
      <c r="B29" s="369" t="s">
        <v>1340</v>
      </c>
      <c r="C29" s="369" t="s">
        <v>770</v>
      </c>
      <c r="D29" s="369" t="s">
        <v>770</v>
      </c>
      <c r="E29" s="18" t="s">
        <v>1259</v>
      </c>
      <c r="F29" s="18" t="s">
        <v>1097</v>
      </c>
      <c r="G29" s="31">
        <v>1</v>
      </c>
      <c r="H29" s="18">
        <v>0.80100000000000005</v>
      </c>
      <c r="I29" s="18">
        <f t="shared" si="4"/>
        <v>0.80100000000000005</v>
      </c>
      <c r="J29" s="18" t="s">
        <v>807</v>
      </c>
      <c r="K29" s="308"/>
      <c r="L29" s="294"/>
      <c r="M29" s="340">
        <f t="shared" si="1"/>
        <v>10</v>
      </c>
      <c r="N29" s="70">
        <f t="shared" si="2"/>
        <v>8.01</v>
      </c>
      <c r="O29" s="299" t="s">
        <v>807</v>
      </c>
    </row>
    <row r="30" spans="1:15" ht="18.75" customHeight="1">
      <c r="A30" s="298" t="s">
        <v>851</v>
      </c>
      <c r="B30" s="369" t="s">
        <v>1341</v>
      </c>
      <c r="C30" s="369" t="s">
        <v>770</v>
      </c>
      <c r="D30" s="369" t="s">
        <v>770</v>
      </c>
      <c r="E30" s="18" t="s">
        <v>1259</v>
      </c>
      <c r="F30" s="18" t="s">
        <v>1097</v>
      </c>
      <c r="G30" s="31">
        <v>1</v>
      </c>
      <c r="H30" s="18">
        <v>0.53400000000000003</v>
      </c>
      <c r="I30" s="18">
        <f t="shared" si="4"/>
        <v>0.53400000000000003</v>
      </c>
      <c r="J30" s="18" t="s">
        <v>807</v>
      </c>
      <c r="K30" s="308"/>
      <c r="L30" s="294"/>
      <c r="M30" s="340">
        <f t="shared" si="1"/>
        <v>10</v>
      </c>
      <c r="N30" s="70">
        <f t="shared" si="2"/>
        <v>5.34</v>
      </c>
      <c r="O30" s="299" t="s">
        <v>807</v>
      </c>
    </row>
    <row r="31" spans="1:15" ht="20.25" customHeight="1">
      <c r="A31" s="298" t="s">
        <v>854</v>
      </c>
      <c r="B31" s="369" t="s">
        <v>1342</v>
      </c>
      <c r="C31" s="369" t="s">
        <v>770</v>
      </c>
      <c r="D31" s="369" t="s">
        <v>770</v>
      </c>
      <c r="E31" s="18" t="s">
        <v>1259</v>
      </c>
      <c r="F31" s="18" t="s">
        <v>1097</v>
      </c>
      <c r="G31" s="31">
        <v>1</v>
      </c>
      <c r="H31" s="18">
        <v>0.47099999999999997</v>
      </c>
      <c r="I31" s="18">
        <f t="shared" si="4"/>
        <v>0.47099999999999997</v>
      </c>
      <c r="J31" s="18" t="s">
        <v>807</v>
      </c>
      <c r="K31" s="304"/>
      <c r="L31" s="294"/>
      <c r="M31" s="340">
        <f t="shared" si="1"/>
        <v>10</v>
      </c>
      <c r="N31" s="70">
        <f t="shared" si="2"/>
        <v>4.71</v>
      </c>
      <c r="O31" s="299" t="s">
        <v>807</v>
      </c>
    </row>
    <row r="32" spans="1:15" ht="16.5" customHeight="1">
      <c r="A32" s="298" t="s">
        <v>857</v>
      </c>
      <c r="B32" s="369" t="s">
        <v>1263</v>
      </c>
      <c r="C32" s="369" t="s">
        <v>1264</v>
      </c>
      <c r="D32" s="18" t="s">
        <v>771</v>
      </c>
      <c r="E32" s="18" t="s">
        <v>1117</v>
      </c>
      <c r="F32" s="18" t="s">
        <v>821</v>
      </c>
      <c r="G32" s="31">
        <v>1</v>
      </c>
      <c r="H32" s="18">
        <v>0.40400000000000003</v>
      </c>
      <c r="I32" s="18">
        <f t="shared" si="4"/>
        <v>0.40400000000000003</v>
      </c>
      <c r="J32" s="18" t="s">
        <v>807</v>
      </c>
      <c r="K32" s="304"/>
      <c r="L32" s="294"/>
      <c r="M32" s="340">
        <f t="shared" si="1"/>
        <v>10</v>
      </c>
      <c r="N32" s="70">
        <f t="shared" si="2"/>
        <v>4.04</v>
      </c>
      <c r="O32" s="299" t="s">
        <v>807</v>
      </c>
    </row>
    <row r="33" spans="1:15" ht="18" customHeight="1">
      <c r="A33" s="298" t="s">
        <v>860</v>
      </c>
      <c r="B33" s="369" t="s">
        <v>1265</v>
      </c>
      <c r="C33" s="369" t="s">
        <v>134</v>
      </c>
      <c r="D33" s="18" t="s">
        <v>771</v>
      </c>
      <c r="E33" s="18" t="s">
        <v>1117</v>
      </c>
      <c r="F33" s="18" t="s">
        <v>821</v>
      </c>
      <c r="G33" s="31">
        <v>1</v>
      </c>
      <c r="H33" s="18">
        <v>0.60599999999999998</v>
      </c>
      <c r="I33" s="18">
        <f t="shared" si="4"/>
        <v>0.60599999999999998</v>
      </c>
      <c r="J33" s="18" t="s">
        <v>807</v>
      </c>
      <c r="K33" s="304"/>
      <c r="L33" s="294"/>
      <c r="M33" s="340">
        <f t="shared" si="1"/>
        <v>10</v>
      </c>
      <c r="N33" s="70">
        <f t="shared" si="2"/>
        <v>6.06</v>
      </c>
      <c r="O33" s="299" t="s">
        <v>807</v>
      </c>
    </row>
    <row r="34" spans="1:15" ht="18" customHeight="1">
      <c r="A34" s="298" t="s">
        <v>864</v>
      </c>
      <c r="B34" s="369" t="s">
        <v>1266</v>
      </c>
      <c r="C34" s="369" t="s">
        <v>1267</v>
      </c>
      <c r="D34" s="18" t="s">
        <v>771</v>
      </c>
      <c r="E34" s="18" t="s">
        <v>1117</v>
      </c>
      <c r="F34" s="18" t="s">
        <v>821</v>
      </c>
      <c r="G34" s="31">
        <v>1</v>
      </c>
      <c r="H34" s="18">
        <v>0.505</v>
      </c>
      <c r="I34" s="18">
        <f t="shared" si="4"/>
        <v>0.505</v>
      </c>
      <c r="J34" s="18" t="s">
        <v>807</v>
      </c>
      <c r="K34" s="304"/>
      <c r="L34" s="294"/>
      <c r="M34" s="340">
        <f t="shared" si="1"/>
        <v>10</v>
      </c>
      <c r="N34" s="70">
        <f t="shared" si="2"/>
        <v>5.05</v>
      </c>
      <c r="O34" s="299" t="s">
        <v>807</v>
      </c>
    </row>
    <row r="35" spans="1:15" ht="28.5" customHeight="1" thickBot="1">
      <c r="A35" s="305" t="s">
        <v>871</v>
      </c>
      <c r="B35" s="34" t="s">
        <v>1268</v>
      </c>
      <c r="C35" s="34" t="s">
        <v>875</v>
      </c>
      <c r="D35" s="34" t="s">
        <v>772</v>
      </c>
      <c r="E35" s="34" t="s">
        <v>779</v>
      </c>
      <c r="F35" s="34" t="s">
        <v>831</v>
      </c>
      <c r="G35" s="343">
        <v>2</v>
      </c>
      <c r="H35" s="34">
        <v>0.158</v>
      </c>
      <c r="I35" s="34">
        <f t="shared" si="4"/>
        <v>0.316</v>
      </c>
      <c r="J35" s="34" t="s">
        <v>807</v>
      </c>
      <c r="K35" s="370"/>
      <c r="L35" s="294"/>
      <c r="M35" s="340">
        <f t="shared" si="1"/>
        <v>10</v>
      </c>
      <c r="N35" s="70">
        <f t="shared" si="2"/>
        <v>3.16</v>
      </c>
      <c r="O35" s="299" t="s">
        <v>807</v>
      </c>
    </row>
    <row r="36" spans="1:15" ht="15.75">
      <c r="A36" s="297" t="s">
        <v>881</v>
      </c>
      <c r="B36" s="672" t="s">
        <v>1099</v>
      </c>
      <c r="C36" s="672"/>
      <c r="D36" s="672"/>
      <c r="E36" s="672"/>
      <c r="F36" s="672"/>
      <c r="G36" s="672"/>
      <c r="H36" s="672"/>
      <c r="I36" s="672"/>
      <c r="J36" s="672"/>
      <c r="K36" s="673"/>
      <c r="M36" s="711"/>
      <c r="N36" s="712"/>
      <c r="O36" s="713"/>
    </row>
    <row r="37" spans="1:15" ht="15.75">
      <c r="A37" s="298" t="s">
        <v>882</v>
      </c>
      <c r="B37" s="651" t="s">
        <v>2</v>
      </c>
      <c r="C37" s="651"/>
      <c r="D37" s="651"/>
      <c r="E37" s="651"/>
      <c r="F37" s="651"/>
      <c r="G37" s="651"/>
      <c r="H37" s="651"/>
      <c r="I37" s="651"/>
      <c r="J37" s="651"/>
      <c r="K37" s="652"/>
      <c r="M37" s="711"/>
      <c r="N37" s="712"/>
      <c r="O37" s="713"/>
    </row>
    <row r="38" spans="1:15" ht="17.25" customHeight="1">
      <c r="A38" s="298" t="s">
        <v>883</v>
      </c>
      <c r="B38" s="18" t="s">
        <v>1100</v>
      </c>
      <c r="C38" s="18" t="s">
        <v>800</v>
      </c>
      <c r="D38" s="18" t="s">
        <v>771</v>
      </c>
      <c r="E38" s="18" t="s">
        <v>1101</v>
      </c>
      <c r="F38" s="18" t="s">
        <v>821</v>
      </c>
      <c r="G38" s="18">
        <v>1</v>
      </c>
      <c r="H38" s="18">
        <v>4.2000000000000003E-2</v>
      </c>
      <c r="I38" s="18">
        <f>G38*H38</f>
        <v>4.2000000000000003E-2</v>
      </c>
      <c r="J38" s="18" t="s">
        <v>807</v>
      </c>
      <c r="K38" s="299"/>
      <c r="M38" s="340">
        <f t="shared" si="1"/>
        <v>10</v>
      </c>
      <c r="N38" s="70">
        <f t="shared" si="2"/>
        <v>0.42000000000000004</v>
      </c>
      <c r="O38" s="299" t="s">
        <v>807</v>
      </c>
    </row>
    <row r="39" spans="1:15" ht="16.5" customHeight="1">
      <c r="A39" s="298" t="s">
        <v>885</v>
      </c>
      <c r="B39" s="18" t="s">
        <v>1102</v>
      </c>
      <c r="C39" s="18" t="s">
        <v>1103</v>
      </c>
      <c r="D39" s="18" t="s">
        <v>771</v>
      </c>
      <c r="E39" s="18" t="s">
        <v>1104</v>
      </c>
      <c r="F39" s="18" t="s">
        <v>1105</v>
      </c>
      <c r="G39" s="31">
        <v>1</v>
      </c>
      <c r="H39" s="18">
        <v>2.1000000000000001E-2</v>
      </c>
      <c r="I39" s="18">
        <f t="shared" ref="I39:I40" si="5">G39*H39</f>
        <v>2.1000000000000001E-2</v>
      </c>
      <c r="J39" s="18" t="s">
        <v>807</v>
      </c>
      <c r="K39" s="308"/>
      <c r="M39" s="340">
        <f t="shared" si="1"/>
        <v>10</v>
      </c>
      <c r="N39" s="70">
        <f t="shared" si="2"/>
        <v>0.21000000000000002</v>
      </c>
      <c r="O39" s="299" t="s">
        <v>807</v>
      </c>
    </row>
    <row r="40" spans="1:15" ht="16.5" customHeight="1">
      <c r="A40" s="298" t="s">
        <v>887</v>
      </c>
      <c r="B40" s="18" t="s">
        <v>1106</v>
      </c>
      <c r="C40" s="18" t="s">
        <v>1107</v>
      </c>
      <c r="D40" s="18" t="s">
        <v>771</v>
      </c>
      <c r="E40" s="18" t="s">
        <v>1101</v>
      </c>
      <c r="F40" s="18" t="s">
        <v>821</v>
      </c>
      <c r="G40" s="31">
        <v>1</v>
      </c>
      <c r="H40" s="18">
        <v>4.2000000000000003E-2</v>
      </c>
      <c r="I40" s="18">
        <f t="shared" si="5"/>
        <v>4.2000000000000003E-2</v>
      </c>
      <c r="J40" s="18" t="s">
        <v>807</v>
      </c>
      <c r="K40" s="308"/>
      <c r="M40" s="340">
        <f t="shared" si="1"/>
        <v>10</v>
      </c>
      <c r="N40" s="70">
        <f t="shared" si="2"/>
        <v>0.42000000000000004</v>
      </c>
      <c r="O40" s="299" t="s">
        <v>807</v>
      </c>
    </row>
    <row r="41" spans="1:15" ht="15.75">
      <c r="A41" s="298" t="s">
        <v>1108</v>
      </c>
      <c r="B41" s="651" t="s">
        <v>839</v>
      </c>
      <c r="C41" s="651"/>
      <c r="D41" s="651"/>
      <c r="E41" s="651"/>
      <c r="F41" s="651"/>
      <c r="G41" s="651"/>
      <c r="H41" s="651"/>
      <c r="I41" s="651"/>
      <c r="J41" s="651"/>
      <c r="K41" s="652"/>
      <c r="M41" s="711"/>
      <c r="N41" s="712"/>
      <c r="O41" s="713"/>
    </row>
    <row r="42" spans="1:15" ht="15.75">
      <c r="A42" s="298" t="s">
        <v>1109</v>
      </c>
      <c r="B42" s="334" t="s">
        <v>3</v>
      </c>
      <c r="C42" s="18" t="s">
        <v>236</v>
      </c>
      <c r="D42" s="18" t="s">
        <v>3</v>
      </c>
      <c r="E42" s="18" t="s">
        <v>3</v>
      </c>
      <c r="F42" s="18" t="s">
        <v>53</v>
      </c>
      <c r="G42" s="31">
        <v>1</v>
      </c>
      <c r="H42" s="31">
        <v>1</v>
      </c>
      <c r="I42" s="18">
        <f>G42*H42</f>
        <v>1</v>
      </c>
      <c r="J42" s="18" t="s">
        <v>841</v>
      </c>
      <c r="K42" s="335"/>
      <c r="M42" s="340">
        <f t="shared" si="1"/>
        <v>10</v>
      </c>
      <c r="N42" s="70">
        <f t="shared" si="2"/>
        <v>10</v>
      </c>
      <c r="O42" s="299" t="s">
        <v>841</v>
      </c>
    </row>
    <row r="43" spans="1:15" ht="16.5" thickBot="1">
      <c r="A43" s="300" t="s">
        <v>1110</v>
      </c>
      <c r="B43" s="344" t="s">
        <v>3</v>
      </c>
      <c r="C43" s="287" t="s">
        <v>1083</v>
      </c>
      <c r="D43" s="287" t="s">
        <v>3</v>
      </c>
      <c r="E43" s="287" t="s">
        <v>3</v>
      </c>
      <c r="F43" s="287" t="s">
        <v>3</v>
      </c>
      <c r="G43" s="345">
        <v>1</v>
      </c>
      <c r="H43" s="345">
        <v>1</v>
      </c>
      <c r="I43" s="287">
        <f>G43*H43</f>
        <v>1</v>
      </c>
      <c r="J43" s="287" t="s">
        <v>841</v>
      </c>
      <c r="K43" s="346"/>
      <c r="M43" s="340">
        <f t="shared" si="1"/>
        <v>10</v>
      </c>
      <c r="N43" s="70">
        <f t="shared" si="2"/>
        <v>10</v>
      </c>
      <c r="O43" s="299" t="s">
        <v>841</v>
      </c>
    </row>
    <row r="44" spans="1:15" ht="16.5" thickBot="1">
      <c r="A44" s="732" t="s">
        <v>2</v>
      </c>
      <c r="B44" s="733"/>
      <c r="C44" s="733"/>
      <c r="D44" s="733"/>
      <c r="E44" s="733"/>
      <c r="F44" s="733"/>
      <c r="G44" s="733"/>
      <c r="H44" s="733"/>
      <c r="I44" s="733"/>
      <c r="J44" s="733"/>
      <c r="K44" s="734"/>
      <c r="L44" s="294"/>
      <c r="M44" s="711"/>
      <c r="N44" s="712"/>
      <c r="O44" s="713"/>
    </row>
    <row r="45" spans="1:15" ht="32.25" thickBot="1">
      <c r="A45" s="371">
        <v>5</v>
      </c>
      <c r="B45" s="314" t="s">
        <v>1128</v>
      </c>
      <c r="C45" s="314" t="s">
        <v>1129</v>
      </c>
      <c r="D45" s="287" t="s">
        <v>777</v>
      </c>
      <c r="E45" s="287" t="s">
        <v>1056</v>
      </c>
      <c r="F45" s="287" t="s">
        <v>828</v>
      </c>
      <c r="G45" s="287">
        <v>1</v>
      </c>
      <c r="H45" s="287">
        <v>8.1000000000000003E-2</v>
      </c>
      <c r="I45" s="287">
        <f>G45*H45</f>
        <v>8.1000000000000003E-2</v>
      </c>
      <c r="J45" s="287" t="s">
        <v>807</v>
      </c>
      <c r="K45" s="349"/>
      <c r="L45" s="294"/>
      <c r="M45" s="340">
        <f t="shared" si="1"/>
        <v>10</v>
      </c>
      <c r="N45" s="70">
        <f t="shared" si="2"/>
        <v>0.81</v>
      </c>
      <c r="O45" s="299" t="s">
        <v>807</v>
      </c>
    </row>
    <row r="46" spans="1:15" ht="16.5" thickBot="1">
      <c r="A46" s="669" t="s">
        <v>839</v>
      </c>
      <c r="B46" s="670"/>
      <c r="C46" s="670"/>
      <c r="D46" s="670"/>
      <c r="E46" s="670"/>
      <c r="F46" s="670"/>
      <c r="G46" s="670"/>
      <c r="H46" s="670"/>
      <c r="I46" s="670"/>
      <c r="J46" s="670"/>
      <c r="K46" s="671"/>
      <c r="L46" s="294"/>
      <c r="M46" s="711"/>
      <c r="N46" s="712"/>
      <c r="O46" s="713"/>
    </row>
    <row r="47" spans="1:15" ht="15.75">
      <c r="A47" s="297" t="s">
        <v>902</v>
      </c>
      <c r="B47" s="309" t="s">
        <v>3</v>
      </c>
      <c r="C47" s="309" t="s">
        <v>1071</v>
      </c>
      <c r="D47" s="309" t="s">
        <v>3</v>
      </c>
      <c r="E47" s="309" t="s">
        <v>3</v>
      </c>
      <c r="F47" s="309" t="s">
        <v>3</v>
      </c>
      <c r="G47" s="309">
        <v>1</v>
      </c>
      <c r="H47" s="309">
        <v>1</v>
      </c>
      <c r="I47" s="309">
        <f t="shared" ref="I47:I97" si="6">G47*H47</f>
        <v>1</v>
      </c>
      <c r="J47" s="309" t="s">
        <v>841</v>
      </c>
      <c r="K47" s="310"/>
      <c r="L47" s="294"/>
      <c r="M47" s="340">
        <f t="shared" si="1"/>
        <v>10</v>
      </c>
      <c r="N47" s="70">
        <f t="shared" si="2"/>
        <v>10</v>
      </c>
      <c r="O47" s="299" t="s">
        <v>841</v>
      </c>
    </row>
    <row r="48" spans="1:15" ht="15.75">
      <c r="A48" s="298" t="s">
        <v>907</v>
      </c>
      <c r="B48" s="18" t="s">
        <v>3</v>
      </c>
      <c r="C48" s="18" t="s">
        <v>1073</v>
      </c>
      <c r="D48" s="18" t="s">
        <v>3</v>
      </c>
      <c r="E48" s="18" t="s">
        <v>3</v>
      </c>
      <c r="F48" s="18" t="s">
        <v>1074</v>
      </c>
      <c r="G48" s="18">
        <v>1</v>
      </c>
      <c r="H48" s="18">
        <v>1</v>
      </c>
      <c r="I48" s="18">
        <f t="shared" si="6"/>
        <v>1</v>
      </c>
      <c r="J48" s="18" t="s">
        <v>841</v>
      </c>
      <c r="K48" s="299"/>
      <c r="L48" s="294"/>
      <c r="M48" s="340">
        <f t="shared" si="1"/>
        <v>10</v>
      </c>
      <c r="N48" s="70">
        <f t="shared" si="2"/>
        <v>10</v>
      </c>
      <c r="O48" s="299" t="s">
        <v>841</v>
      </c>
    </row>
    <row r="49" spans="1:15" ht="15.75">
      <c r="A49" s="298" t="s">
        <v>912</v>
      </c>
      <c r="B49" s="18" t="s">
        <v>3</v>
      </c>
      <c r="C49" s="18" t="s">
        <v>780</v>
      </c>
      <c r="D49" s="18" t="s">
        <v>3</v>
      </c>
      <c r="E49" s="18" t="s">
        <v>3</v>
      </c>
      <c r="F49" s="18" t="s">
        <v>36</v>
      </c>
      <c r="G49" s="18">
        <v>1</v>
      </c>
      <c r="H49" s="18">
        <v>1</v>
      </c>
      <c r="I49" s="18">
        <f t="shared" si="6"/>
        <v>1</v>
      </c>
      <c r="J49" s="18" t="s">
        <v>841</v>
      </c>
      <c r="K49" s="299"/>
      <c r="L49" s="294"/>
      <c r="M49" s="340">
        <f t="shared" si="1"/>
        <v>10</v>
      </c>
      <c r="N49" s="70">
        <f t="shared" si="2"/>
        <v>10</v>
      </c>
      <c r="O49" s="299" t="s">
        <v>841</v>
      </c>
    </row>
    <row r="50" spans="1:15" ht="15.75">
      <c r="A50" s="298" t="s">
        <v>913</v>
      </c>
      <c r="B50" s="18" t="s">
        <v>3</v>
      </c>
      <c r="C50" s="18" t="s">
        <v>1087</v>
      </c>
      <c r="D50" s="18" t="s">
        <v>3</v>
      </c>
      <c r="E50" s="18" t="s">
        <v>3</v>
      </c>
      <c r="F50" s="18" t="s">
        <v>1088</v>
      </c>
      <c r="G50" s="18">
        <v>2</v>
      </c>
      <c r="H50" s="18">
        <v>1</v>
      </c>
      <c r="I50" s="18">
        <f t="shared" si="6"/>
        <v>2</v>
      </c>
      <c r="J50" s="18" t="s">
        <v>841</v>
      </c>
      <c r="K50" s="299"/>
      <c r="L50" s="294"/>
      <c r="M50" s="340">
        <f t="shared" si="1"/>
        <v>10</v>
      </c>
      <c r="N50" s="70">
        <f t="shared" si="2"/>
        <v>20</v>
      </c>
      <c r="O50" s="299" t="s">
        <v>841</v>
      </c>
    </row>
    <row r="51" spans="1:15" ht="15.75">
      <c r="A51" s="298" t="s">
        <v>914</v>
      </c>
      <c r="B51" s="18" t="s">
        <v>3</v>
      </c>
      <c r="C51" s="18" t="s">
        <v>1076</v>
      </c>
      <c r="D51" s="18" t="s">
        <v>3</v>
      </c>
      <c r="E51" s="18" t="s">
        <v>3</v>
      </c>
      <c r="F51" s="18" t="s">
        <v>1077</v>
      </c>
      <c r="G51" s="18">
        <v>1</v>
      </c>
      <c r="H51" s="18">
        <v>1</v>
      </c>
      <c r="I51" s="18">
        <f t="shared" si="6"/>
        <v>1</v>
      </c>
      <c r="J51" s="18" t="s">
        <v>841</v>
      </c>
      <c r="K51" s="299"/>
      <c r="L51" s="294"/>
      <c r="M51" s="340">
        <f t="shared" si="1"/>
        <v>10</v>
      </c>
      <c r="N51" s="70">
        <f t="shared" si="2"/>
        <v>10</v>
      </c>
      <c r="O51" s="299" t="s">
        <v>841</v>
      </c>
    </row>
    <row r="52" spans="1:15" ht="32.25" thickBot="1">
      <c r="A52" s="298" t="s">
        <v>916</v>
      </c>
      <c r="B52" s="18" t="s">
        <v>3</v>
      </c>
      <c r="C52" s="18" t="s">
        <v>1091</v>
      </c>
      <c r="D52" s="18" t="s">
        <v>3</v>
      </c>
      <c r="E52" s="18" t="s">
        <v>3</v>
      </c>
      <c r="F52" s="375" t="s">
        <v>1092</v>
      </c>
      <c r="G52" s="18">
        <v>1</v>
      </c>
      <c r="H52" s="18">
        <v>1</v>
      </c>
      <c r="I52" s="18">
        <f t="shared" si="6"/>
        <v>1</v>
      </c>
      <c r="J52" s="18" t="s">
        <v>841</v>
      </c>
      <c r="K52" s="299"/>
      <c r="L52" s="294"/>
      <c r="M52" s="340">
        <f t="shared" si="1"/>
        <v>10</v>
      </c>
      <c r="N52" s="70">
        <f t="shared" si="2"/>
        <v>10</v>
      </c>
      <c r="O52" s="299" t="s">
        <v>841</v>
      </c>
    </row>
    <row r="53" spans="1:15" ht="15.75">
      <c r="A53" s="298" t="s">
        <v>918</v>
      </c>
      <c r="B53" s="764" t="s">
        <v>800</v>
      </c>
      <c r="C53" s="765"/>
      <c r="D53" s="765"/>
      <c r="E53" s="765"/>
      <c r="F53" s="765"/>
      <c r="G53" s="765"/>
      <c r="H53" s="765"/>
      <c r="I53" s="765"/>
      <c r="J53" s="765"/>
      <c r="K53" s="766"/>
      <c r="L53" s="294"/>
      <c r="M53" s="711"/>
      <c r="N53" s="712"/>
      <c r="O53" s="713"/>
    </row>
    <row r="54" spans="1:15" ht="15.75">
      <c r="A54" s="298" t="s">
        <v>1269</v>
      </c>
      <c r="B54" s="18" t="s">
        <v>1343</v>
      </c>
      <c r="C54" s="18" t="s">
        <v>1271</v>
      </c>
      <c r="D54" s="18" t="s">
        <v>3</v>
      </c>
      <c r="E54" s="18" t="s">
        <v>3</v>
      </c>
      <c r="F54" s="18" t="s">
        <v>3</v>
      </c>
      <c r="G54" s="18">
        <v>1</v>
      </c>
      <c r="H54" s="18">
        <v>1</v>
      </c>
      <c r="I54" s="18">
        <f t="shared" ref="I54:I80" si="7">G54*H54</f>
        <v>1</v>
      </c>
      <c r="J54" s="18" t="s">
        <v>841</v>
      </c>
      <c r="K54" s="299" t="s">
        <v>1272</v>
      </c>
      <c r="L54" s="294"/>
      <c r="M54" s="340">
        <f t="shared" si="1"/>
        <v>10</v>
      </c>
      <c r="N54" s="70">
        <f t="shared" si="2"/>
        <v>10</v>
      </c>
      <c r="O54" s="299" t="s">
        <v>841</v>
      </c>
    </row>
    <row r="55" spans="1:15" ht="15.75">
      <c r="A55" s="298" t="s">
        <v>1273</v>
      </c>
      <c r="B55" s="18" t="s">
        <v>1344</v>
      </c>
      <c r="C55" s="18" t="s">
        <v>1275</v>
      </c>
      <c r="D55" s="18" t="s">
        <v>3</v>
      </c>
      <c r="E55" s="18" t="s">
        <v>3</v>
      </c>
      <c r="F55" s="18" t="s">
        <v>3</v>
      </c>
      <c r="G55" s="18">
        <v>1</v>
      </c>
      <c r="H55" s="18">
        <v>1</v>
      </c>
      <c r="I55" s="18">
        <f t="shared" si="7"/>
        <v>1</v>
      </c>
      <c r="J55" s="18" t="s">
        <v>841</v>
      </c>
      <c r="K55" s="299" t="s">
        <v>1272</v>
      </c>
      <c r="L55" s="294"/>
      <c r="M55" s="340">
        <f t="shared" si="1"/>
        <v>10</v>
      </c>
      <c r="N55" s="70">
        <f t="shared" si="2"/>
        <v>10</v>
      </c>
      <c r="O55" s="299" t="s">
        <v>841</v>
      </c>
    </row>
    <row r="56" spans="1:15" ht="15.75">
      <c r="A56" s="298" t="s">
        <v>1276</v>
      </c>
      <c r="B56" s="18" t="s">
        <v>1345</v>
      </c>
      <c r="C56" s="18" t="s">
        <v>1111</v>
      </c>
      <c r="D56" s="18" t="s">
        <v>3</v>
      </c>
      <c r="E56" s="18" t="s">
        <v>3</v>
      </c>
      <c r="F56" s="18" t="s">
        <v>3</v>
      </c>
      <c r="G56" s="18">
        <v>1</v>
      </c>
      <c r="H56" s="18">
        <v>1</v>
      </c>
      <c r="I56" s="18">
        <f t="shared" si="7"/>
        <v>1</v>
      </c>
      <c r="J56" s="18" t="s">
        <v>841</v>
      </c>
      <c r="K56" s="299" t="s">
        <v>1272</v>
      </c>
      <c r="L56" s="294"/>
      <c r="M56" s="340">
        <f t="shared" si="1"/>
        <v>10</v>
      </c>
      <c r="N56" s="70">
        <f t="shared" si="2"/>
        <v>10</v>
      </c>
      <c r="O56" s="299" t="s">
        <v>841</v>
      </c>
    </row>
    <row r="57" spans="1:15" ht="15.75">
      <c r="A57" s="298" t="s">
        <v>1278</v>
      </c>
      <c r="B57" s="18" t="s">
        <v>1346</v>
      </c>
      <c r="C57" s="18" t="s">
        <v>1111</v>
      </c>
      <c r="D57" s="18" t="s">
        <v>3</v>
      </c>
      <c r="E57" s="18" t="s">
        <v>3</v>
      </c>
      <c r="F57" s="18" t="s">
        <v>3</v>
      </c>
      <c r="G57" s="18">
        <v>1</v>
      </c>
      <c r="H57" s="18">
        <v>1</v>
      </c>
      <c r="I57" s="18">
        <f t="shared" si="7"/>
        <v>1</v>
      </c>
      <c r="J57" s="18" t="s">
        <v>841</v>
      </c>
      <c r="K57" s="299" t="s">
        <v>1272</v>
      </c>
      <c r="L57" s="294"/>
      <c r="M57" s="340">
        <f t="shared" si="1"/>
        <v>10</v>
      </c>
      <c r="N57" s="70">
        <f t="shared" si="2"/>
        <v>10</v>
      </c>
      <c r="O57" s="299" t="s">
        <v>841</v>
      </c>
    </row>
    <row r="58" spans="1:15" ht="15.75">
      <c r="A58" s="298" t="s">
        <v>1280</v>
      </c>
      <c r="B58" s="18" t="s">
        <v>1281</v>
      </c>
      <c r="C58" s="18" t="s">
        <v>1048</v>
      </c>
      <c r="D58" s="18" t="s">
        <v>3</v>
      </c>
      <c r="E58" s="18" t="s">
        <v>3</v>
      </c>
      <c r="F58" s="18" t="s">
        <v>3</v>
      </c>
      <c r="G58" s="18">
        <v>1</v>
      </c>
      <c r="H58" s="18">
        <v>1</v>
      </c>
      <c r="I58" s="18">
        <f t="shared" si="7"/>
        <v>1</v>
      </c>
      <c r="J58" s="18" t="s">
        <v>841</v>
      </c>
      <c r="K58" s="299" t="s">
        <v>1272</v>
      </c>
      <c r="L58" s="294"/>
      <c r="M58" s="340">
        <f t="shared" si="1"/>
        <v>10</v>
      </c>
      <c r="N58" s="70">
        <f t="shared" si="2"/>
        <v>10</v>
      </c>
      <c r="O58" s="299" t="s">
        <v>841</v>
      </c>
    </row>
    <row r="59" spans="1:15" ht="15.75">
      <c r="A59" s="298" t="s">
        <v>1282</v>
      </c>
      <c r="B59" s="18" t="s">
        <v>3</v>
      </c>
      <c r="C59" s="18" t="s">
        <v>1283</v>
      </c>
      <c r="D59" s="18" t="s">
        <v>3</v>
      </c>
      <c r="E59" s="18" t="s">
        <v>3</v>
      </c>
      <c r="F59" s="18" t="s">
        <v>1143</v>
      </c>
      <c r="G59" s="18">
        <v>2</v>
      </c>
      <c r="H59" s="18">
        <v>1</v>
      </c>
      <c r="I59" s="18">
        <f t="shared" si="7"/>
        <v>2</v>
      </c>
      <c r="J59" s="18" t="s">
        <v>841</v>
      </c>
      <c r="K59" s="299"/>
      <c r="L59" s="294"/>
      <c r="M59" s="340">
        <f t="shared" si="1"/>
        <v>10</v>
      </c>
      <c r="N59" s="70">
        <f t="shared" si="2"/>
        <v>20</v>
      </c>
      <c r="O59" s="299" t="s">
        <v>841</v>
      </c>
    </row>
    <row r="60" spans="1:15" ht="15.75">
      <c r="A60" s="298" t="s">
        <v>1284</v>
      </c>
      <c r="B60" s="18" t="s">
        <v>3</v>
      </c>
      <c r="C60" s="34" t="s">
        <v>1285</v>
      </c>
      <c r="D60" s="18" t="s">
        <v>3</v>
      </c>
      <c r="E60" s="18" t="s">
        <v>3</v>
      </c>
      <c r="F60" s="18" t="s">
        <v>1143</v>
      </c>
      <c r="G60" s="18">
        <v>2</v>
      </c>
      <c r="H60" s="18">
        <v>1</v>
      </c>
      <c r="I60" s="18">
        <f t="shared" si="7"/>
        <v>2</v>
      </c>
      <c r="J60" s="18" t="s">
        <v>841</v>
      </c>
      <c r="K60" s="315"/>
      <c r="L60" s="294"/>
      <c r="M60" s="340">
        <f t="shared" si="1"/>
        <v>10</v>
      </c>
      <c r="N60" s="70">
        <f t="shared" si="2"/>
        <v>20</v>
      </c>
      <c r="O60" s="299" t="s">
        <v>841</v>
      </c>
    </row>
    <row r="61" spans="1:15" ht="15.75">
      <c r="A61" s="298" t="s">
        <v>1286</v>
      </c>
      <c r="B61" s="18" t="s">
        <v>3</v>
      </c>
      <c r="C61" s="18" t="s">
        <v>1287</v>
      </c>
      <c r="D61" s="34" t="s">
        <v>3</v>
      </c>
      <c r="E61" s="34" t="s">
        <v>3</v>
      </c>
      <c r="F61" s="18" t="s">
        <v>1143</v>
      </c>
      <c r="G61" s="34">
        <v>2</v>
      </c>
      <c r="H61" s="34">
        <v>1</v>
      </c>
      <c r="I61" s="34">
        <f t="shared" si="7"/>
        <v>2</v>
      </c>
      <c r="J61" s="18" t="s">
        <v>841</v>
      </c>
      <c r="K61" s="299"/>
      <c r="L61" s="294"/>
      <c r="M61" s="340">
        <f t="shared" si="1"/>
        <v>10</v>
      </c>
      <c r="N61" s="70">
        <f t="shared" si="2"/>
        <v>20</v>
      </c>
      <c r="O61" s="299" t="s">
        <v>841</v>
      </c>
    </row>
    <row r="62" spans="1:15" ht="15.75">
      <c r="A62" s="298" t="s">
        <v>1288</v>
      </c>
      <c r="B62" s="18" t="s">
        <v>3</v>
      </c>
      <c r="C62" s="18" t="s">
        <v>1289</v>
      </c>
      <c r="D62" s="34" t="s">
        <v>3</v>
      </c>
      <c r="E62" s="34" t="s">
        <v>3</v>
      </c>
      <c r="F62" s="18" t="s">
        <v>1290</v>
      </c>
      <c r="G62" s="34">
        <v>8</v>
      </c>
      <c r="H62" s="34">
        <v>1</v>
      </c>
      <c r="I62" s="34">
        <f t="shared" si="7"/>
        <v>8</v>
      </c>
      <c r="J62" s="18" t="s">
        <v>841</v>
      </c>
      <c r="K62" s="299"/>
      <c r="L62" s="294"/>
      <c r="M62" s="340">
        <f t="shared" si="1"/>
        <v>10</v>
      </c>
      <c r="N62" s="70">
        <f t="shared" si="2"/>
        <v>80</v>
      </c>
      <c r="O62" s="299" t="s">
        <v>841</v>
      </c>
    </row>
    <row r="63" spans="1:15" ht="15.75">
      <c r="A63" s="298" t="s">
        <v>1291</v>
      </c>
      <c r="B63" s="18" t="s">
        <v>3</v>
      </c>
      <c r="C63" s="18" t="s">
        <v>1292</v>
      </c>
      <c r="D63" s="34" t="s">
        <v>3</v>
      </c>
      <c r="E63" s="34" t="s">
        <v>3</v>
      </c>
      <c r="F63" s="18" t="s">
        <v>120</v>
      </c>
      <c r="G63" s="34">
        <v>4</v>
      </c>
      <c r="H63" s="34">
        <v>1</v>
      </c>
      <c r="I63" s="34">
        <f t="shared" si="7"/>
        <v>4</v>
      </c>
      <c r="J63" s="18" t="s">
        <v>841</v>
      </c>
      <c r="K63" s="299"/>
      <c r="L63" s="294"/>
      <c r="M63" s="340">
        <f t="shared" si="1"/>
        <v>10</v>
      </c>
      <c r="N63" s="70">
        <f t="shared" si="2"/>
        <v>40</v>
      </c>
      <c r="O63" s="299" t="s">
        <v>841</v>
      </c>
    </row>
    <row r="64" spans="1:15" ht="16.5" thickBot="1">
      <c r="A64" s="298" t="s">
        <v>1293</v>
      </c>
      <c r="B64" s="18" t="s">
        <v>3</v>
      </c>
      <c r="C64" s="18" t="s">
        <v>1294</v>
      </c>
      <c r="D64" s="34" t="s">
        <v>3</v>
      </c>
      <c r="E64" s="34" t="s">
        <v>3</v>
      </c>
      <c r="F64" s="18" t="s">
        <v>1290</v>
      </c>
      <c r="G64" s="34">
        <v>8</v>
      </c>
      <c r="H64" s="34">
        <v>1</v>
      </c>
      <c r="I64" s="34">
        <f t="shared" si="7"/>
        <v>8</v>
      </c>
      <c r="J64" s="18" t="s">
        <v>841</v>
      </c>
      <c r="K64" s="299"/>
      <c r="L64" s="294"/>
      <c r="M64" s="340">
        <f t="shared" si="1"/>
        <v>10</v>
      </c>
      <c r="N64" s="70">
        <f t="shared" si="2"/>
        <v>80</v>
      </c>
      <c r="O64" s="299" t="s">
        <v>841</v>
      </c>
    </row>
    <row r="65" spans="1:15" ht="16.5" thickBot="1">
      <c r="A65" s="373"/>
      <c r="B65" s="726" t="s">
        <v>1138</v>
      </c>
      <c r="C65" s="727"/>
      <c r="D65" s="727"/>
      <c r="E65" s="727"/>
      <c r="F65" s="727"/>
      <c r="G65" s="727"/>
      <c r="H65" s="727"/>
      <c r="I65" s="727"/>
      <c r="J65" s="727"/>
      <c r="K65" s="728"/>
      <c r="L65" s="294"/>
      <c r="M65" s="711"/>
      <c r="N65" s="712"/>
      <c r="O65" s="713"/>
    </row>
    <row r="66" spans="1:15" ht="31.5">
      <c r="A66" s="297" t="s">
        <v>920</v>
      </c>
      <c r="B66" s="309" t="s">
        <v>3</v>
      </c>
      <c r="C66" s="309" t="s">
        <v>1152</v>
      </c>
      <c r="D66" s="309" t="s">
        <v>3</v>
      </c>
      <c r="E66" s="309" t="s">
        <v>3</v>
      </c>
      <c r="F66" s="374" t="s">
        <v>1295</v>
      </c>
      <c r="G66" s="309">
        <v>1</v>
      </c>
      <c r="H66" s="309">
        <v>1</v>
      </c>
      <c r="I66" s="309">
        <f t="shared" ref="I66:I78" si="8">G66*H66</f>
        <v>1</v>
      </c>
      <c r="J66" s="309" t="s">
        <v>841</v>
      </c>
      <c r="K66" s="310"/>
      <c r="L66" s="294"/>
      <c r="M66" s="340">
        <f t="shared" si="1"/>
        <v>10</v>
      </c>
      <c r="N66" s="70">
        <f t="shared" ref="N66:N78" si="9">M66*I66</f>
        <v>10</v>
      </c>
      <c r="O66" s="299" t="s">
        <v>841</v>
      </c>
    </row>
    <row r="67" spans="1:15" ht="31.5">
      <c r="A67" s="302" t="s">
        <v>922</v>
      </c>
      <c r="B67" s="18" t="s">
        <v>3</v>
      </c>
      <c r="C67" s="294" t="s">
        <v>1296</v>
      </c>
      <c r="D67" s="18" t="s">
        <v>3</v>
      </c>
      <c r="E67" s="18" t="s">
        <v>3</v>
      </c>
      <c r="F67" s="375" t="s">
        <v>1297</v>
      </c>
      <c r="G67" s="18">
        <v>2</v>
      </c>
      <c r="H67" s="18">
        <v>1</v>
      </c>
      <c r="I67" s="18">
        <f t="shared" si="8"/>
        <v>2</v>
      </c>
      <c r="J67" s="18" t="s">
        <v>841</v>
      </c>
      <c r="K67" s="299"/>
      <c r="L67" s="294"/>
      <c r="M67" s="340">
        <f t="shared" si="1"/>
        <v>10</v>
      </c>
      <c r="N67" s="70">
        <f t="shared" si="9"/>
        <v>20</v>
      </c>
      <c r="O67" s="299" t="s">
        <v>841</v>
      </c>
    </row>
    <row r="68" spans="1:15" ht="15.75">
      <c r="A68" s="302" t="s">
        <v>924</v>
      </c>
      <c r="B68" s="18" t="s">
        <v>3</v>
      </c>
      <c r="C68" s="18" t="s">
        <v>1298</v>
      </c>
      <c r="D68" s="18" t="s">
        <v>3</v>
      </c>
      <c r="E68" s="18" t="s">
        <v>3</v>
      </c>
      <c r="F68" s="18" t="s">
        <v>3</v>
      </c>
      <c r="G68" s="18">
        <v>2</v>
      </c>
      <c r="H68" s="18">
        <v>1</v>
      </c>
      <c r="I68" s="18">
        <f t="shared" si="8"/>
        <v>2</v>
      </c>
      <c r="J68" s="18" t="s">
        <v>841</v>
      </c>
      <c r="K68" s="299"/>
      <c r="L68" s="294"/>
      <c r="M68" s="340">
        <f t="shared" si="1"/>
        <v>10</v>
      </c>
      <c r="N68" s="70">
        <f t="shared" si="9"/>
        <v>20</v>
      </c>
      <c r="O68" s="299" t="s">
        <v>841</v>
      </c>
    </row>
    <row r="69" spans="1:15" ht="15.75">
      <c r="A69" s="302" t="s">
        <v>926</v>
      </c>
      <c r="B69" s="18" t="s">
        <v>3</v>
      </c>
      <c r="C69" s="18" t="s">
        <v>1299</v>
      </c>
      <c r="D69" s="18" t="s">
        <v>3</v>
      </c>
      <c r="E69" s="18" t="s">
        <v>3</v>
      </c>
      <c r="F69" s="18" t="s">
        <v>1300</v>
      </c>
      <c r="G69" s="18">
        <v>6</v>
      </c>
      <c r="H69" s="18">
        <v>1</v>
      </c>
      <c r="I69" s="18">
        <f t="shared" si="8"/>
        <v>6</v>
      </c>
      <c r="J69" s="18" t="s">
        <v>841</v>
      </c>
      <c r="K69" s="299"/>
      <c r="L69" s="294"/>
      <c r="M69" s="340">
        <f t="shared" si="1"/>
        <v>10</v>
      </c>
      <c r="N69" s="70">
        <f t="shared" si="9"/>
        <v>60</v>
      </c>
      <c r="O69" s="299" t="s">
        <v>841</v>
      </c>
    </row>
    <row r="70" spans="1:15" ht="15.75">
      <c r="A70" s="302" t="s">
        <v>927</v>
      </c>
      <c r="B70" s="18" t="s">
        <v>3</v>
      </c>
      <c r="C70" s="18" t="s">
        <v>1301</v>
      </c>
      <c r="D70" s="18" t="s">
        <v>3</v>
      </c>
      <c r="E70" s="18" t="s">
        <v>3</v>
      </c>
      <c r="F70" s="18" t="s">
        <v>3</v>
      </c>
      <c r="G70" s="18">
        <v>1</v>
      </c>
      <c r="H70" s="18">
        <v>1</v>
      </c>
      <c r="I70" s="18">
        <f t="shared" si="8"/>
        <v>1</v>
      </c>
      <c r="J70" s="18" t="s">
        <v>841</v>
      </c>
      <c r="K70" s="299"/>
      <c r="L70" s="294"/>
      <c r="M70" s="340">
        <f t="shared" si="1"/>
        <v>10</v>
      </c>
      <c r="N70" s="70">
        <f t="shared" si="9"/>
        <v>10</v>
      </c>
      <c r="O70" s="299" t="s">
        <v>841</v>
      </c>
    </row>
    <row r="71" spans="1:15" ht="15.75">
      <c r="A71" s="302" t="s">
        <v>928</v>
      </c>
      <c r="B71" s="18" t="s">
        <v>3</v>
      </c>
      <c r="C71" s="18" t="s">
        <v>1303</v>
      </c>
      <c r="D71" s="18" t="s">
        <v>3</v>
      </c>
      <c r="E71" s="18" t="s">
        <v>3</v>
      </c>
      <c r="F71" s="18" t="s">
        <v>1304</v>
      </c>
      <c r="G71" s="18">
        <v>1.1000000000000001</v>
      </c>
      <c r="H71" s="18">
        <v>1</v>
      </c>
      <c r="I71" s="18">
        <f t="shared" si="8"/>
        <v>1.1000000000000001</v>
      </c>
      <c r="J71" s="18" t="s">
        <v>1151</v>
      </c>
      <c r="K71" s="299"/>
      <c r="L71" s="294"/>
      <c r="M71" s="340">
        <f t="shared" si="1"/>
        <v>10</v>
      </c>
      <c r="N71" s="70">
        <f t="shared" si="9"/>
        <v>11</v>
      </c>
      <c r="O71" s="299" t="s">
        <v>1151</v>
      </c>
    </row>
    <row r="72" spans="1:15" ht="15.75">
      <c r="A72" s="302" t="s">
        <v>929</v>
      </c>
      <c r="B72" s="18" t="s">
        <v>3</v>
      </c>
      <c r="C72" s="18" t="s">
        <v>1305</v>
      </c>
      <c r="D72" s="18" t="s">
        <v>3</v>
      </c>
      <c r="E72" s="18" t="s">
        <v>3</v>
      </c>
      <c r="F72" s="18" t="s">
        <v>1304</v>
      </c>
      <c r="G72" s="18">
        <v>0.35</v>
      </c>
      <c r="H72" s="18">
        <v>1</v>
      </c>
      <c r="I72" s="18">
        <f t="shared" si="8"/>
        <v>0.35</v>
      </c>
      <c r="J72" s="18" t="s">
        <v>1151</v>
      </c>
      <c r="K72" s="299"/>
      <c r="L72" s="294"/>
      <c r="M72" s="340">
        <f t="shared" si="1"/>
        <v>10</v>
      </c>
      <c r="N72" s="70">
        <f t="shared" si="9"/>
        <v>3.5</v>
      </c>
      <c r="O72" s="299" t="s">
        <v>1151</v>
      </c>
    </row>
    <row r="73" spans="1:15" ht="15.75">
      <c r="A73" s="302" t="s">
        <v>931</v>
      </c>
      <c r="B73" s="18" t="s">
        <v>3</v>
      </c>
      <c r="C73" s="31" t="s">
        <v>1306</v>
      </c>
      <c r="D73" s="18" t="s">
        <v>3</v>
      </c>
      <c r="E73" s="18" t="s">
        <v>3</v>
      </c>
      <c r="F73" s="18" t="s">
        <v>1304</v>
      </c>
      <c r="G73" s="18">
        <v>0.35</v>
      </c>
      <c r="H73" s="18">
        <v>1</v>
      </c>
      <c r="I73" s="18">
        <f t="shared" si="8"/>
        <v>0.35</v>
      </c>
      <c r="J73" s="18" t="s">
        <v>1151</v>
      </c>
      <c r="K73" s="299"/>
      <c r="L73" s="294"/>
      <c r="M73" s="340">
        <f t="shared" si="1"/>
        <v>10</v>
      </c>
      <c r="N73" s="70">
        <f t="shared" si="9"/>
        <v>3.5</v>
      </c>
      <c r="O73" s="299" t="s">
        <v>1151</v>
      </c>
    </row>
    <row r="74" spans="1:15" ht="30">
      <c r="A74" s="302" t="s">
        <v>932</v>
      </c>
      <c r="B74" s="18" t="s">
        <v>3</v>
      </c>
      <c r="C74" s="31" t="s">
        <v>1309</v>
      </c>
      <c r="D74" s="18" t="s">
        <v>3</v>
      </c>
      <c r="E74" s="18" t="s">
        <v>3</v>
      </c>
      <c r="F74" s="18" t="s">
        <v>3</v>
      </c>
      <c r="G74" s="18">
        <v>0.05</v>
      </c>
      <c r="H74" s="18">
        <v>1</v>
      </c>
      <c r="I74" s="18">
        <f t="shared" si="8"/>
        <v>0.05</v>
      </c>
      <c r="J74" s="18" t="s">
        <v>841</v>
      </c>
      <c r="K74" s="299"/>
      <c r="L74" s="294"/>
      <c r="M74" s="340">
        <f t="shared" si="1"/>
        <v>10</v>
      </c>
      <c r="N74" s="70">
        <f t="shared" si="9"/>
        <v>0.5</v>
      </c>
      <c r="O74" s="299" t="s">
        <v>841</v>
      </c>
    </row>
    <row r="75" spans="1:15" ht="15.75">
      <c r="A75" s="302" t="s">
        <v>933</v>
      </c>
      <c r="B75" s="18" t="s">
        <v>3</v>
      </c>
      <c r="C75" s="18" t="s">
        <v>1310</v>
      </c>
      <c r="D75" s="18" t="s">
        <v>3</v>
      </c>
      <c r="E75" s="18" t="s">
        <v>3</v>
      </c>
      <c r="F75" s="18" t="s">
        <v>3</v>
      </c>
      <c r="G75" s="18">
        <v>4</v>
      </c>
      <c r="H75" s="18">
        <v>1</v>
      </c>
      <c r="I75" s="18">
        <f t="shared" si="8"/>
        <v>4</v>
      </c>
      <c r="J75" s="18" t="s">
        <v>841</v>
      </c>
      <c r="K75" s="299"/>
      <c r="L75" s="294"/>
      <c r="M75" s="340">
        <f t="shared" si="1"/>
        <v>10</v>
      </c>
      <c r="N75" s="70">
        <f t="shared" si="9"/>
        <v>40</v>
      </c>
      <c r="O75" s="299" t="s">
        <v>841</v>
      </c>
    </row>
    <row r="76" spans="1:15" ht="15.75">
      <c r="A76" s="302" t="s">
        <v>934</v>
      </c>
      <c r="B76" s="18" t="s">
        <v>3</v>
      </c>
      <c r="C76" s="18" t="s">
        <v>1311</v>
      </c>
      <c r="D76" s="18" t="s">
        <v>3</v>
      </c>
      <c r="E76" s="18" t="s">
        <v>3</v>
      </c>
      <c r="F76" s="18" t="s">
        <v>1312</v>
      </c>
      <c r="G76" s="18">
        <v>1</v>
      </c>
      <c r="H76" s="18">
        <v>1</v>
      </c>
      <c r="I76" s="18">
        <f t="shared" si="8"/>
        <v>1</v>
      </c>
      <c r="J76" s="18" t="s">
        <v>841</v>
      </c>
      <c r="K76" s="299"/>
      <c r="L76" s="294"/>
      <c r="M76" s="340">
        <f t="shared" si="1"/>
        <v>10</v>
      </c>
      <c r="N76" s="70">
        <f t="shared" si="9"/>
        <v>10</v>
      </c>
      <c r="O76" s="299" t="s">
        <v>841</v>
      </c>
    </row>
    <row r="77" spans="1:15" ht="15.75">
      <c r="A77" s="302" t="s">
        <v>936</v>
      </c>
      <c r="B77" s="18" t="s">
        <v>3</v>
      </c>
      <c r="C77" s="18" t="s">
        <v>1233</v>
      </c>
      <c r="D77" s="18" t="s">
        <v>3</v>
      </c>
      <c r="E77" s="18" t="s">
        <v>3</v>
      </c>
      <c r="F77" s="18" t="s">
        <v>120</v>
      </c>
      <c r="G77" s="18">
        <v>1</v>
      </c>
      <c r="H77" s="18">
        <v>1</v>
      </c>
      <c r="I77" s="18">
        <f t="shared" si="8"/>
        <v>1</v>
      </c>
      <c r="J77" s="18" t="s">
        <v>841</v>
      </c>
      <c r="K77" s="299"/>
      <c r="L77" s="294"/>
      <c r="M77" s="340">
        <f t="shared" si="1"/>
        <v>10</v>
      </c>
      <c r="N77" s="70">
        <f t="shared" si="9"/>
        <v>10</v>
      </c>
      <c r="O77" s="299" t="s">
        <v>841</v>
      </c>
    </row>
    <row r="78" spans="1:15" ht="15.75">
      <c r="A78" s="302" t="s">
        <v>939</v>
      </c>
      <c r="B78" s="18" t="s">
        <v>3</v>
      </c>
      <c r="C78" s="18" t="s">
        <v>1313</v>
      </c>
      <c r="D78" s="18" t="s">
        <v>3</v>
      </c>
      <c r="E78" s="18" t="s">
        <v>3</v>
      </c>
      <c r="F78" s="18" t="s">
        <v>1122</v>
      </c>
      <c r="G78" s="18">
        <v>1</v>
      </c>
      <c r="H78" s="18">
        <v>1</v>
      </c>
      <c r="I78" s="18">
        <f t="shared" si="8"/>
        <v>1</v>
      </c>
      <c r="J78" s="18" t="s">
        <v>841</v>
      </c>
      <c r="K78" s="299"/>
      <c r="L78" s="294"/>
      <c r="M78" s="340">
        <f t="shared" si="1"/>
        <v>10</v>
      </c>
      <c r="N78" s="70">
        <f t="shared" si="9"/>
        <v>10</v>
      </c>
      <c r="O78" s="299" t="s">
        <v>841</v>
      </c>
    </row>
    <row r="79" spans="1:15" ht="15.75">
      <c r="A79" s="302" t="s">
        <v>1160</v>
      </c>
      <c r="B79" s="18" t="s">
        <v>3</v>
      </c>
      <c r="C79" s="18" t="s">
        <v>1314</v>
      </c>
      <c r="D79" s="18" t="s">
        <v>3</v>
      </c>
      <c r="E79" s="18" t="s">
        <v>3</v>
      </c>
      <c r="F79" s="18" t="s">
        <v>3</v>
      </c>
      <c r="G79" s="18">
        <v>1</v>
      </c>
      <c r="H79" s="18">
        <v>1</v>
      </c>
      <c r="I79" s="18">
        <f t="shared" si="7"/>
        <v>1</v>
      </c>
      <c r="J79" s="241" t="s">
        <v>1177</v>
      </c>
      <c r="K79" s="299"/>
      <c r="L79" s="294"/>
      <c r="M79" s="340">
        <f t="shared" si="1"/>
        <v>10</v>
      </c>
      <c r="N79" s="70">
        <f t="shared" si="2"/>
        <v>10</v>
      </c>
      <c r="O79" s="28" t="s">
        <v>1177</v>
      </c>
    </row>
    <row r="80" spans="1:15" ht="16.5" thickBot="1">
      <c r="A80" s="350" t="s">
        <v>940</v>
      </c>
      <c r="B80" s="287" t="s">
        <v>3</v>
      </c>
      <c r="C80" s="287" t="s">
        <v>1315</v>
      </c>
      <c r="D80" s="287" t="s">
        <v>3</v>
      </c>
      <c r="E80" s="287" t="s">
        <v>3</v>
      </c>
      <c r="F80" s="287" t="s">
        <v>3</v>
      </c>
      <c r="G80" s="287">
        <v>1</v>
      </c>
      <c r="H80" s="287">
        <v>1</v>
      </c>
      <c r="I80" s="287">
        <f t="shared" si="7"/>
        <v>1</v>
      </c>
      <c r="J80" s="312" t="s">
        <v>1177</v>
      </c>
      <c r="K80" s="303"/>
      <c r="L80" s="294"/>
      <c r="M80" s="340">
        <f t="shared" si="1"/>
        <v>10</v>
      </c>
      <c r="N80" s="70">
        <f t="shared" si="2"/>
        <v>10</v>
      </c>
      <c r="O80" s="28" t="s">
        <v>1177</v>
      </c>
    </row>
    <row r="81" spans="1:15" ht="16.5" thickBot="1">
      <c r="A81" s="729" t="s">
        <v>1159</v>
      </c>
      <c r="B81" s="730"/>
      <c r="C81" s="730"/>
      <c r="D81" s="730"/>
      <c r="E81" s="730"/>
      <c r="F81" s="730"/>
      <c r="G81" s="730"/>
      <c r="H81" s="730"/>
      <c r="I81" s="730"/>
      <c r="J81" s="730"/>
      <c r="K81" s="731"/>
      <c r="M81" s="711"/>
      <c r="N81" s="712"/>
      <c r="O81" s="713"/>
    </row>
    <row r="82" spans="1:15" ht="15.75">
      <c r="A82" s="297" t="s">
        <v>941</v>
      </c>
      <c r="B82" s="309" t="s">
        <v>3</v>
      </c>
      <c r="C82" s="309" t="s">
        <v>1316</v>
      </c>
      <c r="D82" s="309" t="s">
        <v>3</v>
      </c>
      <c r="E82" s="309" t="s">
        <v>3</v>
      </c>
      <c r="F82" s="309" t="s">
        <v>3</v>
      </c>
      <c r="G82" s="309">
        <v>1</v>
      </c>
      <c r="H82" s="309">
        <v>1</v>
      </c>
      <c r="I82" s="309">
        <f t="shared" ref="I82:I84" si="10">G82*H82</f>
        <v>1</v>
      </c>
      <c r="J82" s="309" t="s">
        <v>841</v>
      </c>
      <c r="K82" s="310"/>
      <c r="M82" s="340">
        <f t="shared" si="1"/>
        <v>10</v>
      </c>
      <c r="N82" s="70">
        <f t="shared" si="2"/>
        <v>10</v>
      </c>
      <c r="O82" s="299" t="s">
        <v>841</v>
      </c>
    </row>
    <row r="83" spans="1:15" ht="15.75">
      <c r="A83" s="298" t="s">
        <v>942</v>
      </c>
      <c r="B83" s="18" t="s">
        <v>3</v>
      </c>
      <c r="C83" s="18" t="s">
        <v>1161</v>
      </c>
      <c r="D83" s="18" t="s">
        <v>3</v>
      </c>
      <c r="E83" s="18" t="s">
        <v>3</v>
      </c>
      <c r="F83" s="18" t="s">
        <v>1162</v>
      </c>
      <c r="G83" s="18">
        <v>1</v>
      </c>
      <c r="H83" s="18">
        <v>1</v>
      </c>
      <c r="I83" s="18">
        <f t="shared" si="10"/>
        <v>1</v>
      </c>
      <c r="J83" s="18" t="s">
        <v>841</v>
      </c>
      <c r="K83" s="299" t="s">
        <v>1163</v>
      </c>
      <c r="M83" s="340">
        <f t="shared" si="1"/>
        <v>10</v>
      </c>
      <c r="N83" s="70">
        <f t="shared" si="2"/>
        <v>10</v>
      </c>
      <c r="O83" s="299" t="s">
        <v>841</v>
      </c>
    </row>
    <row r="84" spans="1:15" ht="16.5" thickBot="1">
      <c r="A84" s="300" t="s">
        <v>943</v>
      </c>
      <c r="B84" s="287" t="s">
        <v>3</v>
      </c>
      <c r="C84" s="287" t="s">
        <v>1317</v>
      </c>
      <c r="D84" s="287" t="s">
        <v>3</v>
      </c>
      <c r="E84" s="287" t="s">
        <v>3</v>
      </c>
      <c r="F84" s="287" t="s">
        <v>3</v>
      </c>
      <c r="G84" s="287">
        <v>1</v>
      </c>
      <c r="H84" s="287">
        <v>1</v>
      </c>
      <c r="I84" s="287">
        <f t="shared" si="10"/>
        <v>1</v>
      </c>
      <c r="J84" s="287" t="s">
        <v>841</v>
      </c>
      <c r="K84" s="303"/>
      <c r="M84" s="340">
        <f t="shared" si="1"/>
        <v>10</v>
      </c>
      <c r="N84" s="70">
        <f t="shared" si="2"/>
        <v>10</v>
      </c>
      <c r="O84" s="299" t="s">
        <v>841</v>
      </c>
    </row>
    <row r="85" spans="1:15" ht="16.5" thickBot="1">
      <c r="A85" s="716" t="s">
        <v>1153</v>
      </c>
      <c r="B85" s="717"/>
      <c r="C85" s="717"/>
      <c r="D85" s="717"/>
      <c r="E85" s="717"/>
      <c r="F85" s="717"/>
      <c r="G85" s="717"/>
      <c r="H85" s="717"/>
      <c r="I85" s="717"/>
      <c r="J85" s="717"/>
      <c r="K85" s="718"/>
      <c r="L85" s="294"/>
      <c r="M85" s="711"/>
      <c r="N85" s="712"/>
      <c r="O85" s="713"/>
    </row>
    <row r="86" spans="1:15" ht="15.75">
      <c r="A86" s="297" t="s">
        <v>944</v>
      </c>
      <c r="B86" s="309"/>
      <c r="C86" s="309" t="s">
        <v>1318</v>
      </c>
      <c r="D86" s="309" t="s">
        <v>3</v>
      </c>
      <c r="E86" s="309" t="s">
        <v>3</v>
      </c>
      <c r="F86" s="309" t="s">
        <v>1155</v>
      </c>
      <c r="G86" s="352">
        <v>0.8</v>
      </c>
      <c r="H86" s="309">
        <v>1</v>
      </c>
      <c r="I86" s="309">
        <f>G86*H86</f>
        <v>0.8</v>
      </c>
      <c r="J86" s="309" t="s">
        <v>807</v>
      </c>
      <c r="K86" s="721" t="s">
        <v>1156</v>
      </c>
      <c r="L86" s="294"/>
      <c r="M86" s="353">
        <v>0</v>
      </c>
      <c r="N86" s="354">
        <f t="shared" si="2"/>
        <v>0</v>
      </c>
      <c r="O86" s="355" t="s">
        <v>807</v>
      </c>
    </row>
    <row r="87" spans="1:15" ht="16.5" thickBot="1">
      <c r="A87" s="300" t="s">
        <v>945</v>
      </c>
      <c r="B87" s="287" t="s">
        <v>3</v>
      </c>
      <c r="C87" s="287" t="s">
        <v>1239</v>
      </c>
      <c r="D87" s="287" t="s">
        <v>3</v>
      </c>
      <c r="E87" s="287" t="s">
        <v>3</v>
      </c>
      <c r="F87" s="287" t="s">
        <v>1158</v>
      </c>
      <c r="G87" s="356">
        <v>0.8</v>
      </c>
      <c r="H87" s="287">
        <v>1</v>
      </c>
      <c r="I87" s="287">
        <f>G87*H87</f>
        <v>0.8</v>
      </c>
      <c r="J87" s="287" t="s">
        <v>807</v>
      </c>
      <c r="K87" s="722"/>
      <c r="L87" s="294"/>
      <c r="M87" s="353">
        <v>0</v>
      </c>
      <c r="N87" s="354">
        <f t="shared" si="2"/>
        <v>0</v>
      </c>
      <c r="O87" s="355" t="s">
        <v>807</v>
      </c>
    </row>
    <row r="88" spans="1:15" ht="16.5" thickBot="1">
      <c r="A88" s="676" t="s">
        <v>56</v>
      </c>
      <c r="B88" s="677"/>
      <c r="C88" s="677"/>
      <c r="D88" s="677"/>
      <c r="E88" s="677"/>
      <c r="F88" s="677"/>
      <c r="G88" s="677"/>
      <c r="H88" s="677"/>
      <c r="I88" s="677"/>
      <c r="J88" s="677"/>
      <c r="K88" s="678"/>
      <c r="L88" s="294"/>
      <c r="M88" s="711"/>
      <c r="N88" s="712"/>
      <c r="O88" s="713"/>
    </row>
    <row r="89" spans="1:15" ht="18.75" customHeight="1">
      <c r="A89" s="297" t="s">
        <v>946</v>
      </c>
      <c r="B89" s="309" t="s">
        <v>3</v>
      </c>
      <c r="C89" s="309" t="s">
        <v>1167</v>
      </c>
      <c r="D89" s="309" t="s">
        <v>3</v>
      </c>
      <c r="E89" s="309" t="s">
        <v>3</v>
      </c>
      <c r="F89" s="309" t="s">
        <v>3</v>
      </c>
      <c r="G89" s="311">
        <v>0.04</v>
      </c>
      <c r="H89" s="309">
        <v>1</v>
      </c>
      <c r="I89" s="309">
        <f>G89*H89</f>
        <v>0.04</v>
      </c>
      <c r="J89" s="309" t="s">
        <v>841</v>
      </c>
      <c r="K89" s="310"/>
      <c r="L89" s="294"/>
      <c r="M89" s="340">
        <f t="shared" si="1"/>
        <v>10</v>
      </c>
      <c r="N89" s="70">
        <f t="shared" si="2"/>
        <v>0.4</v>
      </c>
      <c r="O89" s="299" t="s">
        <v>841</v>
      </c>
    </row>
    <row r="90" spans="1:15" ht="15.75">
      <c r="A90" s="298" t="s">
        <v>948</v>
      </c>
      <c r="B90" s="18" t="s">
        <v>3</v>
      </c>
      <c r="C90" s="18" t="s">
        <v>1347</v>
      </c>
      <c r="D90" s="18" t="s">
        <v>3</v>
      </c>
      <c r="E90" s="18" t="s">
        <v>3</v>
      </c>
      <c r="F90" s="18" t="s">
        <v>63</v>
      </c>
      <c r="G90" s="245">
        <v>1</v>
      </c>
      <c r="H90" s="245">
        <v>1</v>
      </c>
      <c r="I90" s="18">
        <f t="shared" ref="I90:I94" si="11">G90*H90</f>
        <v>1</v>
      </c>
      <c r="J90" s="18" t="s">
        <v>841</v>
      </c>
      <c r="K90" s="299"/>
      <c r="L90" s="294"/>
      <c r="M90" s="340">
        <f t="shared" si="1"/>
        <v>10</v>
      </c>
      <c r="N90" s="70">
        <f t="shared" si="2"/>
        <v>10</v>
      </c>
      <c r="O90" s="299" t="s">
        <v>841</v>
      </c>
    </row>
    <row r="91" spans="1:15" ht="24.75" customHeight="1">
      <c r="A91" s="298" t="s">
        <v>950</v>
      </c>
      <c r="B91" s="18" t="s">
        <v>1348</v>
      </c>
      <c r="C91" s="18" t="s">
        <v>1349</v>
      </c>
      <c r="D91" s="18" t="s">
        <v>3</v>
      </c>
      <c r="E91" s="18" t="s">
        <v>1322</v>
      </c>
      <c r="F91" s="18" t="s">
        <v>1176</v>
      </c>
      <c r="G91" s="245">
        <v>2</v>
      </c>
      <c r="H91" s="245">
        <v>1</v>
      </c>
      <c r="I91" s="18">
        <f t="shared" si="11"/>
        <v>2</v>
      </c>
      <c r="J91" s="245" t="s">
        <v>841</v>
      </c>
      <c r="K91" s="299" t="s">
        <v>1272</v>
      </c>
      <c r="L91" s="294"/>
      <c r="M91" s="340">
        <f t="shared" si="1"/>
        <v>10</v>
      </c>
      <c r="N91" s="70">
        <f t="shared" si="2"/>
        <v>20</v>
      </c>
      <c r="O91" s="299" t="s">
        <v>841</v>
      </c>
    </row>
    <row r="92" spans="1:15" ht="20.25" customHeight="1">
      <c r="A92" s="298" t="s">
        <v>951</v>
      </c>
      <c r="B92" s="18" t="s">
        <v>1348</v>
      </c>
      <c r="C92" s="18" t="s">
        <v>1350</v>
      </c>
      <c r="D92" s="18" t="s">
        <v>3</v>
      </c>
      <c r="E92" s="18" t="s">
        <v>1322</v>
      </c>
      <c r="F92" s="18" t="s">
        <v>1176</v>
      </c>
      <c r="G92" s="245">
        <v>2</v>
      </c>
      <c r="H92" s="245">
        <v>1</v>
      </c>
      <c r="I92" s="18">
        <f t="shared" si="11"/>
        <v>2</v>
      </c>
      <c r="J92" s="245" t="s">
        <v>841</v>
      </c>
      <c r="K92" s="299" t="s">
        <v>1272</v>
      </c>
      <c r="L92" s="294"/>
      <c r="M92" s="340">
        <f t="shared" si="1"/>
        <v>10</v>
      </c>
      <c r="N92" s="70">
        <f t="shared" si="2"/>
        <v>20</v>
      </c>
      <c r="O92" s="299" t="s">
        <v>841</v>
      </c>
    </row>
    <row r="93" spans="1:15" ht="21.75" customHeight="1">
      <c r="A93" s="298" t="s">
        <v>953</v>
      </c>
      <c r="B93" s="18" t="s">
        <v>1348</v>
      </c>
      <c r="C93" s="18" t="s">
        <v>1324</v>
      </c>
      <c r="D93" s="18" t="s">
        <v>3</v>
      </c>
      <c r="E93" s="18" t="s">
        <v>1322</v>
      </c>
      <c r="F93" s="18" t="s">
        <v>1176</v>
      </c>
      <c r="G93" s="245">
        <v>1</v>
      </c>
      <c r="H93" s="245">
        <v>1</v>
      </c>
      <c r="I93" s="18">
        <f t="shared" si="11"/>
        <v>1</v>
      </c>
      <c r="J93" s="245" t="s">
        <v>841</v>
      </c>
      <c r="K93" s="299" t="s">
        <v>1272</v>
      </c>
      <c r="L93" s="294"/>
      <c r="M93" s="340">
        <f t="shared" si="1"/>
        <v>10</v>
      </c>
      <c r="N93" s="70">
        <f t="shared" si="2"/>
        <v>10</v>
      </c>
      <c r="O93" s="299" t="s">
        <v>841</v>
      </c>
    </row>
    <row r="94" spans="1:15" ht="13.5" customHeight="1">
      <c r="A94" s="298" t="s">
        <v>954</v>
      </c>
      <c r="B94" s="18" t="s">
        <v>1348</v>
      </c>
      <c r="C94" s="18" t="s">
        <v>1325</v>
      </c>
      <c r="D94" s="18" t="s">
        <v>3</v>
      </c>
      <c r="E94" s="18" t="s">
        <v>1322</v>
      </c>
      <c r="F94" s="18" t="s">
        <v>1176</v>
      </c>
      <c r="G94" s="245">
        <v>1</v>
      </c>
      <c r="H94" s="245">
        <v>1</v>
      </c>
      <c r="I94" s="18">
        <f t="shared" si="11"/>
        <v>1</v>
      </c>
      <c r="J94" s="245" t="s">
        <v>841</v>
      </c>
      <c r="K94" s="299" t="s">
        <v>1272</v>
      </c>
      <c r="L94" s="294"/>
      <c r="M94" s="340">
        <f t="shared" si="1"/>
        <v>10</v>
      </c>
      <c r="N94" s="70">
        <f t="shared" si="2"/>
        <v>10</v>
      </c>
      <c r="O94" s="299" t="s">
        <v>841</v>
      </c>
    </row>
    <row r="95" spans="1:15" ht="15.75">
      <c r="A95" s="298" t="s">
        <v>955</v>
      </c>
      <c r="B95" s="18" t="s">
        <v>3</v>
      </c>
      <c r="C95" s="18" t="s">
        <v>1178</v>
      </c>
      <c r="D95" s="18" t="s">
        <v>3</v>
      </c>
      <c r="E95" s="18" t="s">
        <v>3</v>
      </c>
      <c r="F95" s="18" t="s">
        <v>3</v>
      </c>
      <c r="G95" s="18">
        <v>1</v>
      </c>
      <c r="H95" s="18">
        <v>1</v>
      </c>
      <c r="I95" s="18">
        <f t="shared" si="6"/>
        <v>1</v>
      </c>
      <c r="J95" s="18" t="s">
        <v>841</v>
      </c>
      <c r="K95" s="299"/>
      <c r="L95" s="294"/>
      <c r="M95" s="340">
        <f t="shared" si="1"/>
        <v>10</v>
      </c>
      <c r="N95" s="70">
        <f t="shared" si="2"/>
        <v>10</v>
      </c>
      <c r="O95" s="299" t="s">
        <v>841</v>
      </c>
    </row>
    <row r="96" spans="1:15" ht="15.75">
      <c r="A96" s="298" t="s">
        <v>956</v>
      </c>
      <c r="B96" s="18" t="s">
        <v>3</v>
      </c>
      <c r="C96" s="245" t="s">
        <v>1179</v>
      </c>
      <c r="D96" s="18" t="s">
        <v>3</v>
      </c>
      <c r="E96" s="18" t="s">
        <v>3</v>
      </c>
      <c r="F96" s="18" t="s">
        <v>3</v>
      </c>
      <c r="G96" s="18">
        <v>2</v>
      </c>
      <c r="H96" s="18">
        <v>1</v>
      </c>
      <c r="I96" s="18">
        <f t="shared" si="6"/>
        <v>2</v>
      </c>
      <c r="J96" s="18" t="s">
        <v>841</v>
      </c>
      <c r="K96" s="299"/>
      <c r="L96" s="294"/>
      <c r="M96" s="340">
        <f t="shared" si="1"/>
        <v>10</v>
      </c>
      <c r="N96" s="70">
        <f t="shared" si="2"/>
        <v>20</v>
      </c>
      <c r="O96" s="299" t="s">
        <v>841</v>
      </c>
    </row>
    <row r="97" spans="1:15" ht="15.75">
      <c r="A97" s="298" t="s">
        <v>957</v>
      </c>
      <c r="B97" s="18" t="s">
        <v>3</v>
      </c>
      <c r="C97" s="245" t="s">
        <v>113</v>
      </c>
      <c r="D97" s="18" t="s">
        <v>3</v>
      </c>
      <c r="E97" s="18" t="s">
        <v>3</v>
      </c>
      <c r="F97" s="18" t="s">
        <v>3</v>
      </c>
      <c r="G97" s="18">
        <v>1</v>
      </c>
      <c r="H97" s="18">
        <v>1</v>
      </c>
      <c r="I97" s="18">
        <f t="shared" si="6"/>
        <v>1</v>
      </c>
      <c r="J97" s="18" t="s">
        <v>841</v>
      </c>
      <c r="K97" s="299"/>
      <c r="L97" s="294"/>
      <c r="M97" s="340">
        <f t="shared" si="1"/>
        <v>10</v>
      </c>
      <c r="N97" s="70">
        <f t="shared" si="2"/>
        <v>10</v>
      </c>
      <c r="O97" s="299" t="s">
        <v>841</v>
      </c>
    </row>
    <row r="98" spans="1:15" ht="16.5" thickBot="1">
      <c r="A98" s="300" t="s">
        <v>959</v>
      </c>
      <c r="B98" s="287" t="s">
        <v>3</v>
      </c>
      <c r="C98" s="312" t="s">
        <v>1183</v>
      </c>
      <c r="D98" s="287" t="s">
        <v>3</v>
      </c>
      <c r="E98" s="287" t="s">
        <v>3</v>
      </c>
      <c r="F98" s="287" t="s">
        <v>1184</v>
      </c>
      <c r="G98" s="356">
        <v>0</v>
      </c>
      <c r="H98" s="287">
        <v>1</v>
      </c>
      <c r="I98" s="287">
        <f>G98*H98</f>
        <v>0</v>
      </c>
      <c r="J98" s="287" t="s">
        <v>935</v>
      </c>
      <c r="K98" s="303" t="s">
        <v>1185</v>
      </c>
      <c r="L98" s="294"/>
      <c r="M98" s="378">
        <f t="shared" si="1"/>
        <v>10</v>
      </c>
      <c r="N98" s="358">
        <f t="shared" si="2"/>
        <v>0</v>
      </c>
      <c r="O98" s="359" t="s">
        <v>935</v>
      </c>
    </row>
  </sheetData>
  <mergeCells count="47">
    <mergeCell ref="A1:K1"/>
    <mergeCell ref="M1:O1"/>
    <mergeCell ref="A2:A3"/>
    <mergeCell ref="B2:B3"/>
    <mergeCell ref="C2:C3"/>
    <mergeCell ref="D2:F2"/>
    <mergeCell ref="G2:G3"/>
    <mergeCell ref="H2:I2"/>
    <mergeCell ref="J2:J3"/>
    <mergeCell ref="K2:K3"/>
    <mergeCell ref="B24:K24"/>
    <mergeCell ref="M24:O24"/>
    <mergeCell ref="M2:M3"/>
    <mergeCell ref="N2:N3"/>
    <mergeCell ref="O2:O3"/>
    <mergeCell ref="A4:K4"/>
    <mergeCell ref="M4:O6"/>
    <mergeCell ref="B5:K5"/>
    <mergeCell ref="B6:K6"/>
    <mergeCell ref="B12:K12"/>
    <mergeCell ref="M12:O12"/>
    <mergeCell ref="B19:K19"/>
    <mergeCell ref="M19:O20"/>
    <mergeCell ref="B20:K20"/>
    <mergeCell ref="B26:K26"/>
    <mergeCell ref="M26:O27"/>
    <mergeCell ref="B27:K27"/>
    <mergeCell ref="B36:K36"/>
    <mergeCell ref="M36:O37"/>
    <mergeCell ref="B37:K37"/>
    <mergeCell ref="B41:K41"/>
    <mergeCell ref="M41:O41"/>
    <mergeCell ref="A44:K44"/>
    <mergeCell ref="M44:O44"/>
    <mergeCell ref="A46:K46"/>
    <mergeCell ref="M46:O46"/>
    <mergeCell ref="B53:K53"/>
    <mergeCell ref="M53:O53"/>
    <mergeCell ref="B65:K65"/>
    <mergeCell ref="M65:O65"/>
    <mergeCell ref="A81:K81"/>
    <mergeCell ref="M81:O81"/>
    <mergeCell ref="A85:K85"/>
    <mergeCell ref="M85:O85"/>
    <mergeCell ref="K86:K87"/>
    <mergeCell ref="A88:K88"/>
    <mergeCell ref="M88:O88"/>
  </mergeCells>
  <conditionalFormatting sqref="B29">
    <cfRule type="duplicateValues" dxfId="156" priority="8"/>
  </conditionalFormatting>
  <conditionalFormatting sqref="B45:C45">
    <cfRule type="duplicateValues" dxfId="155" priority="7"/>
  </conditionalFormatting>
  <conditionalFormatting sqref="B32:C32">
    <cfRule type="duplicateValues" dxfId="154" priority="6"/>
  </conditionalFormatting>
  <conditionalFormatting sqref="B35:C35">
    <cfRule type="duplicateValues" dxfId="153" priority="5"/>
  </conditionalFormatting>
  <conditionalFormatting sqref="B33:C33">
    <cfRule type="duplicateValues" dxfId="152" priority="4"/>
  </conditionalFormatting>
  <conditionalFormatting sqref="B34:C34">
    <cfRule type="duplicateValues" dxfId="151" priority="3"/>
  </conditionalFormatting>
  <conditionalFormatting sqref="B30:B31">
    <cfRule type="duplicateValues" dxfId="150" priority="9"/>
  </conditionalFormatting>
  <conditionalFormatting sqref="C39">
    <cfRule type="duplicateValues" dxfId="149" priority="2"/>
  </conditionalFormatting>
  <conditionalFormatting sqref="C40">
    <cfRule type="duplicateValues" dxfId="148" priority="1"/>
  </conditionalFormatting>
  <hyperlinks>
    <hyperlink ref="F52" r:id="rId1"/>
    <hyperlink ref="F66" r:id="rId2"/>
    <hyperlink ref="F67" r:id="rId3"/>
  </hyperlinks>
  <pageMargins left="0.7" right="0.7" top="0.75" bottom="0.75" header="0.3" footer="0.3"/>
  <pageSetup paperSize="9" orientation="portrait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tabSelected="1" workbookViewId="0">
      <selection activeCell="E11" sqref="E11"/>
    </sheetView>
  </sheetViews>
  <sheetFormatPr defaultRowHeight="15"/>
  <cols>
    <col min="1" max="1" width="6.85546875" bestFit="1" customWidth="1"/>
    <col min="2" max="2" width="29" customWidth="1"/>
    <col min="3" max="3" width="41.140625" customWidth="1"/>
    <col min="4" max="4" width="16.7109375" customWidth="1"/>
    <col min="5" max="5" width="28.28515625" customWidth="1"/>
    <col min="6" max="6" width="35.85546875" customWidth="1"/>
    <col min="7" max="7" width="8" customWidth="1"/>
    <col min="8" max="8" width="7.28515625" bestFit="1" customWidth="1"/>
    <col min="9" max="9" width="8.7109375" bestFit="1" customWidth="1"/>
    <col min="10" max="10" width="6.42578125" bestFit="1" customWidth="1"/>
    <col min="11" max="11" width="21.85546875" customWidth="1"/>
    <col min="13" max="13" width="16.85546875" bestFit="1" customWidth="1"/>
    <col min="14" max="14" width="7" bestFit="1" customWidth="1"/>
    <col min="15" max="15" width="6.42578125" bestFit="1" customWidth="1"/>
  </cols>
  <sheetData>
    <row r="1" spans="1:15" ht="21" thickBot="1">
      <c r="A1" s="655" t="s">
        <v>1351</v>
      </c>
      <c r="B1" s="656"/>
      <c r="C1" s="656"/>
      <c r="D1" s="656"/>
      <c r="E1" s="656"/>
      <c r="F1" s="656"/>
      <c r="G1" s="656"/>
      <c r="H1" s="657"/>
      <c r="I1" s="657"/>
      <c r="J1" s="657"/>
      <c r="K1" s="658"/>
      <c r="L1" s="294"/>
      <c r="M1" s="781" t="s">
        <v>1037</v>
      </c>
      <c r="N1" s="782"/>
      <c r="O1" s="783"/>
    </row>
    <row r="2" spans="1:15" ht="15.75">
      <c r="A2" s="659" t="s">
        <v>17</v>
      </c>
      <c r="B2" s="661" t="s">
        <v>789</v>
      </c>
      <c r="C2" s="661" t="s">
        <v>790</v>
      </c>
      <c r="D2" s="661" t="s">
        <v>791</v>
      </c>
      <c r="E2" s="661"/>
      <c r="F2" s="661"/>
      <c r="G2" s="661" t="s">
        <v>792</v>
      </c>
      <c r="H2" s="663" t="s">
        <v>367</v>
      </c>
      <c r="I2" s="664"/>
      <c r="J2" s="665" t="s">
        <v>793</v>
      </c>
      <c r="K2" s="667" t="s">
        <v>794</v>
      </c>
      <c r="L2" s="294"/>
      <c r="M2" s="688" t="s">
        <v>1038</v>
      </c>
      <c r="N2" s="689">
        <v>11</v>
      </c>
      <c r="O2" s="690" t="s">
        <v>793</v>
      </c>
    </row>
    <row r="3" spans="1:15" ht="32.25" thickBot="1">
      <c r="A3" s="660"/>
      <c r="B3" s="662"/>
      <c r="C3" s="662"/>
      <c r="D3" s="287" t="s">
        <v>795</v>
      </c>
      <c r="E3" s="287" t="s">
        <v>796</v>
      </c>
      <c r="F3" s="287" t="s">
        <v>797</v>
      </c>
      <c r="G3" s="662"/>
      <c r="H3" s="296" t="s">
        <v>25</v>
      </c>
      <c r="I3" s="296" t="s">
        <v>798</v>
      </c>
      <c r="J3" s="666"/>
      <c r="K3" s="668"/>
      <c r="L3" s="294"/>
      <c r="M3" s="688"/>
      <c r="N3" s="689"/>
      <c r="O3" s="690"/>
    </row>
    <row r="4" spans="1:15" ht="16.5" thickBot="1">
      <c r="A4" s="705" t="s">
        <v>799</v>
      </c>
      <c r="B4" s="706"/>
      <c r="C4" s="706"/>
      <c r="D4" s="706"/>
      <c r="E4" s="706"/>
      <c r="F4" s="706"/>
      <c r="G4" s="706"/>
      <c r="H4" s="706"/>
      <c r="I4" s="706"/>
      <c r="J4" s="706"/>
      <c r="K4" s="707"/>
      <c r="L4" s="294"/>
      <c r="M4" s="691" t="s">
        <v>1039</v>
      </c>
      <c r="N4" s="692"/>
      <c r="O4" s="693"/>
    </row>
    <row r="5" spans="1:15" ht="15.75">
      <c r="A5" s="297">
        <v>1</v>
      </c>
      <c r="B5" s="672" t="s">
        <v>1040</v>
      </c>
      <c r="C5" s="672"/>
      <c r="D5" s="672"/>
      <c r="E5" s="672"/>
      <c r="F5" s="672"/>
      <c r="G5" s="672"/>
      <c r="H5" s="672"/>
      <c r="I5" s="672"/>
      <c r="J5" s="672"/>
      <c r="K5" s="673"/>
      <c r="L5" s="294"/>
      <c r="M5" s="691"/>
      <c r="N5" s="692"/>
      <c r="O5" s="693"/>
    </row>
    <row r="6" spans="1:15" ht="15.75">
      <c r="A6" s="298" t="s">
        <v>801</v>
      </c>
      <c r="B6" s="651" t="s">
        <v>2</v>
      </c>
      <c r="C6" s="651"/>
      <c r="D6" s="651"/>
      <c r="E6" s="651"/>
      <c r="F6" s="651"/>
      <c r="G6" s="651"/>
      <c r="H6" s="651"/>
      <c r="I6" s="651"/>
      <c r="J6" s="651"/>
      <c r="K6" s="652"/>
      <c r="L6" s="294"/>
      <c r="M6" s="691"/>
      <c r="N6" s="692"/>
      <c r="O6" s="693"/>
    </row>
    <row r="7" spans="1:15" ht="15.75">
      <c r="A7" s="298" t="s">
        <v>802</v>
      </c>
      <c r="B7" s="369" t="s">
        <v>1253</v>
      </c>
      <c r="C7" s="369" t="s">
        <v>38</v>
      </c>
      <c r="D7" s="18" t="s">
        <v>771</v>
      </c>
      <c r="E7" s="18" t="s">
        <v>1117</v>
      </c>
      <c r="F7" s="18" t="s">
        <v>821</v>
      </c>
      <c r="G7" s="18">
        <v>1</v>
      </c>
      <c r="H7" s="18">
        <v>0.20200000000000001</v>
      </c>
      <c r="I7" s="18">
        <f>G7*H7</f>
        <v>0.20200000000000001</v>
      </c>
      <c r="J7" s="18" t="s">
        <v>807</v>
      </c>
      <c r="K7" s="299"/>
      <c r="L7" s="294"/>
      <c r="M7" s="340">
        <f>$N$2</f>
        <v>11</v>
      </c>
      <c r="N7" s="70">
        <f>M7*I7</f>
        <v>2.222</v>
      </c>
      <c r="O7" s="299" t="s">
        <v>807</v>
      </c>
    </row>
    <row r="8" spans="1:15" ht="15.75">
      <c r="A8" s="298" t="s">
        <v>808</v>
      </c>
      <c r="B8" s="18" t="s">
        <v>1043</v>
      </c>
      <c r="C8" s="18" t="s">
        <v>124</v>
      </c>
      <c r="D8" s="18" t="s">
        <v>771</v>
      </c>
      <c r="E8" s="18" t="s">
        <v>773</v>
      </c>
      <c r="F8" s="18" t="s">
        <v>37</v>
      </c>
      <c r="G8" s="18">
        <v>1</v>
      </c>
      <c r="H8" s="18">
        <v>8.7999999999999995E-2</v>
      </c>
      <c r="I8" s="18">
        <f t="shared" ref="I8:I18" si="0">G8*H8</f>
        <v>8.7999999999999995E-2</v>
      </c>
      <c r="J8" s="18" t="s">
        <v>807</v>
      </c>
      <c r="K8" s="299"/>
      <c r="L8" s="294"/>
      <c r="M8" s="340">
        <f>$N$2</f>
        <v>11</v>
      </c>
      <c r="N8" s="70">
        <f>M8*I8</f>
        <v>0.96799999999999997</v>
      </c>
      <c r="O8" s="299" t="s">
        <v>807</v>
      </c>
    </row>
    <row r="9" spans="1:15" ht="15.75">
      <c r="A9" s="298" t="s">
        <v>811</v>
      </c>
      <c r="B9" s="18" t="s">
        <v>1044</v>
      </c>
      <c r="C9" s="18" t="s">
        <v>1045</v>
      </c>
      <c r="D9" s="18" t="s">
        <v>771</v>
      </c>
      <c r="E9" s="18" t="s">
        <v>1046</v>
      </c>
      <c r="F9" s="18" t="s">
        <v>821</v>
      </c>
      <c r="G9" s="18">
        <v>1</v>
      </c>
      <c r="H9" s="18">
        <v>7.4999999999999997E-2</v>
      </c>
      <c r="I9" s="18">
        <f t="shared" si="0"/>
        <v>7.4999999999999997E-2</v>
      </c>
      <c r="J9" s="18" t="s">
        <v>807</v>
      </c>
      <c r="K9" s="299"/>
      <c r="L9" s="294"/>
      <c r="M9" s="340">
        <f>$N$2</f>
        <v>11</v>
      </c>
      <c r="N9" s="70">
        <f>M9*I9</f>
        <v>0.82499999999999996</v>
      </c>
      <c r="O9" s="299" t="s">
        <v>807</v>
      </c>
    </row>
    <row r="10" spans="1:15" ht="15.75">
      <c r="A10" s="298" t="s">
        <v>815</v>
      </c>
      <c r="B10" s="369" t="s">
        <v>1254</v>
      </c>
      <c r="C10" s="369" t="s">
        <v>853</v>
      </c>
      <c r="D10" s="18" t="s">
        <v>771</v>
      </c>
      <c r="E10" s="18" t="s">
        <v>820</v>
      </c>
      <c r="F10" s="18" t="s">
        <v>821</v>
      </c>
      <c r="G10" s="18">
        <v>1</v>
      </c>
      <c r="H10" s="18">
        <v>0.18</v>
      </c>
      <c r="I10" s="18">
        <f t="shared" si="0"/>
        <v>0.18</v>
      </c>
      <c r="J10" s="18" t="s">
        <v>807</v>
      </c>
      <c r="K10" s="299"/>
      <c r="L10" s="294"/>
      <c r="M10" s="340">
        <f>$N$2</f>
        <v>11</v>
      </c>
      <c r="N10" s="70">
        <f>M10*I10</f>
        <v>1.98</v>
      </c>
      <c r="O10" s="299" t="s">
        <v>807</v>
      </c>
    </row>
    <row r="11" spans="1:15" ht="15" customHeight="1">
      <c r="A11" s="298" t="s">
        <v>818</v>
      </c>
      <c r="B11" s="18" t="s">
        <v>1047</v>
      </c>
      <c r="C11" s="18" t="s">
        <v>1048</v>
      </c>
      <c r="D11" s="18" t="s">
        <v>772</v>
      </c>
      <c r="E11" s="18" t="s">
        <v>774</v>
      </c>
      <c r="F11" s="18" t="s">
        <v>806</v>
      </c>
      <c r="G11" s="18">
        <v>1</v>
      </c>
      <c r="H11" s="18">
        <v>2.6000000000000002E-2</v>
      </c>
      <c r="I11" s="18">
        <f t="shared" si="0"/>
        <v>2.6000000000000002E-2</v>
      </c>
      <c r="J11" s="18" t="s">
        <v>807</v>
      </c>
      <c r="K11" s="299"/>
      <c r="L11" s="294"/>
      <c r="M11" s="340">
        <f>$N$2</f>
        <v>11</v>
      </c>
      <c r="N11" s="70">
        <f>M11*I11</f>
        <v>0.28600000000000003</v>
      </c>
      <c r="O11" s="299" t="s">
        <v>807</v>
      </c>
    </row>
    <row r="12" spans="1:15" ht="15.75">
      <c r="A12" s="298" t="s">
        <v>1057</v>
      </c>
      <c r="B12" s="651" t="s">
        <v>839</v>
      </c>
      <c r="C12" s="651"/>
      <c r="D12" s="651"/>
      <c r="E12" s="651"/>
      <c r="F12" s="651"/>
      <c r="G12" s="651"/>
      <c r="H12" s="651"/>
      <c r="I12" s="651"/>
      <c r="J12" s="651"/>
      <c r="K12" s="652"/>
      <c r="L12" s="294"/>
      <c r="M12" s="711"/>
      <c r="N12" s="712"/>
      <c r="O12" s="713"/>
    </row>
    <row r="13" spans="1:15" ht="15.75">
      <c r="A13" s="298" t="s">
        <v>1058</v>
      </c>
      <c r="B13" s="18" t="s">
        <v>3</v>
      </c>
      <c r="C13" s="18" t="s">
        <v>1059</v>
      </c>
      <c r="D13" s="18" t="s">
        <v>3</v>
      </c>
      <c r="E13" s="18" t="s">
        <v>3</v>
      </c>
      <c r="F13" s="18" t="s">
        <v>762</v>
      </c>
      <c r="G13" s="18">
        <v>1</v>
      </c>
      <c r="H13" s="18">
        <v>1</v>
      </c>
      <c r="I13" s="18">
        <f t="shared" si="0"/>
        <v>1</v>
      </c>
      <c r="J13" s="18" t="s">
        <v>841</v>
      </c>
      <c r="K13" s="299"/>
      <c r="L13" s="294"/>
      <c r="M13" s="340">
        <f t="shared" ref="M13:M95" si="1">$N$2</f>
        <v>11</v>
      </c>
      <c r="N13" s="70">
        <f t="shared" ref="N13:N33" si="2">M13*I13</f>
        <v>11</v>
      </c>
      <c r="O13" s="299" t="s">
        <v>841</v>
      </c>
    </row>
    <row r="14" spans="1:15" ht="15.75">
      <c r="A14" s="298" t="s">
        <v>1061</v>
      </c>
      <c r="B14" s="18" t="s">
        <v>3</v>
      </c>
      <c r="C14" s="18" t="s">
        <v>1255</v>
      </c>
      <c r="D14" s="18" t="s">
        <v>3</v>
      </c>
      <c r="E14" s="18" t="s">
        <v>3</v>
      </c>
      <c r="F14" s="18" t="s">
        <v>1209</v>
      </c>
      <c r="G14" s="18">
        <v>1</v>
      </c>
      <c r="H14" s="18">
        <v>1</v>
      </c>
      <c r="I14" s="18">
        <f t="shared" si="0"/>
        <v>1</v>
      </c>
      <c r="J14" s="18" t="s">
        <v>841</v>
      </c>
      <c r="K14" s="299"/>
      <c r="L14" s="294"/>
      <c r="M14" s="340">
        <f t="shared" si="1"/>
        <v>11</v>
      </c>
      <c r="N14" s="70">
        <f t="shared" si="2"/>
        <v>11</v>
      </c>
      <c r="O14" s="299" t="s">
        <v>841</v>
      </c>
    </row>
    <row r="15" spans="1:15" ht="15.75">
      <c r="A15" s="298" t="s">
        <v>1064</v>
      </c>
      <c r="B15" s="18" t="s">
        <v>3</v>
      </c>
      <c r="C15" s="18" t="s">
        <v>1256</v>
      </c>
      <c r="D15" s="18" t="s">
        <v>3</v>
      </c>
      <c r="E15" s="18" t="s">
        <v>3</v>
      </c>
      <c r="F15" s="18" t="s">
        <v>3</v>
      </c>
      <c r="G15" s="18">
        <v>1</v>
      </c>
      <c r="H15" s="18">
        <v>1</v>
      </c>
      <c r="I15" s="18">
        <f t="shared" si="0"/>
        <v>1</v>
      </c>
      <c r="J15" s="18" t="s">
        <v>841</v>
      </c>
      <c r="K15" s="299"/>
      <c r="L15" s="294"/>
      <c r="M15" s="340">
        <f t="shared" si="1"/>
        <v>11</v>
      </c>
      <c r="N15" s="70">
        <f t="shared" si="2"/>
        <v>11</v>
      </c>
      <c r="O15" s="299" t="s">
        <v>841</v>
      </c>
    </row>
    <row r="16" spans="1:15" ht="15.75">
      <c r="A16" s="298" t="s">
        <v>1067</v>
      </c>
      <c r="B16" s="18" t="s">
        <v>3</v>
      </c>
      <c r="C16" s="18" t="s">
        <v>1079</v>
      </c>
      <c r="D16" s="18" t="s">
        <v>3</v>
      </c>
      <c r="E16" s="18" t="s">
        <v>3</v>
      </c>
      <c r="F16" s="18" t="s">
        <v>3</v>
      </c>
      <c r="G16" s="18">
        <v>1</v>
      </c>
      <c r="H16" s="18">
        <v>1</v>
      </c>
      <c r="I16" s="18">
        <f t="shared" si="0"/>
        <v>1</v>
      </c>
      <c r="J16" s="18" t="s">
        <v>841</v>
      </c>
      <c r="K16" s="299"/>
      <c r="L16" s="294"/>
      <c r="M16" s="340">
        <f t="shared" si="1"/>
        <v>11</v>
      </c>
      <c r="N16" s="70">
        <f t="shared" si="2"/>
        <v>11</v>
      </c>
      <c r="O16" s="299" t="s">
        <v>841</v>
      </c>
    </row>
    <row r="17" spans="1:15" ht="15.75">
      <c r="A17" s="298" t="s">
        <v>1070</v>
      </c>
      <c r="B17" s="18" t="s">
        <v>3</v>
      </c>
      <c r="C17" s="18" t="s">
        <v>1081</v>
      </c>
      <c r="D17" s="18" t="s">
        <v>3</v>
      </c>
      <c r="E17" s="18" t="s">
        <v>3</v>
      </c>
      <c r="F17" s="18" t="s">
        <v>3</v>
      </c>
      <c r="G17" s="18">
        <v>1</v>
      </c>
      <c r="H17" s="18">
        <v>1</v>
      </c>
      <c r="I17" s="18">
        <f t="shared" si="0"/>
        <v>1</v>
      </c>
      <c r="J17" s="18" t="s">
        <v>841</v>
      </c>
      <c r="K17" s="299"/>
      <c r="L17" s="294"/>
      <c r="M17" s="340">
        <f t="shared" si="1"/>
        <v>11</v>
      </c>
      <c r="N17" s="70">
        <f t="shared" si="2"/>
        <v>11</v>
      </c>
      <c r="O17" s="299" t="s">
        <v>841</v>
      </c>
    </row>
    <row r="18" spans="1:15" ht="16.5" thickBot="1">
      <c r="A18" s="298" t="s">
        <v>1072</v>
      </c>
      <c r="B18" s="34" t="s">
        <v>3</v>
      </c>
      <c r="C18" s="34" t="s">
        <v>1085</v>
      </c>
      <c r="D18" s="34" t="s">
        <v>3</v>
      </c>
      <c r="E18" s="34" t="s">
        <v>3</v>
      </c>
      <c r="F18" s="34" t="s">
        <v>3</v>
      </c>
      <c r="G18" s="34">
        <v>1</v>
      </c>
      <c r="H18" s="34">
        <v>1</v>
      </c>
      <c r="I18" s="34">
        <f t="shared" si="0"/>
        <v>1</v>
      </c>
      <c r="J18" s="34" t="s">
        <v>841</v>
      </c>
      <c r="K18" s="315"/>
      <c r="L18" s="294"/>
      <c r="M18" s="340">
        <f t="shared" si="1"/>
        <v>11</v>
      </c>
      <c r="N18" s="70">
        <f t="shared" si="2"/>
        <v>11</v>
      </c>
      <c r="O18" s="299" t="s">
        <v>841</v>
      </c>
    </row>
    <row r="19" spans="1:15" ht="15.75">
      <c r="A19" s="297" t="s">
        <v>822</v>
      </c>
      <c r="B19" s="672" t="s">
        <v>823</v>
      </c>
      <c r="C19" s="672"/>
      <c r="D19" s="672"/>
      <c r="E19" s="672"/>
      <c r="F19" s="672"/>
      <c r="G19" s="672"/>
      <c r="H19" s="672"/>
      <c r="I19" s="672"/>
      <c r="J19" s="672"/>
      <c r="K19" s="673"/>
      <c r="L19" s="294"/>
      <c r="M19" s="711"/>
      <c r="N19" s="712"/>
      <c r="O19" s="713"/>
    </row>
    <row r="20" spans="1:15" ht="15.75">
      <c r="A20" s="298" t="s">
        <v>824</v>
      </c>
      <c r="B20" s="651" t="s">
        <v>2</v>
      </c>
      <c r="C20" s="651"/>
      <c r="D20" s="651"/>
      <c r="E20" s="651"/>
      <c r="F20" s="651"/>
      <c r="G20" s="651"/>
      <c r="H20" s="651"/>
      <c r="I20" s="651"/>
      <c r="J20" s="651"/>
      <c r="K20" s="652"/>
      <c r="L20" s="294"/>
      <c r="M20" s="711"/>
      <c r="N20" s="712"/>
      <c r="O20" s="713"/>
    </row>
    <row r="21" spans="1:15" ht="20.25" customHeight="1">
      <c r="A21" s="298" t="s">
        <v>825</v>
      </c>
      <c r="B21" s="18" t="s">
        <v>826</v>
      </c>
      <c r="C21" s="18" t="s">
        <v>827</v>
      </c>
      <c r="D21" s="18" t="s">
        <v>777</v>
      </c>
      <c r="E21" s="18" t="s">
        <v>775</v>
      </c>
      <c r="F21" s="18" t="s">
        <v>828</v>
      </c>
      <c r="G21" s="18">
        <v>1</v>
      </c>
      <c r="H21" s="18">
        <v>0.28699999999999998</v>
      </c>
      <c r="I21" s="18">
        <f t="shared" ref="I21:I25" si="3">G21*H21</f>
        <v>0.28699999999999998</v>
      </c>
      <c r="J21" s="18" t="s">
        <v>807</v>
      </c>
      <c r="K21" s="299"/>
      <c r="L21" s="294"/>
      <c r="M21" s="340">
        <f t="shared" si="1"/>
        <v>11</v>
      </c>
      <c r="N21" s="70">
        <f t="shared" si="2"/>
        <v>3.1569999999999996</v>
      </c>
      <c r="O21" s="299" t="s">
        <v>807</v>
      </c>
    </row>
    <row r="22" spans="1:15" ht="15" customHeight="1">
      <c r="A22" s="298" t="s">
        <v>829</v>
      </c>
      <c r="B22" s="18" t="s">
        <v>830</v>
      </c>
      <c r="C22" s="18" t="s">
        <v>5</v>
      </c>
      <c r="D22" s="18" t="s">
        <v>772</v>
      </c>
      <c r="E22" s="18" t="s">
        <v>779</v>
      </c>
      <c r="F22" s="18" t="s">
        <v>831</v>
      </c>
      <c r="G22" s="18">
        <v>1</v>
      </c>
      <c r="H22" s="18">
        <v>1.3999999999999999E-2</v>
      </c>
      <c r="I22" s="18">
        <f t="shared" si="3"/>
        <v>1.3999999999999999E-2</v>
      </c>
      <c r="J22" s="18" t="s">
        <v>807</v>
      </c>
      <c r="K22" s="299"/>
      <c r="L22" s="294"/>
      <c r="M22" s="340">
        <f t="shared" si="1"/>
        <v>11</v>
      </c>
      <c r="N22" s="70">
        <f t="shared" si="2"/>
        <v>0.15399999999999997</v>
      </c>
      <c r="O22" s="299" t="s">
        <v>807</v>
      </c>
    </row>
    <row r="23" spans="1:15" ht="15.75">
      <c r="A23" s="298" t="s">
        <v>832</v>
      </c>
      <c r="B23" s="18" t="s">
        <v>833</v>
      </c>
      <c r="C23" s="18" t="s">
        <v>7</v>
      </c>
      <c r="D23" s="18" t="s">
        <v>778</v>
      </c>
      <c r="E23" s="18" t="s">
        <v>776</v>
      </c>
      <c r="F23" s="18" t="s">
        <v>834</v>
      </c>
      <c r="G23" s="18">
        <v>1</v>
      </c>
      <c r="H23" s="18">
        <v>2E-3</v>
      </c>
      <c r="I23" s="18">
        <f t="shared" si="3"/>
        <v>2E-3</v>
      </c>
      <c r="J23" s="18" t="s">
        <v>807</v>
      </c>
      <c r="K23" s="299"/>
      <c r="L23" s="294"/>
      <c r="M23" s="340">
        <f t="shared" si="1"/>
        <v>11</v>
      </c>
      <c r="N23" s="70">
        <f t="shared" si="2"/>
        <v>2.1999999999999999E-2</v>
      </c>
      <c r="O23" s="299" t="s">
        <v>807</v>
      </c>
    </row>
    <row r="24" spans="1:15" ht="15.75">
      <c r="A24" s="298" t="s">
        <v>838</v>
      </c>
      <c r="B24" s="651" t="s">
        <v>839</v>
      </c>
      <c r="C24" s="651"/>
      <c r="D24" s="651"/>
      <c r="E24" s="651"/>
      <c r="F24" s="651"/>
      <c r="G24" s="651"/>
      <c r="H24" s="651"/>
      <c r="I24" s="651"/>
      <c r="J24" s="651"/>
      <c r="K24" s="652"/>
      <c r="L24" s="294"/>
      <c r="M24" s="711"/>
      <c r="N24" s="712"/>
      <c r="O24" s="713"/>
    </row>
    <row r="25" spans="1:15" ht="16.5" thickBot="1">
      <c r="A25" s="305" t="s">
        <v>840</v>
      </c>
      <c r="B25" s="34" t="s">
        <v>3</v>
      </c>
      <c r="C25" s="34" t="s">
        <v>780</v>
      </c>
      <c r="D25" s="34" t="s">
        <v>3</v>
      </c>
      <c r="E25" s="34" t="s">
        <v>3</v>
      </c>
      <c r="F25" s="18" t="s">
        <v>36</v>
      </c>
      <c r="G25" s="34">
        <v>1</v>
      </c>
      <c r="H25" s="34">
        <v>1</v>
      </c>
      <c r="I25" s="34">
        <f t="shared" si="3"/>
        <v>1</v>
      </c>
      <c r="J25" s="34" t="s">
        <v>841</v>
      </c>
      <c r="K25" s="315"/>
      <c r="L25" s="294"/>
      <c r="M25" s="340">
        <f t="shared" si="1"/>
        <v>11</v>
      </c>
      <c r="N25" s="70">
        <f t="shared" si="2"/>
        <v>11</v>
      </c>
      <c r="O25" s="299" t="s">
        <v>841</v>
      </c>
    </row>
    <row r="26" spans="1:15" ht="15.75">
      <c r="A26" s="297">
        <v>3</v>
      </c>
      <c r="B26" s="672" t="s">
        <v>1257</v>
      </c>
      <c r="C26" s="672"/>
      <c r="D26" s="672"/>
      <c r="E26" s="672"/>
      <c r="F26" s="672"/>
      <c r="G26" s="672"/>
      <c r="H26" s="672"/>
      <c r="I26" s="672"/>
      <c r="J26" s="672"/>
      <c r="K26" s="673"/>
      <c r="L26" s="294"/>
      <c r="M26" s="711"/>
      <c r="N26" s="712"/>
      <c r="O26" s="713"/>
    </row>
    <row r="27" spans="1:15" ht="15.75">
      <c r="A27" s="298" t="s">
        <v>843</v>
      </c>
      <c r="B27" s="651" t="s">
        <v>2</v>
      </c>
      <c r="C27" s="651"/>
      <c r="D27" s="651"/>
      <c r="E27" s="651"/>
      <c r="F27" s="651"/>
      <c r="G27" s="651"/>
      <c r="H27" s="651"/>
      <c r="I27" s="651"/>
      <c r="J27" s="651"/>
      <c r="K27" s="652"/>
      <c r="L27" s="294"/>
      <c r="M27" s="711"/>
      <c r="N27" s="712"/>
      <c r="O27" s="713"/>
    </row>
    <row r="28" spans="1:15" ht="15.75">
      <c r="A28" s="298" t="s">
        <v>844</v>
      </c>
      <c r="B28" s="369" t="s">
        <v>1258</v>
      </c>
      <c r="C28" s="369" t="s">
        <v>770</v>
      </c>
      <c r="D28" s="369" t="s">
        <v>770</v>
      </c>
      <c r="E28" s="18" t="s">
        <v>1259</v>
      </c>
      <c r="F28" s="18" t="s">
        <v>1097</v>
      </c>
      <c r="G28" s="18">
        <v>1</v>
      </c>
      <c r="H28" s="18">
        <v>1.1439999999999999</v>
      </c>
      <c r="I28" s="18">
        <f t="shared" ref="I28:I33" si="4">G28*H28</f>
        <v>1.1439999999999999</v>
      </c>
      <c r="J28" s="18" t="s">
        <v>807</v>
      </c>
      <c r="K28" s="299"/>
      <c r="L28" s="294"/>
      <c r="M28" s="340">
        <f t="shared" si="1"/>
        <v>11</v>
      </c>
      <c r="N28" s="70">
        <f t="shared" si="2"/>
        <v>12.584</v>
      </c>
      <c r="O28" s="299" t="s">
        <v>807</v>
      </c>
    </row>
    <row r="29" spans="1:15" ht="15.75">
      <c r="A29" s="298" t="s">
        <v>848</v>
      </c>
      <c r="B29" s="369" t="s">
        <v>1352</v>
      </c>
      <c r="C29" s="369" t="s">
        <v>770</v>
      </c>
      <c r="D29" s="369" t="s">
        <v>770</v>
      </c>
      <c r="E29" s="18" t="s">
        <v>1259</v>
      </c>
      <c r="F29" s="18" t="s">
        <v>1097</v>
      </c>
      <c r="G29" s="31">
        <v>1</v>
      </c>
      <c r="H29" s="18">
        <v>0.36399999999999999</v>
      </c>
      <c r="I29" s="18">
        <f t="shared" si="4"/>
        <v>0.36399999999999999</v>
      </c>
      <c r="J29" s="18" t="s">
        <v>807</v>
      </c>
      <c r="K29" s="308"/>
      <c r="L29" s="294"/>
      <c r="M29" s="340">
        <f t="shared" si="1"/>
        <v>11</v>
      </c>
      <c r="N29" s="70">
        <f t="shared" si="2"/>
        <v>4.0039999999999996</v>
      </c>
      <c r="O29" s="299" t="s">
        <v>807</v>
      </c>
    </row>
    <row r="30" spans="1:15" ht="15.75">
      <c r="A30" s="298" t="s">
        <v>851</v>
      </c>
      <c r="B30" s="369" t="s">
        <v>1353</v>
      </c>
      <c r="C30" s="369" t="s">
        <v>770</v>
      </c>
      <c r="D30" s="369" t="s">
        <v>770</v>
      </c>
      <c r="E30" s="18" t="s">
        <v>1259</v>
      </c>
      <c r="F30" s="18" t="s">
        <v>1097</v>
      </c>
      <c r="G30" s="31">
        <v>1</v>
      </c>
      <c r="H30" s="18">
        <v>0.13800000000000001</v>
      </c>
      <c r="I30" s="18">
        <f t="shared" si="4"/>
        <v>0.13800000000000001</v>
      </c>
      <c r="J30" s="18" t="s">
        <v>807</v>
      </c>
      <c r="K30" s="308"/>
      <c r="L30" s="294"/>
      <c r="M30" s="340">
        <f t="shared" si="1"/>
        <v>11</v>
      </c>
      <c r="N30" s="70">
        <f t="shared" si="2"/>
        <v>1.5180000000000002</v>
      </c>
      <c r="O30" s="299" t="s">
        <v>807</v>
      </c>
    </row>
    <row r="31" spans="1:15" ht="15.75">
      <c r="A31" s="298" t="s">
        <v>857</v>
      </c>
      <c r="B31" s="369" t="s">
        <v>1354</v>
      </c>
      <c r="C31" s="369" t="s">
        <v>1264</v>
      </c>
      <c r="D31" s="18" t="s">
        <v>771</v>
      </c>
      <c r="E31" s="18" t="s">
        <v>1117</v>
      </c>
      <c r="F31" s="18" t="s">
        <v>821</v>
      </c>
      <c r="G31" s="31">
        <v>1</v>
      </c>
      <c r="H31" s="18">
        <v>0.67300000000000004</v>
      </c>
      <c r="I31" s="18">
        <f t="shared" si="4"/>
        <v>0.67300000000000004</v>
      </c>
      <c r="J31" s="18" t="s">
        <v>807</v>
      </c>
      <c r="K31" s="304"/>
      <c r="L31" s="294"/>
      <c r="M31" s="340">
        <f t="shared" si="1"/>
        <v>11</v>
      </c>
      <c r="N31" s="70">
        <f t="shared" si="2"/>
        <v>7.4030000000000005</v>
      </c>
      <c r="O31" s="299" t="s">
        <v>807</v>
      </c>
    </row>
    <row r="32" spans="1:15" ht="15.75">
      <c r="A32" s="298" t="s">
        <v>860</v>
      </c>
      <c r="B32" s="369" t="s">
        <v>1265</v>
      </c>
      <c r="C32" s="369" t="s">
        <v>134</v>
      </c>
      <c r="D32" s="18" t="s">
        <v>771</v>
      </c>
      <c r="E32" s="18" t="s">
        <v>1117</v>
      </c>
      <c r="F32" s="18" t="s">
        <v>821</v>
      </c>
      <c r="G32" s="31">
        <v>1</v>
      </c>
      <c r="H32" s="18">
        <v>0.60599999999999998</v>
      </c>
      <c r="I32" s="18">
        <f t="shared" si="4"/>
        <v>0.60599999999999998</v>
      </c>
      <c r="J32" s="18" t="s">
        <v>807</v>
      </c>
      <c r="K32" s="304"/>
      <c r="L32" s="294"/>
      <c r="M32" s="340">
        <f t="shared" si="1"/>
        <v>11</v>
      </c>
      <c r="N32" s="70">
        <f t="shared" si="2"/>
        <v>6.6659999999999995</v>
      </c>
      <c r="O32" s="299" t="s">
        <v>807</v>
      </c>
    </row>
    <row r="33" spans="1:15" ht="16.5" thickBot="1">
      <c r="A33" s="305" t="s">
        <v>864</v>
      </c>
      <c r="B33" s="379" t="s">
        <v>1266</v>
      </c>
      <c r="C33" s="379" t="s">
        <v>1267</v>
      </c>
      <c r="D33" s="34" t="s">
        <v>771</v>
      </c>
      <c r="E33" s="34" t="s">
        <v>1117</v>
      </c>
      <c r="F33" s="34" t="s">
        <v>821</v>
      </c>
      <c r="G33" s="343">
        <v>1</v>
      </c>
      <c r="H33" s="34">
        <v>0.505</v>
      </c>
      <c r="I33" s="34">
        <f t="shared" si="4"/>
        <v>0.505</v>
      </c>
      <c r="J33" s="34" t="s">
        <v>807</v>
      </c>
      <c r="K33" s="370"/>
      <c r="L33" s="294"/>
      <c r="M33" s="340">
        <f t="shared" si="1"/>
        <v>11</v>
      </c>
      <c r="N33" s="70">
        <f t="shared" si="2"/>
        <v>5.5549999999999997</v>
      </c>
      <c r="O33" s="299" t="s">
        <v>807</v>
      </c>
    </row>
    <row r="34" spans="1:15" ht="15.75">
      <c r="A34" s="297" t="s">
        <v>881</v>
      </c>
      <c r="B34" s="672" t="s">
        <v>1099</v>
      </c>
      <c r="C34" s="672"/>
      <c r="D34" s="672"/>
      <c r="E34" s="672"/>
      <c r="F34" s="672"/>
      <c r="G34" s="672"/>
      <c r="H34" s="672"/>
      <c r="I34" s="672"/>
      <c r="J34" s="672"/>
      <c r="K34" s="673"/>
      <c r="M34" s="711"/>
      <c r="N34" s="712"/>
      <c r="O34" s="713"/>
    </row>
    <row r="35" spans="1:15" ht="15.75">
      <c r="A35" s="298" t="s">
        <v>882</v>
      </c>
      <c r="B35" s="651" t="s">
        <v>2</v>
      </c>
      <c r="C35" s="651"/>
      <c r="D35" s="651"/>
      <c r="E35" s="651"/>
      <c r="F35" s="651"/>
      <c r="G35" s="651"/>
      <c r="H35" s="651"/>
      <c r="I35" s="651"/>
      <c r="J35" s="651"/>
      <c r="K35" s="652"/>
      <c r="M35" s="711"/>
      <c r="N35" s="712"/>
      <c r="O35" s="713"/>
    </row>
    <row r="36" spans="1:15" ht="15.75">
      <c r="A36" s="298" t="s">
        <v>883</v>
      </c>
      <c r="B36" s="18" t="s">
        <v>1100</v>
      </c>
      <c r="C36" s="18" t="s">
        <v>800</v>
      </c>
      <c r="D36" s="18" t="s">
        <v>771</v>
      </c>
      <c r="E36" s="18" t="s">
        <v>1101</v>
      </c>
      <c r="F36" s="18" t="s">
        <v>821</v>
      </c>
      <c r="G36" s="18">
        <v>1</v>
      </c>
      <c r="H36" s="18">
        <v>4.2000000000000003E-2</v>
      </c>
      <c r="I36" s="18">
        <f>G36*H36</f>
        <v>4.2000000000000003E-2</v>
      </c>
      <c r="J36" s="18" t="s">
        <v>807</v>
      </c>
      <c r="K36" s="299"/>
      <c r="M36" s="340">
        <f t="shared" si="1"/>
        <v>11</v>
      </c>
      <c r="N36" s="70">
        <f t="shared" ref="N36:N96" si="5">M36*I36</f>
        <v>0.46200000000000002</v>
      </c>
      <c r="O36" s="299" t="s">
        <v>807</v>
      </c>
    </row>
    <row r="37" spans="1:15" ht="15.75">
      <c r="A37" s="298" t="s">
        <v>885</v>
      </c>
      <c r="B37" s="18" t="s">
        <v>1102</v>
      </c>
      <c r="C37" s="18" t="s">
        <v>1103</v>
      </c>
      <c r="D37" s="18" t="s">
        <v>771</v>
      </c>
      <c r="E37" s="18" t="s">
        <v>1104</v>
      </c>
      <c r="F37" s="18" t="s">
        <v>1105</v>
      </c>
      <c r="G37" s="31">
        <v>1</v>
      </c>
      <c r="H37" s="18">
        <v>2.1000000000000001E-2</v>
      </c>
      <c r="I37" s="18">
        <f t="shared" ref="I37:I38" si="6">G37*H37</f>
        <v>2.1000000000000001E-2</v>
      </c>
      <c r="J37" s="18" t="s">
        <v>807</v>
      </c>
      <c r="K37" s="308"/>
      <c r="M37" s="340">
        <f t="shared" si="1"/>
        <v>11</v>
      </c>
      <c r="N37" s="70">
        <f t="shared" si="5"/>
        <v>0.23100000000000001</v>
      </c>
      <c r="O37" s="299" t="s">
        <v>807</v>
      </c>
    </row>
    <row r="38" spans="1:15" ht="15.75">
      <c r="A38" s="298" t="s">
        <v>887</v>
      </c>
      <c r="B38" s="18" t="s">
        <v>1106</v>
      </c>
      <c r="C38" s="18" t="s">
        <v>1107</v>
      </c>
      <c r="D38" s="18" t="s">
        <v>771</v>
      </c>
      <c r="E38" s="18" t="s">
        <v>1101</v>
      </c>
      <c r="F38" s="18" t="s">
        <v>821</v>
      </c>
      <c r="G38" s="31">
        <v>1</v>
      </c>
      <c r="H38" s="18">
        <v>4.2000000000000003E-2</v>
      </c>
      <c r="I38" s="18">
        <f t="shared" si="6"/>
        <v>4.2000000000000003E-2</v>
      </c>
      <c r="J38" s="18" t="s">
        <v>807</v>
      </c>
      <c r="K38" s="308"/>
      <c r="M38" s="340">
        <f t="shared" si="1"/>
        <v>11</v>
      </c>
      <c r="N38" s="70">
        <f t="shared" si="5"/>
        <v>0.46200000000000002</v>
      </c>
      <c r="O38" s="299" t="s">
        <v>807</v>
      </c>
    </row>
    <row r="39" spans="1:15" ht="15.75">
      <c r="A39" s="298" t="s">
        <v>1108</v>
      </c>
      <c r="B39" s="651" t="s">
        <v>839</v>
      </c>
      <c r="C39" s="651"/>
      <c r="D39" s="651"/>
      <c r="E39" s="651"/>
      <c r="F39" s="651"/>
      <c r="G39" s="651"/>
      <c r="H39" s="651"/>
      <c r="I39" s="651"/>
      <c r="J39" s="651"/>
      <c r="K39" s="652"/>
      <c r="M39" s="685"/>
      <c r="N39" s="686"/>
      <c r="O39" s="687"/>
    </row>
    <row r="40" spans="1:15" ht="15.75">
      <c r="A40" s="298" t="s">
        <v>1109</v>
      </c>
      <c r="B40" s="334" t="s">
        <v>3</v>
      </c>
      <c r="C40" s="18" t="s">
        <v>236</v>
      </c>
      <c r="D40" s="18" t="s">
        <v>3</v>
      </c>
      <c r="E40" s="18" t="s">
        <v>3</v>
      </c>
      <c r="F40" s="18" t="s">
        <v>53</v>
      </c>
      <c r="G40" s="31">
        <v>1</v>
      </c>
      <c r="H40" s="31">
        <v>1</v>
      </c>
      <c r="I40" s="18">
        <f>G40*H40</f>
        <v>1</v>
      </c>
      <c r="J40" s="18" t="s">
        <v>841</v>
      </c>
      <c r="K40" s="335"/>
      <c r="M40" s="340">
        <f t="shared" si="1"/>
        <v>11</v>
      </c>
      <c r="N40" s="70">
        <f t="shared" si="5"/>
        <v>11</v>
      </c>
      <c r="O40" s="299" t="s">
        <v>841</v>
      </c>
    </row>
    <row r="41" spans="1:15" ht="16.5" thickBot="1">
      <c r="A41" s="300" t="s">
        <v>1110</v>
      </c>
      <c r="B41" s="344" t="s">
        <v>3</v>
      </c>
      <c r="C41" s="287" t="s">
        <v>1083</v>
      </c>
      <c r="D41" s="287" t="s">
        <v>3</v>
      </c>
      <c r="E41" s="287" t="s">
        <v>3</v>
      </c>
      <c r="F41" s="287" t="s">
        <v>3</v>
      </c>
      <c r="G41" s="345">
        <v>1</v>
      </c>
      <c r="H41" s="345">
        <v>1</v>
      </c>
      <c r="I41" s="287">
        <f>G41*H41</f>
        <v>1</v>
      </c>
      <c r="J41" s="287" t="s">
        <v>841</v>
      </c>
      <c r="K41" s="346"/>
      <c r="M41" s="340">
        <f t="shared" si="1"/>
        <v>11</v>
      </c>
      <c r="N41" s="70">
        <f t="shared" si="5"/>
        <v>11</v>
      </c>
      <c r="O41" s="299" t="s">
        <v>841</v>
      </c>
    </row>
    <row r="42" spans="1:15" ht="16.5" thickBot="1">
      <c r="A42" s="732" t="s">
        <v>2</v>
      </c>
      <c r="B42" s="733"/>
      <c r="C42" s="733"/>
      <c r="D42" s="733"/>
      <c r="E42" s="733"/>
      <c r="F42" s="733"/>
      <c r="G42" s="733"/>
      <c r="H42" s="733"/>
      <c r="I42" s="733"/>
      <c r="J42" s="733"/>
      <c r="K42" s="734"/>
      <c r="L42" s="294"/>
      <c r="M42" s="685"/>
      <c r="N42" s="686"/>
      <c r="O42" s="687"/>
    </row>
    <row r="43" spans="1:15" ht="16.5" thickBot="1">
      <c r="A43" s="371">
        <v>5</v>
      </c>
      <c r="B43" s="314" t="s">
        <v>1128</v>
      </c>
      <c r="C43" s="314" t="s">
        <v>1129</v>
      </c>
      <c r="D43" s="287" t="s">
        <v>777</v>
      </c>
      <c r="E43" s="287" t="s">
        <v>1056</v>
      </c>
      <c r="F43" s="287" t="s">
        <v>828</v>
      </c>
      <c r="G43" s="287">
        <v>1</v>
      </c>
      <c r="H43" s="287">
        <v>8.1000000000000003E-2</v>
      </c>
      <c r="I43" s="287">
        <f>G43*H43</f>
        <v>8.1000000000000003E-2</v>
      </c>
      <c r="J43" s="287" t="s">
        <v>807</v>
      </c>
      <c r="K43" s="349"/>
      <c r="L43" s="294"/>
      <c r="M43" s="340">
        <f t="shared" si="1"/>
        <v>11</v>
      </c>
      <c r="N43" s="70">
        <f t="shared" si="5"/>
        <v>0.89100000000000001</v>
      </c>
      <c r="O43" s="299" t="s">
        <v>807</v>
      </c>
    </row>
    <row r="44" spans="1:15" ht="16.5" thickBot="1">
      <c r="A44" s="669" t="s">
        <v>839</v>
      </c>
      <c r="B44" s="670"/>
      <c r="C44" s="670"/>
      <c r="D44" s="670"/>
      <c r="E44" s="670"/>
      <c r="F44" s="670"/>
      <c r="G44" s="670"/>
      <c r="H44" s="670"/>
      <c r="I44" s="670"/>
      <c r="J44" s="670"/>
      <c r="K44" s="671"/>
      <c r="L44" s="294"/>
      <c r="M44" s="685"/>
      <c r="N44" s="686"/>
      <c r="O44" s="687"/>
    </row>
    <row r="45" spans="1:15" ht="31.5">
      <c r="A45" s="297" t="s">
        <v>902</v>
      </c>
      <c r="B45" s="309" t="s">
        <v>3</v>
      </c>
      <c r="C45" s="309" t="s">
        <v>1071</v>
      </c>
      <c r="D45" s="309" t="s">
        <v>3</v>
      </c>
      <c r="E45" s="309" t="s">
        <v>3</v>
      </c>
      <c r="F45" s="309" t="s">
        <v>3</v>
      </c>
      <c r="G45" s="309">
        <v>1</v>
      </c>
      <c r="H45" s="309">
        <v>1</v>
      </c>
      <c r="I45" s="309">
        <f t="shared" ref="I45:I95" si="7">G45*H45</f>
        <v>1</v>
      </c>
      <c r="J45" s="309" t="s">
        <v>841</v>
      </c>
      <c r="K45" s="310"/>
      <c r="L45" s="294"/>
      <c r="M45" s="340">
        <f t="shared" si="1"/>
        <v>11</v>
      </c>
      <c r="N45" s="70">
        <f t="shared" si="5"/>
        <v>11</v>
      </c>
      <c r="O45" s="299" t="s">
        <v>841</v>
      </c>
    </row>
    <row r="46" spans="1:15" ht="15.75">
      <c r="A46" s="298" t="s">
        <v>907</v>
      </c>
      <c r="B46" s="18" t="s">
        <v>3</v>
      </c>
      <c r="C46" s="18" t="s">
        <v>1073</v>
      </c>
      <c r="D46" s="18" t="s">
        <v>3</v>
      </c>
      <c r="E46" s="18" t="s">
        <v>3</v>
      </c>
      <c r="F46" s="18" t="s">
        <v>1074</v>
      </c>
      <c r="G46" s="18">
        <v>1</v>
      </c>
      <c r="H46" s="18">
        <v>1</v>
      </c>
      <c r="I46" s="18">
        <f t="shared" si="7"/>
        <v>1</v>
      </c>
      <c r="J46" s="18" t="s">
        <v>841</v>
      </c>
      <c r="K46" s="299"/>
      <c r="L46" s="294"/>
      <c r="M46" s="340">
        <f t="shared" si="1"/>
        <v>11</v>
      </c>
      <c r="N46" s="70">
        <f t="shared" si="5"/>
        <v>11</v>
      </c>
      <c r="O46" s="299" t="s">
        <v>841</v>
      </c>
    </row>
    <row r="47" spans="1:15" ht="15.75">
      <c r="A47" s="298" t="s">
        <v>912</v>
      </c>
      <c r="B47" s="18" t="s">
        <v>3</v>
      </c>
      <c r="C47" s="18" t="s">
        <v>780</v>
      </c>
      <c r="D47" s="18" t="s">
        <v>3</v>
      </c>
      <c r="E47" s="18" t="s">
        <v>3</v>
      </c>
      <c r="F47" s="18" t="s">
        <v>36</v>
      </c>
      <c r="G47" s="18">
        <v>1</v>
      </c>
      <c r="H47" s="18">
        <v>1</v>
      </c>
      <c r="I47" s="18">
        <f t="shared" si="7"/>
        <v>1</v>
      </c>
      <c r="J47" s="18" t="s">
        <v>841</v>
      </c>
      <c r="K47" s="299"/>
      <c r="L47" s="294"/>
      <c r="M47" s="340">
        <f t="shared" si="1"/>
        <v>11</v>
      </c>
      <c r="N47" s="70">
        <f t="shared" si="5"/>
        <v>11</v>
      </c>
      <c r="O47" s="299" t="s">
        <v>841</v>
      </c>
    </row>
    <row r="48" spans="1:15" ht="15.75">
      <c r="A48" s="298" t="s">
        <v>913</v>
      </c>
      <c r="B48" s="18" t="s">
        <v>3</v>
      </c>
      <c r="C48" s="18" t="s">
        <v>1087</v>
      </c>
      <c r="D48" s="18" t="s">
        <v>3</v>
      </c>
      <c r="E48" s="18" t="s">
        <v>3</v>
      </c>
      <c r="F48" s="18" t="s">
        <v>1088</v>
      </c>
      <c r="G48" s="18">
        <v>2</v>
      </c>
      <c r="H48" s="18">
        <v>1</v>
      </c>
      <c r="I48" s="18">
        <f t="shared" si="7"/>
        <v>2</v>
      </c>
      <c r="J48" s="18" t="s">
        <v>841</v>
      </c>
      <c r="K48" s="299"/>
      <c r="L48" s="294"/>
      <c r="M48" s="340">
        <f t="shared" si="1"/>
        <v>11</v>
      </c>
      <c r="N48" s="70">
        <f t="shared" si="5"/>
        <v>22</v>
      </c>
      <c r="O48" s="299" t="s">
        <v>841</v>
      </c>
    </row>
    <row r="49" spans="1:15" ht="15.75">
      <c r="A49" s="298" t="s">
        <v>914</v>
      </c>
      <c r="B49" s="18" t="s">
        <v>3</v>
      </c>
      <c r="C49" s="18" t="s">
        <v>1076</v>
      </c>
      <c r="D49" s="18" t="s">
        <v>3</v>
      </c>
      <c r="E49" s="18" t="s">
        <v>3</v>
      </c>
      <c r="F49" s="18" t="s">
        <v>1077</v>
      </c>
      <c r="G49" s="18">
        <v>1</v>
      </c>
      <c r="H49" s="18">
        <v>1</v>
      </c>
      <c r="I49" s="18">
        <f t="shared" si="7"/>
        <v>1</v>
      </c>
      <c r="J49" s="18" t="s">
        <v>841</v>
      </c>
      <c r="K49" s="299"/>
      <c r="L49" s="294"/>
      <c r="M49" s="340">
        <f t="shared" si="1"/>
        <v>11</v>
      </c>
      <c r="N49" s="70">
        <f t="shared" si="5"/>
        <v>11</v>
      </c>
      <c r="O49" s="299" t="s">
        <v>841</v>
      </c>
    </row>
    <row r="50" spans="1:15" ht="32.25" thickBot="1">
      <c r="A50" s="298" t="s">
        <v>916</v>
      </c>
      <c r="B50" s="18" t="s">
        <v>3</v>
      </c>
      <c r="C50" s="18" t="s">
        <v>1091</v>
      </c>
      <c r="D50" s="18" t="s">
        <v>3</v>
      </c>
      <c r="E50" s="18" t="s">
        <v>3</v>
      </c>
      <c r="F50" s="375" t="s">
        <v>1092</v>
      </c>
      <c r="G50" s="18">
        <v>1</v>
      </c>
      <c r="H50" s="18">
        <v>1</v>
      </c>
      <c r="I50" s="18">
        <f t="shared" si="7"/>
        <v>1</v>
      </c>
      <c r="J50" s="18" t="s">
        <v>841</v>
      </c>
      <c r="K50" s="299"/>
      <c r="L50" s="294"/>
      <c r="M50" s="340">
        <f t="shared" si="1"/>
        <v>11</v>
      </c>
      <c r="N50" s="70">
        <f t="shared" si="5"/>
        <v>11</v>
      </c>
      <c r="O50" s="299" t="s">
        <v>841</v>
      </c>
    </row>
    <row r="51" spans="1:15" ht="15.75">
      <c r="A51" s="298" t="s">
        <v>918</v>
      </c>
      <c r="B51" s="764" t="s">
        <v>800</v>
      </c>
      <c r="C51" s="765"/>
      <c r="D51" s="765"/>
      <c r="E51" s="765"/>
      <c r="F51" s="765"/>
      <c r="G51" s="765"/>
      <c r="H51" s="765"/>
      <c r="I51" s="765"/>
      <c r="J51" s="765"/>
      <c r="K51" s="766"/>
      <c r="L51" s="294"/>
      <c r="M51" s="685"/>
      <c r="N51" s="686"/>
      <c r="O51" s="687"/>
    </row>
    <row r="52" spans="1:15" ht="21" customHeight="1">
      <c r="A52" s="298" t="s">
        <v>1269</v>
      </c>
      <c r="B52" s="18" t="s">
        <v>1355</v>
      </c>
      <c r="C52" s="18" t="s">
        <v>1271</v>
      </c>
      <c r="D52" s="18" t="s">
        <v>3</v>
      </c>
      <c r="E52" s="18" t="s">
        <v>3</v>
      </c>
      <c r="F52" s="18" t="s">
        <v>3</v>
      </c>
      <c r="G52" s="18">
        <v>1</v>
      </c>
      <c r="H52" s="18">
        <v>1</v>
      </c>
      <c r="I52" s="18">
        <f t="shared" ref="I52:I78" si="8">G52*H52</f>
        <v>1</v>
      </c>
      <c r="J52" s="18" t="s">
        <v>841</v>
      </c>
      <c r="K52" s="299" t="s">
        <v>1272</v>
      </c>
      <c r="L52" s="294"/>
      <c r="M52" s="340">
        <f t="shared" si="1"/>
        <v>11</v>
      </c>
      <c r="N52" s="70">
        <f t="shared" si="5"/>
        <v>11</v>
      </c>
      <c r="O52" s="299" t="s">
        <v>841</v>
      </c>
    </row>
    <row r="53" spans="1:15" ht="18" customHeight="1">
      <c r="A53" s="298" t="s">
        <v>1273</v>
      </c>
      <c r="B53" s="18" t="s">
        <v>1356</v>
      </c>
      <c r="C53" s="18" t="s">
        <v>1275</v>
      </c>
      <c r="D53" s="18" t="s">
        <v>3</v>
      </c>
      <c r="E53" s="18" t="s">
        <v>3</v>
      </c>
      <c r="F53" s="18" t="s">
        <v>3</v>
      </c>
      <c r="G53" s="18">
        <v>1</v>
      </c>
      <c r="H53" s="18">
        <v>1</v>
      </c>
      <c r="I53" s="18">
        <f t="shared" si="8"/>
        <v>1</v>
      </c>
      <c r="J53" s="18" t="s">
        <v>841</v>
      </c>
      <c r="K53" s="299" t="s">
        <v>1272</v>
      </c>
      <c r="L53" s="294"/>
      <c r="M53" s="340">
        <f t="shared" si="1"/>
        <v>11</v>
      </c>
      <c r="N53" s="70">
        <f t="shared" si="5"/>
        <v>11</v>
      </c>
      <c r="O53" s="299" t="s">
        <v>841</v>
      </c>
    </row>
    <row r="54" spans="1:15" ht="18.75" customHeight="1">
      <c r="A54" s="298" t="s">
        <v>1276</v>
      </c>
      <c r="B54" s="18" t="s">
        <v>1357</v>
      </c>
      <c r="C54" s="18" t="s">
        <v>1111</v>
      </c>
      <c r="D54" s="18" t="s">
        <v>3</v>
      </c>
      <c r="E54" s="18" t="s">
        <v>3</v>
      </c>
      <c r="F54" s="18" t="s">
        <v>3</v>
      </c>
      <c r="G54" s="18">
        <v>1</v>
      </c>
      <c r="H54" s="18">
        <v>1</v>
      </c>
      <c r="I54" s="18">
        <f t="shared" si="8"/>
        <v>1</v>
      </c>
      <c r="J54" s="18" t="s">
        <v>841</v>
      </c>
      <c r="K54" s="299" t="s">
        <v>1272</v>
      </c>
      <c r="L54" s="294"/>
      <c r="M54" s="340">
        <f t="shared" si="1"/>
        <v>11</v>
      </c>
      <c r="N54" s="70">
        <f t="shared" si="5"/>
        <v>11</v>
      </c>
      <c r="O54" s="299" t="s">
        <v>841</v>
      </c>
    </row>
    <row r="55" spans="1:15" ht="18" customHeight="1">
      <c r="A55" s="298" t="s">
        <v>1278</v>
      </c>
      <c r="B55" s="18" t="s">
        <v>1358</v>
      </c>
      <c r="C55" s="18" t="s">
        <v>1111</v>
      </c>
      <c r="D55" s="18" t="s">
        <v>3</v>
      </c>
      <c r="E55" s="18" t="s">
        <v>3</v>
      </c>
      <c r="F55" s="18" t="s">
        <v>3</v>
      </c>
      <c r="G55" s="18">
        <v>1</v>
      </c>
      <c r="H55" s="18">
        <v>1</v>
      </c>
      <c r="I55" s="18">
        <f t="shared" si="8"/>
        <v>1</v>
      </c>
      <c r="J55" s="18" t="s">
        <v>841</v>
      </c>
      <c r="K55" s="299" t="s">
        <v>1272</v>
      </c>
      <c r="L55" s="294"/>
      <c r="M55" s="340">
        <f t="shared" si="1"/>
        <v>11</v>
      </c>
      <c r="N55" s="70">
        <f t="shared" si="5"/>
        <v>11</v>
      </c>
      <c r="O55" s="299" t="s">
        <v>841</v>
      </c>
    </row>
    <row r="56" spans="1:15" ht="18.75" customHeight="1">
      <c r="A56" s="298" t="s">
        <v>1280</v>
      </c>
      <c r="B56" s="18" t="s">
        <v>1281</v>
      </c>
      <c r="C56" s="18" t="s">
        <v>1048</v>
      </c>
      <c r="D56" s="18" t="s">
        <v>3</v>
      </c>
      <c r="E56" s="18" t="s">
        <v>3</v>
      </c>
      <c r="F56" s="18" t="s">
        <v>3</v>
      </c>
      <c r="G56" s="18">
        <v>1</v>
      </c>
      <c r="H56" s="18">
        <v>1</v>
      </c>
      <c r="I56" s="18">
        <f t="shared" si="8"/>
        <v>1</v>
      </c>
      <c r="J56" s="18" t="s">
        <v>841</v>
      </c>
      <c r="K56" s="299" t="s">
        <v>1272</v>
      </c>
      <c r="L56" s="294"/>
      <c r="M56" s="340">
        <f t="shared" si="1"/>
        <v>11</v>
      </c>
      <c r="N56" s="70">
        <f t="shared" si="5"/>
        <v>11</v>
      </c>
      <c r="O56" s="299" t="s">
        <v>841</v>
      </c>
    </row>
    <row r="57" spans="1:15" ht="15.75">
      <c r="A57" s="298" t="s">
        <v>1282</v>
      </c>
      <c r="B57" s="18" t="s">
        <v>3</v>
      </c>
      <c r="C57" s="18" t="s">
        <v>1283</v>
      </c>
      <c r="D57" s="18" t="s">
        <v>3</v>
      </c>
      <c r="E57" s="18" t="s">
        <v>3</v>
      </c>
      <c r="F57" s="18" t="s">
        <v>1143</v>
      </c>
      <c r="G57" s="18">
        <v>2</v>
      </c>
      <c r="H57" s="18">
        <v>1</v>
      </c>
      <c r="I57" s="18">
        <f t="shared" si="8"/>
        <v>2</v>
      </c>
      <c r="J57" s="18" t="s">
        <v>841</v>
      </c>
      <c r="K57" s="299"/>
      <c r="L57" s="294"/>
      <c r="M57" s="340">
        <f t="shared" si="1"/>
        <v>11</v>
      </c>
      <c r="N57" s="70">
        <f t="shared" si="5"/>
        <v>22</v>
      </c>
      <c r="O57" s="299" t="s">
        <v>841</v>
      </c>
    </row>
    <row r="58" spans="1:15" ht="15.75">
      <c r="A58" s="298" t="s">
        <v>1284</v>
      </c>
      <c r="B58" s="18" t="s">
        <v>3</v>
      </c>
      <c r="C58" s="34" t="s">
        <v>1285</v>
      </c>
      <c r="D58" s="18" t="s">
        <v>3</v>
      </c>
      <c r="E58" s="18" t="s">
        <v>3</v>
      </c>
      <c r="F58" s="18" t="s">
        <v>1143</v>
      </c>
      <c r="G58" s="18">
        <v>2</v>
      </c>
      <c r="H58" s="18">
        <v>1</v>
      </c>
      <c r="I58" s="18">
        <f t="shared" si="8"/>
        <v>2</v>
      </c>
      <c r="J58" s="18" t="s">
        <v>841</v>
      </c>
      <c r="K58" s="315"/>
      <c r="L58" s="294"/>
      <c r="M58" s="340">
        <f t="shared" si="1"/>
        <v>11</v>
      </c>
      <c r="N58" s="70">
        <f t="shared" si="5"/>
        <v>22</v>
      </c>
      <c r="O58" s="299" t="s">
        <v>841</v>
      </c>
    </row>
    <row r="59" spans="1:15" ht="15.75">
      <c r="A59" s="298" t="s">
        <v>1286</v>
      </c>
      <c r="B59" s="18" t="s">
        <v>3</v>
      </c>
      <c r="C59" s="18" t="s">
        <v>1287</v>
      </c>
      <c r="D59" s="34" t="s">
        <v>3</v>
      </c>
      <c r="E59" s="34" t="s">
        <v>3</v>
      </c>
      <c r="F59" s="18" t="s">
        <v>1143</v>
      </c>
      <c r="G59" s="34">
        <v>2</v>
      </c>
      <c r="H59" s="34">
        <v>1</v>
      </c>
      <c r="I59" s="34">
        <f t="shared" si="8"/>
        <v>2</v>
      </c>
      <c r="J59" s="18" t="s">
        <v>841</v>
      </c>
      <c r="K59" s="299"/>
      <c r="L59" s="294"/>
      <c r="M59" s="340">
        <f t="shared" si="1"/>
        <v>11</v>
      </c>
      <c r="N59" s="70">
        <f t="shared" si="5"/>
        <v>22</v>
      </c>
      <c r="O59" s="299" t="s">
        <v>841</v>
      </c>
    </row>
    <row r="60" spans="1:15" ht="15.75">
      <c r="A60" s="298" t="s">
        <v>1288</v>
      </c>
      <c r="B60" s="18" t="s">
        <v>3</v>
      </c>
      <c r="C60" s="18" t="s">
        <v>1289</v>
      </c>
      <c r="D60" s="34" t="s">
        <v>3</v>
      </c>
      <c r="E60" s="34" t="s">
        <v>3</v>
      </c>
      <c r="F60" s="18" t="s">
        <v>1290</v>
      </c>
      <c r="G60" s="34">
        <v>8</v>
      </c>
      <c r="H60" s="34">
        <v>1</v>
      </c>
      <c r="I60" s="34">
        <f t="shared" si="8"/>
        <v>8</v>
      </c>
      <c r="J60" s="18" t="s">
        <v>841</v>
      </c>
      <c r="K60" s="299"/>
      <c r="L60" s="294"/>
      <c r="M60" s="340">
        <f t="shared" si="1"/>
        <v>11</v>
      </c>
      <c r="N60" s="70">
        <f t="shared" si="5"/>
        <v>88</v>
      </c>
      <c r="O60" s="299" t="s">
        <v>841</v>
      </c>
    </row>
    <row r="61" spans="1:15" ht="15.75">
      <c r="A61" s="298" t="s">
        <v>1291</v>
      </c>
      <c r="B61" s="18" t="s">
        <v>3</v>
      </c>
      <c r="C61" s="18" t="s">
        <v>1292</v>
      </c>
      <c r="D61" s="34" t="s">
        <v>3</v>
      </c>
      <c r="E61" s="34" t="s">
        <v>3</v>
      </c>
      <c r="F61" s="18" t="s">
        <v>120</v>
      </c>
      <c r="G61" s="34">
        <v>4</v>
      </c>
      <c r="H61" s="34">
        <v>1</v>
      </c>
      <c r="I61" s="34">
        <f t="shared" si="8"/>
        <v>4</v>
      </c>
      <c r="J61" s="18" t="s">
        <v>841</v>
      </c>
      <c r="K61" s="299"/>
      <c r="L61" s="294"/>
      <c r="M61" s="340">
        <f t="shared" si="1"/>
        <v>11</v>
      </c>
      <c r="N61" s="70">
        <f t="shared" si="5"/>
        <v>44</v>
      </c>
      <c r="O61" s="299" t="s">
        <v>841</v>
      </c>
    </row>
    <row r="62" spans="1:15" ht="16.5" thickBot="1">
      <c r="A62" s="298" t="s">
        <v>1293</v>
      </c>
      <c r="B62" s="18" t="s">
        <v>3</v>
      </c>
      <c r="C62" s="18" t="s">
        <v>1294</v>
      </c>
      <c r="D62" s="34" t="s">
        <v>3</v>
      </c>
      <c r="E62" s="34" t="s">
        <v>3</v>
      </c>
      <c r="F62" s="18" t="s">
        <v>1290</v>
      </c>
      <c r="G62" s="34">
        <v>8</v>
      </c>
      <c r="H62" s="34">
        <v>1</v>
      </c>
      <c r="I62" s="34">
        <f t="shared" si="8"/>
        <v>8</v>
      </c>
      <c r="J62" s="18" t="s">
        <v>841</v>
      </c>
      <c r="K62" s="299"/>
      <c r="L62" s="294"/>
      <c r="M62" s="340">
        <f t="shared" si="1"/>
        <v>11</v>
      </c>
      <c r="N62" s="70">
        <f t="shared" si="5"/>
        <v>88</v>
      </c>
      <c r="O62" s="299" t="s">
        <v>841</v>
      </c>
    </row>
    <row r="63" spans="1:15" ht="16.5" thickBot="1">
      <c r="A63" s="373"/>
      <c r="B63" s="726" t="s">
        <v>1138</v>
      </c>
      <c r="C63" s="727"/>
      <c r="D63" s="727"/>
      <c r="E63" s="727"/>
      <c r="F63" s="727"/>
      <c r="G63" s="727"/>
      <c r="H63" s="727"/>
      <c r="I63" s="727"/>
      <c r="J63" s="727"/>
      <c r="K63" s="728"/>
      <c r="L63" s="294"/>
      <c r="M63" s="711"/>
      <c r="N63" s="712"/>
      <c r="O63" s="713"/>
    </row>
    <row r="64" spans="1:15" ht="34.5" customHeight="1">
      <c r="A64" s="297" t="s">
        <v>920</v>
      </c>
      <c r="B64" s="309" t="s">
        <v>3</v>
      </c>
      <c r="C64" s="309" t="s">
        <v>1152</v>
      </c>
      <c r="D64" s="309" t="s">
        <v>3</v>
      </c>
      <c r="E64" s="309" t="s">
        <v>3</v>
      </c>
      <c r="F64" s="374" t="s">
        <v>1295</v>
      </c>
      <c r="G64" s="309">
        <v>1</v>
      </c>
      <c r="H64" s="309">
        <v>1</v>
      </c>
      <c r="I64" s="309">
        <f t="shared" ref="I64:I76" si="9">G64*H64</f>
        <v>1</v>
      </c>
      <c r="J64" s="309" t="s">
        <v>841</v>
      </c>
      <c r="K64" s="310"/>
      <c r="L64" s="294"/>
      <c r="M64" s="340">
        <f t="shared" si="1"/>
        <v>11</v>
      </c>
      <c r="N64" s="70">
        <f t="shared" ref="N64:N76" si="10">M64*I64</f>
        <v>11</v>
      </c>
      <c r="O64" s="299" t="s">
        <v>841</v>
      </c>
    </row>
    <row r="65" spans="1:15" ht="30.75" customHeight="1">
      <c r="A65" s="302" t="s">
        <v>922</v>
      </c>
      <c r="B65" s="18" t="s">
        <v>3</v>
      </c>
      <c r="C65" s="294" t="s">
        <v>1296</v>
      </c>
      <c r="D65" s="18" t="s">
        <v>3</v>
      </c>
      <c r="E65" s="18" t="s">
        <v>3</v>
      </c>
      <c r="F65" s="375" t="s">
        <v>1297</v>
      </c>
      <c r="G65" s="18">
        <v>2</v>
      </c>
      <c r="H65" s="18">
        <v>1</v>
      </c>
      <c r="I65" s="18">
        <f t="shared" si="9"/>
        <v>2</v>
      </c>
      <c r="J65" s="18" t="s">
        <v>841</v>
      </c>
      <c r="K65" s="299"/>
      <c r="L65" s="294"/>
      <c r="M65" s="340">
        <f t="shared" si="1"/>
        <v>11</v>
      </c>
      <c r="N65" s="70">
        <f t="shared" si="10"/>
        <v>22</v>
      </c>
      <c r="O65" s="299" t="s">
        <v>841</v>
      </c>
    </row>
    <row r="66" spans="1:15" ht="15.75">
      <c r="A66" s="302" t="s">
        <v>924</v>
      </c>
      <c r="B66" s="18" t="s">
        <v>3</v>
      </c>
      <c r="C66" s="18" t="s">
        <v>1298</v>
      </c>
      <c r="D66" s="18" t="s">
        <v>3</v>
      </c>
      <c r="E66" s="18" t="s">
        <v>3</v>
      </c>
      <c r="F66" s="18" t="s">
        <v>3</v>
      </c>
      <c r="G66" s="18">
        <v>2</v>
      </c>
      <c r="H66" s="18">
        <v>1</v>
      </c>
      <c r="I66" s="18">
        <f t="shared" si="9"/>
        <v>2</v>
      </c>
      <c r="J66" s="18" t="s">
        <v>841</v>
      </c>
      <c r="K66" s="299"/>
      <c r="L66" s="294"/>
      <c r="M66" s="340">
        <f t="shared" si="1"/>
        <v>11</v>
      </c>
      <c r="N66" s="70">
        <f t="shared" si="10"/>
        <v>22</v>
      </c>
      <c r="O66" s="299" t="s">
        <v>841</v>
      </c>
    </row>
    <row r="67" spans="1:15" ht="15.75">
      <c r="A67" s="302" t="s">
        <v>926</v>
      </c>
      <c r="B67" s="18" t="s">
        <v>3</v>
      </c>
      <c r="C67" s="18" t="s">
        <v>1299</v>
      </c>
      <c r="D67" s="18" t="s">
        <v>3</v>
      </c>
      <c r="E67" s="18" t="s">
        <v>3</v>
      </c>
      <c r="F67" s="18" t="s">
        <v>1300</v>
      </c>
      <c r="G67" s="18">
        <v>6</v>
      </c>
      <c r="H67" s="18">
        <v>1</v>
      </c>
      <c r="I67" s="18">
        <f t="shared" si="9"/>
        <v>6</v>
      </c>
      <c r="J67" s="18" t="s">
        <v>841</v>
      </c>
      <c r="K67" s="299"/>
      <c r="L67" s="294"/>
      <c r="M67" s="340">
        <f t="shared" si="1"/>
        <v>11</v>
      </c>
      <c r="N67" s="70">
        <f t="shared" si="10"/>
        <v>66</v>
      </c>
      <c r="O67" s="299" t="s">
        <v>841</v>
      </c>
    </row>
    <row r="68" spans="1:15" ht="15.75">
      <c r="A68" s="302" t="s">
        <v>927</v>
      </c>
      <c r="B68" s="18" t="s">
        <v>3</v>
      </c>
      <c r="C68" s="18" t="s">
        <v>1301</v>
      </c>
      <c r="D68" s="18" t="s">
        <v>3</v>
      </c>
      <c r="E68" s="18" t="s">
        <v>3</v>
      </c>
      <c r="F68" s="18" t="s">
        <v>3</v>
      </c>
      <c r="G68" s="18">
        <v>1</v>
      </c>
      <c r="H68" s="18">
        <v>1</v>
      </c>
      <c r="I68" s="18">
        <f t="shared" si="9"/>
        <v>1</v>
      </c>
      <c r="J68" s="18" t="s">
        <v>841</v>
      </c>
      <c r="K68" s="299"/>
      <c r="L68" s="294"/>
      <c r="M68" s="340">
        <f t="shared" si="1"/>
        <v>11</v>
      </c>
      <c r="N68" s="70">
        <f t="shared" si="10"/>
        <v>11</v>
      </c>
      <c r="O68" s="299" t="s">
        <v>841</v>
      </c>
    </row>
    <row r="69" spans="1:15" ht="17.25" customHeight="1">
      <c r="A69" s="302" t="s">
        <v>928</v>
      </c>
      <c r="B69" s="18" t="s">
        <v>3</v>
      </c>
      <c r="C69" s="18" t="s">
        <v>1303</v>
      </c>
      <c r="D69" s="18" t="s">
        <v>3</v>
      </c>
      <c r="E69" s="18" t="s">
        <v>3</v>
      </c>
      <c r="F69" s="18" t="s">
        <v>1304</v>
      </c>
      <c r="G69" s="18">
        <v>0.7</v>
      </c>
      <c r="H69" s="18">
        <v>1</v>
      </c>
      <c r="I69" s="18">
        <f t="shared" si="9"/>
        <v>0.7</v>
      </c>
      <c r="J69" s="18" t="s">
        <v>1151</v>
      </c>
      <c r="K69" s="299"/>
      <c r="L69" s="294"/>
      <c r="M69" s="340">
        <f t="shared" si="1"/>
        <v>11</v>
      </c>
      <c r="N69" s="70">
        <f t="shared" si="10"/>
        <v>7.6999999999999993</v>
      </c>
      <c r="O69" s="299" t="s">
        <v>1151</v>
      </c>
    </row>
    <row r="70" spans="1:15" ht="15.75">
      <c r="A70" s="302" t="s">
        <v>929</v>
      </c>
      <c r="B70" s="18" t="s">
        <v>3</v>
      </c>
      <c r="C70" s="18" t="s">
        <v>1305</v>
      </c>
      <c r="D70" s="18" t="s">
        <v>3</v>
      </c>
      <c r="E70" s="18" t="s">
        <v>3</v>
      </c>
      <c r="F70" s="18" t="s">
        <v>1304</v>
      </c>
      <c r="G70" s="18">
        <v>0.2</v>
      </c>
      <c r="H70" s="18">
        <v>1</v>
      </c>
      <c r="I70" s="18">
        <f t="shared" si="9"/>
        <v>0.2</v>
      </c>
      <c r="J70" s="18" t="s">
        <v>1151</v>
      </c>
      <c r="K70" s="299"/>
      <c r="L70" s="294"/>
      <c r="M70" s="340">
        <f t="shared" si="1"/>
        <v>11</v>
      </c>
      <c r="N70" s="70">
        <f t="shared" si="10"/>
        <v>2.2000000000000002</v>
      </c>
      <c r="O70" s="299" t="s">
        <v>1151</v>
      </c>
    </row>
    <row r="71" spans="1:15" ht="31.5">
      <c r="A71" s="302" t="s">
        <v>931</v>
      </c>
      <c r="B71" s="18" t="s">
        <v>3</v>
      </c>
      <c r="C71" s="18" t="s">
        <v>1306</v>
      </c>
      <c r="D71" s="18" t="s">
        <v>3</v>
      </c>
      <c r="E71" s="18" t="s">
        <v>3</v>
      </c>
      <c r="F71" s="18" t="s">
        <v>1304</v>
      </c>
      <c r="G71" s="18">
        <v>0.2</v>
      </c>
      <c r="H71" s="18">
        <v>1</v>
      </c>
      <c r="I71" s="18">
        <f t="shared" si="9"/>
        <v>0.2</v>
      </c>
      <c r="J71" s="18" t="s">
        <v>1151</v>
      </c>
      <c r="K71" s="299"/>
      <c r="L71" s="294"/>
      <c r="M71" s="340">
        <f t="shared" si="1"/>
        <v>11</v>
      </c>
      <c r="N71" s="70">
        <f t="shared" si="10"/>
        <v>2.2000000000000002</v>
      </c>
      <c r="O71" s="299" t="s">
        <v>1151</v>
      </c>
    </row>
    <row r="72" spans="1:15" ht="31.5">
      <c r="A72" s="302" t="s">
        <v>932</v>
      </c>
      <c r="B72" s="18" t="s">
        <v>3</v>
      </c>
      <c r="C72" s="18" t="s">
        <v>1309</v>
      </c>
      <c r="D72" s="18" t="s">
        <v>3</v>
      </c>
      <c r="E72" s="18" t="s">
        <v>3</v>
      </c>
      <c r="F72" s="18" t="s">
        <v>3</v>
      </c>
      <c r="G72" s="18">
        <v>0.05</v>
      </c>
      <c r="H72" s="18">
        <v>1</v>
      </c>
      <c r="I72" s="18">
        <f t="shared" si="9"/>
        <v>0.05</v>
      </c>
      <c r="J72" s="18" t="s">
        <v>841</v>
      </c>
      <c r="K72" s="299"/>
      <c r="L72" s="294"/>
      <c r="M72" s="340">
        <f t="shared" si="1"/>
        <v>11</v>
      </c>
      <c r="N72" s="70">
        <f t="shared" si="10"/>
        <v>0.55000000000000004</v>
      </c>
      <c r="O72" s="299" t="s">
        <v>841</v>
      </c>
    </row>
    <row r="73" spans="1:15" ht="15.75">
      <c r="A73" s="302" t="s">
        <v>933</v>
      </c>
      <c r="B73" s="18" t="s">
        <v>3</v>
      </c>
      <c r="C73" s="18" t="s">
        <v>1310</v>
      </c>
      <c r="D73" s="18" t="s">
        <v>3</v>
      </c>
      <c r="E73" s="18" t="s">
        <v>3</v>
      </c>
      <c r="F73" s="18" t="s">
        <v>3</v>
      </c>
      <c r="G73" s="18">
        <v>3</v>
      </c>
      <c r="H73" s="18">
        <v>1</v>
      </c>
      <c r="I73" s="18">
        <f t="shared" si="9"/>
        <v>3</v>
      </c>
      <c r="J73" s="18" t="s">
        <v>841</v>
      </c>
      <c r="K73" s="299"/>
      <c r="L73" s="294"/>
      <c r="M73" s="340">
        <f t="shared" si="1"/>
        <v>11</v>
      </c>
      <c r="N73" s="70">
        <f t="shared" si="10"/>
        <v>33</v>
      </c>
      <c r="O73" s="299" t="s">
        <v>841</v>
      </c>
    </row>
    <row r="74" spans="1:15" ht="15.75">
      <c r="A74" s="302" t="s">
        <v>934</v>
      </c>
      <c r="B74" s="18" t="s">
        <v>3</v>
      </c>
      <c r="C74" s="18" t="s">
        <v>1311</v>
      </c>
      <c r="D74" s="18" t="s">
        <v>3</v>
      </c>
      <c r="E74" s="18" t="s">
        <v>3</v>
      </c>
      <c r="F74" s="18" t="s">
        <v>1312</v>
      </c>
      <c r="G74" s="18">
        <v>1</v>
      </c>
      <c r="H74" s="18">
        <v>1</v>
      </c>
      <c r="I74" s="18">
        <f t="shared" si="9"/>
        <v>1</v>
      </c>
      <c r="J74" s="18" t="s">
        <v>841</v>
      </c>
      <c r="K74" s="299"/>
      <c r="L74" s="294"/>
      <c r="M74" s="340">
        <f t="shared" si="1"/>
        <v>11</v>
      </c>
      <c r="N74" s="70">
        <f t="shared" si="10"/>
        <v>11</v>
      </c>
      <c r="O74" s="299" t="s">
        <v>841</v>
      </c>
    </row>
    <row r="75" spans="1:15" ht="15.75">
      <c r="A75" s="302" t="s">
        <v>936</v>
      </c>
      <c r="B75" s="18" t="s">
        <v>3</v>
      </c>
      <c r="C75" s="18" t="s">
        <v>1233</v>
      </c>
      <c r="D75" s="18" t="s">
        <v>3</v>
      </c>
      <c r="E75" s="18" t="s">
        <v>3</v>
      </c>
      <c r="F75" s="18" t="s">
        <v>120</v>
      </c>
      <c r="G75" s="18">
        <v>1</v>
      </c>
      <c r="H75" s="18">
        <v>1</v>
      </c>
      <c r="I75" s="18">
        <f t="shared" si="9"/>
        <v>1</v>
      </c>
      <c r="J75" s="18" t="s">
        <v>841</v>
      </c>
      <c r="K75" s="299"/>
      <c r="L75" s="294"/>
      <c r="M75" s="340">
        <f t="shared" si="1"/>
        <v>11</v>
      </c>
      <c r="N75" s="70">
        <f t="shared" si="10"/>
        <v>11</v>
      </c>
      <c r="O75" s="299" t="s">
        <v>841</v>
      </c>
    </row>
    <row r="76" spans="1:15" ht="15.75">
      <c r="A76" s="302" t="s">
        <v>939</v>
      </c>
      <c r="B76" s="18" t="s">
        <v>3</v>
      </c>
      <c r="C76" s="18" t="s">
        <v>1313</v>
      </c>
      <c r="D76" s="18" t="s">
        <v>3</v>
      </c>
      <c r="E76" s="18" t="s">
        <v>3</v>
      </c>
      <c r="F76" s="18" t="s">
        <v>1122</v>
      </c>
      <c r="G76" s="18">
        <v>1</v>
      </c>
      <c r="H76" s="18">
        <v>1</v>
      </c>
      <c r="I76" s="18">
        <f t="shared" si="9"/>
        <v>1</v>
      </c>
      <c r="J76" s="18" t="s">
        <v>841</v>
      </c>
      <c r="K76" s="299"/>
      <c r="L76" s="294"/>
      <c r="M76" s="340">
        <f t="shared" si="1"/>
        <v>11</v>
      </c>
      <c r="N76" s="70">
        <f t="shared" si="10"/>
        <v>11</v>
      </c>
      <c r="O76" s="299" t="s">
        <v>841</v>
      </c>
    </row>
    <row r="77" spans="1:15" ht="15.75">
      <c r="A77" s="302" t="s">
        <v>1160</v>
      </c>
      <c r="B77" s="18" t="s">
        <v>3</v>
      </c>
      <c r="C77" s="18" t="s">
        <v>1314</v>
      </c>
      <c r="D77" s="18" t="s">
        <v>3</v>
      </c>
      <c r="E77" s="18" t="s">
        <v>3</v>
      </c>
      <c r="F77" s="18" t="s">
        <v>3</v>
      </c>
      <c r="G77" s="18">
        <v>1</v>
      </c>
      <c r="H77" s="18">
        <v>1</v>
      </c>
      <c r="I77" s="18">
        <f t="shared" si="8"/>
        <v>1</v>
      </c>
      <c r="J77" s="241" t="s">
        <v>1177</v>
      </c>
      <c r="K77" s="299"/>
      <c r="L77" s="294"/>
      <c r="M77" s="340">
        <f t="shared" si="1"/>
        <v>11</v>
      </c>
      <c r="N77" s="70">
        <f t="shared" si="5"/>
        <v>11</v>
      </c>
      <c r="O77" s="28" t="s">
        <v>1177</v>
      </c>
    </row>
    <row r="78" spans="1:15" ht="16.5" thickBot="1">
      <c r="A78" s="350" t="s">
        <v>940</v>
      </c>
      <c r="B78" s="287" t="s">
        <v>3</v>
      </c>
      <c r="C78" s="287" t="s">
        <v>1315</v>
      </c>
      <c r="D78" s="287" t="s">
        <v>3</v>
      </c>
      <c r="E78" s="287" t="s">
        <v>3</v>
      </c>
      <c r="F78" s="287" t="s">
        <v>3</v>
      </c>
      <c r="G78" s="287">
        <v>1</v>
      </c>
      <c r="H78" s="287">
        <v>1</v>
      </c>
      <c r="I78" s="287">
        <f t="shared" si="8"/>
        <v>1</v>
      </c>
      <c r="J78" s="312" t="s">
        <v>1177</v>
      </c>
      <c r="K78" s="303"/>
      <c r="L78" s="294"/>
      <c r="M78" s="340">
        <f t="shared" si="1"/>
        <v>11</v>
      </c>
      <c r="N78" s="70">
        <f t="shared" si="5"/>
        <v>11</v>
      </c>
      <c r="O78" s="28" t="s">
        <v>1177</v>
      </c>
    </row>
    <row r="79" spans="1:15" ht="16.5" thickBot="1">
      <c r="A79" s="729" t="s">
        <v>1159</v>
      </c>
      <c r="B79" s="730"/>
      <c r="C79" s="730"/>
      <c r="D79" s="730"/>
      <c r="E79" s="730"/>
      <c r="F79" s="730"/>
      <c r="G79" s="730"/>
      <c r="H79" s="730"/>
      <c r="I79" s="730"/>
      <c r="J79" s="730"/>
      <c r="K79" s="731"/>
      <c r="M79" s="685"/>
      <c r="N79" s="686"/>
      <c r="O79" s="687"/>
    </row>
    <row r="80" spans="1:15" ht="15.75">
      <c r="A80" s="297" t="s">
        <v>941</v>
      </c>
      <c r="B80" s="309" t="s">
        <v>3</v>
      </c>
      <c r="C80" s="309" t="s">
        <v>1316</v>
      </c>
      <c r="D80" s="309" t="s">
        <v>3</v>
      </c>
      <c r="E80" s="309" t="s">
        <v>3</v>
      </c>
      <c r="F80" s="309" t="s">
        <v>3</v>
      </c>
      <c r="G80" s="309">
        <v>1</v>
      </c>
      <c r="H80" s="309">
        <v>1</v>
      </c>
      <c r="I80" s="309">
        <f t="shared" ref="I80:I82" si="11">G80*H80</f>
        <v>1</v>
      </c>
      <c r="J80" s="309" t="s">
        <v>841</v>
      </c>
      <c r="K80" s="310"/>
      <c r="M80" s="340">
        <f t="shared" si="1"/>
        <v>11</v>
      </c>
      <c r="N80" s="70">
        <f t="shared" si="5"/>
        <v>11</v>
      </c>
      <c r="O80" s="299" t="s">
        <v>841</v>
      </c>
    </row>
    <row r="81" spans="1:15" ht="31.5">
      <c r="A81" s="298" t="s">
        <v>942</v>
      </c>
      <c r="B81" s="18" t="s">
        <v>3</v>
      </c>
      <c r="C81" s="18" t="s">
        <v>1161</v>
      </c>
      <c r="D81" s="18" t="s">
        <v>3</v>
      </c>
      <c r="E81" s="18" t="s">
        <v>3</v>
      </c>
      <c r="F81" s="18" t="s">
        <v>1162</v>
      </c>
      <c r="G81" s="18">
        <v>1</v>
      </c>
      <c r="H81" s="18">
        <v>1</v>
      </c>
      <c r="I81" s="18">
        <f t="shared" si="11"/>
        <v>1</v>
      </c>
      <c r="J81" s="18" t="s">
        <v>841</v>
      </c>
      <c r="K81" s="299" t="s">
        <v>1163</v>
      </c>
      <c r="M81" s="340">
        <f t="shared" si="1"/>
        <v>11</v>
      </c>
      <c r="N81" s="70">
        <f t="shared" si="5"/>
        <v>11</v>
      </c>
      <c r="O81" s="299" t="s">
        <v>841</v>
      </c>
    </row>
    <row r="82" spans="1:15" ht="16.5" thickBot="1">
      <c r="A82" s="300" t="s">
        <v>943</v>
      </c>
      <c r="B82" s="287" t="s">
        <v>3</v>
      </c>
      <c r="C82" s="287" t="s">
        <v>1317</v>
      </c>
      <c r="D82" s="287" t="s">
        <v>3</v>
      </c>
      <c r="E82" s="287" t="s">
        <v>3</v>
      </c>
      <c r="F82" s="287" t="s">
        <v>3</v>
      </c>
      <c r="G82" s="287">
        <v>1</v>
      </c>
      <c r="H82" s="287">
        <v>1</v>
      </c>
      <c r="I82" s="287">
        <f t="shared" si="11"/>
        <v>1</v>
      </c>
      <c r="J82" s="287" t="s">
        <v>841</v>
      </c>
      <c r="K82" s="303"/>
      <c r="M82" s="340">
        <f t="shared" si="1"/>
        <v>11</v>
      </c>
      <c r="N82" s="70">
        <f t="shared" si="5"/>
        <v>11</v>
      </c>
      <c r="O82" s="299" t="s">
        <v>841</v>
      </c>
    </row>
    <row r="83" spans="1:15" ht="16.5" thickBot="1">
      <c r="A83" s="716" t="s">
        <v>1153</v>
      </c>
      <c r="B83" s="717"/>
      <c r="C83" s="717"/>
      <c r="D83" s="717"/>
      <c r="E83" s="717"/>
      <c r="F83" s="717"/>
      <c r="G83" s="717"/>
      <c r="H83" s="717"/>
      <c r="I83" s="717"/>
      <c r="J83" s="717"/>
      <c r="K83" s="718"/>
      <c r="L83" s="294"/>
      <c r="M83" s="685"/>
      <c r="N83" s="686"/>
      <c r="O83" s="687"/>
    </row>
    <row r="84" spans="1:15" ht="15.75">
      <c r="A84" s="297" t="s">
        <v>944</v>
      </c>
      <c r="B84" s="309"/>
      <c r="C84" s="309" t="s">
        <v>1318</v>
      </c>
      <c r="D84" s="309" t="s">
        <v>3</v>
      </c>
      <c r="E84" s="309" t="s">
        <v>3</v>
      </c>
      <c r="F84" s="309" t="s">
        <v>1155</v>
      </c>
      <c r="G84" s="352">
        <v>0.4</v>
      </c>
      <c r="H84" s="309">
        <v>1</v>
      </c>
      <c r="I84" s="309">
        <f>G84*H84</f>
        <v>0.4</v>
      </c>
      <c r="J84" s="309" t="s">
        <v>807</v>
      </c>
      <c r="K84" s="721" t="s">
        <v>1156</v>
      </c>
      <c r="L84" s="294"/>
      <c r="M84" s="353">
        <v>0</v>
      </c>
      <c r="N84" s="354">
        <f t="shared" si="5"/>
        <v>0</v>
      </c>
      <c r="O84" s="355" t="s">
        <v>807</v>
      </c>
    </row>
    <row r="85" spans="1:15" ht="16.5" thickBot="1">
      <c r="A85" s="300" t="s">
        <v>945</v>
      </c>
      <c r="B85" s="287" t="s">
        <v>3</v>
      </c>
      <c r="C85" s="287" t="s">
        <v>1239</v>
      </c>
      <c r="D85" s="287" t="s">
        <v>3</v>
      </c>
      <c r="E85" s="287" t="s">
        <v>3</v>
      </c>
      <c r="F85" s="287" t="s">
        <v>1158</v>
      </c>
      <c r="G85" s="356">
        <v>0.4</v>
      </c>
      <c r="H85" s="287">
        <v>1</v>
      </c>
      <c r="I85" s="287">
        <f>G85*H85</f>
        <v>0.4</v>
      </c>
      <c r="J85" s="287" t="s">
        <v>807</v>
      </c>
      <c r="K85" s="722"/>
      <c r="L85" s="294"/>
      <c r="M85" s="353">
        <v>0</v>
      </c>
      <c r="N85" s="354">
        <f t="shared" si="5"/>
        <v>0</v>
      </c>
      <c r="O85" s="355" t="s">
        <v>807</v>
      </c>
    </row>
    <row r="86" spans="1:15" ht="16.5" thickBot="1">
      <c r="A86" s="676" t="s">
        <v>56</v>
      </c>
      <c r="B86" s="677"/>
      <c r="C86" s="677"/>
      <c r="D86" s="677"/>
      <c r="E86" s="677"/>
      <c r="F86" s="677"/>
      <c r="G86" s="677"/>
      <c r="H86" s="677"/>
      <c r="I86" s="677"/>
      <c r="J86" s="677"/>
      <c r="K86" s="678"/>
      <c r="L86" s="294"/>
      <c r="M86" s="685"/>
      <c r="N86" s="686"/>
      <c r="O86" s="687"/>
    </row>
    <row r="87" spans="1:15" ht="18.75" customHeight="1">
      <c r="A87" s="297" t="s">
        <v>946</v>
      </c>
      <c r="B87" s="309" t="s">
        <v>3</v>
      </c>
      <c r="C87" s="309" t="s">
        <v>1167</v>
      </c>
      <c r="D87" s="309" t="s">
        <v>3</v>
      </c>
      <c r="E87" s="309" t="s">
        <v>3</v>
      </c>
      <c r="F87" s="309" t="s">
        <v>3</v>
      </c>
      <c r="G87" s="311">
        <v>0.04</v>
      </c>
      <c r="H87" s="309">
        <v>1</v>
      </c>
      <c r="I87" s="309">
        <f>G87*H87</f>
        <v>0.04</v>
      </c>
      <c r="J87" s="309" t="s">
        <v>841</v>
      </c>
      <c r="K87" s="310"/>
      <c r="L87" s="294"/>
      <c r="M87" s="340">
        <f t="shared" si="1"/>
        <v>11</v>
      </c>
      <c r="N87" s="70">
        <f t="shared" si="5"/>
        <v>0.44</v>
      </c>
      <c r="O87" s="299" t="s">
        <v>841</v>
      </c>
    </row>
    <row r="88" spans="1:15" ht="18" customHeight="1">
      <c r="A88" s="298" t="s">
        <v>948</v>
      </c>
      <c r="B88" s="18" t="s">
        <v>3</v>
      </c>
      <c r="C88" s="18" t="s">
        <v>1359</v>
      </c>
      <c r="D88" s="18" t="s">
        <v>3</v>
      </c>
      <c r="E88" s="18" t="s">
        <v>3</v>
      </c>
      <c r="F88" s="18" t="s">
        <v>63</v>
      </c>
      <c r="G88" s="245">
        <v>1</v>
      </c>
      <c r="H88" s="245">
        <v>1</v>
      </c>
      <c r="I88" s="18">
        <f t="shared" ref="I88:I92" si="12">G88*H88</f>
        <v>1</v>
      </c>
      <c r="J88" s="18" t="s">
        <v>841</v>
      </c>
      <c r="K88" s="299"/>
      <c r="L88" s="294"/>
      <c r="M88" s="340">
        <f t="shared" si="1"/>
        <v>11</v>
      </c>
      <c r="N88" s="70">
        <f t="shared" si="5"/>
        <v>11</v>
      </c>
      <c r="O88" s="299" t="s">
        <v>841</v>
      </c>
    </row>
    <row r="89" spans="1:15" ht="15.75" customHeight="1">
      <c r="A89" s="298" t="s">
        <v>950</v>
      </c>
      <c r="B89" s="18" t="s">
        <v>1360</v>
      </c>
      <c r="C89" s="18" t="s">
        <v>1361</v>
      </c>
      <c r="D89" s="18" t="s">
        <v>3</v>
      </c>
      <c r="E89" s="18" t="s">
        <v>1322</v>
      </c>
      <c r="F89" s="18" t="s">
        <v>1176</v>
      </c>
      <c r="G89" s="245">
        <v>2</v>
      </c>
      <c r="H89" s="245">
        <v>1</v>
      </c>
      <c r="I89" s="18">
        <f t="shared" si="12"/>
        <v>2</v>
      </c>
      <c r="J89" s="245" t="s">
        <v>841</v>
      </c>
      <c r="K89" s="299" t="s">
        <v>1272</v>
      </c>
      <c r="L89" s="294"/>
      <c r="M89" s="340">
        <f t="shared" si="1"/>
        <v>11</v>
      </c>
      <c r="N89" s="70">
        <f t="shared" si="5"/>
        <v>22</v>
      </c>
      <c r="O89" s="299" t="s">
        <v>841</v>
      </c>
    </row>
    <row r="90" spans="1:15" ht="15.75" customHeight="1">
      <c r="A90" s="298" t="s">
        <v>951</v>
      </c>
      <c r="B90" s="18" t="s">
        <v>1360</v>
      </c>
      <c r="C90" s="18" t="s">
        <v>1362</v>
      </c>
      <c r="D90" s="18" t="s">
        <v>3</v>
      </c>
      <c r="E90" s="18" t="s">
        <v>1322</v>
      </c>
      <c r="F90" s="18" t="s">
        <v>1176</v>
      </c>
      <c r="G90" s="245">
        <v>2</v>
      </c>
      <c r="H90" s="245">
        <v>1</v>
      </c>
      <c r="I90" s="18">
        <f t="shared" si="12"/>
        <v>2</v>
      </c>
      <c r="J90" s="245" t="s">
        <v>841</v>
      </c>
      <c r="K90" s="299" t="s">
        <v>1272</v>
      </c>
      <c r="L90" s="294"/>
      <c r="M90" s="340">
        <f t="shared" si="1"/>
        <v>11</v>
      </c>
      <c r="N90" s="70">
        <f t="shared" si="5"/>
        <v>22</v>
      </c>
      <c r="O90" s="299" t="s">
        <v>841</v>
      </c>
    </row>
    <row r="91" spans="1:15" ht="17.25" customHeight="1">
      <c r="A91" s="298" t="s">
        <v>953</v>
      </c>
      <c r="B91" s="18" t="s">
        <v>1360</v>
      </c>
      <c r="C91" s="18" t="s">
        <v>1324</v>
      </c>
      <c r="D91" s="18" t="s">
        <v>3</v>
      </c>
      <c r="E91" s="18" t="s">
        <v>1322</v>
      </c>
      <c r="F91" s="18" t="s">
        <v>1176</v>
      </c>
      <c r="G91" s="245">
        <v>1</v>
      </c>
      <c r="H91" s="245">
        <v>1</v>
      </c>
      <c r="I91" s="18">
        <f t="shared" si="12"/>
        <v>1</v>
      </c>
      <c r="J91" s="245" t="s">
        <v>841</v>
      </c>
      <c r="K91" s="299" t="s">
        <v>1272</v>
      </c>
      <c r="L91" s="294"/>
      <c r="M91" s="340">
        <f t="shared" si="1"/>
        <v>11</v>
      </c>
      <c r="N91" s="70">
        <f t="shared" si="5"/>
        <v>11</v>
      </c>
      <c r="O91" s="299" t="s">
        <v>841</v>
      </c>
    </row>
    <row r="92" spans="1:15" ht="15.75" customHeight="1">
      <c r="A92" s="298" t="s">
        <v>954</v>
      </c>
      <c r="B92" s="18" t="s">
        <v>1360</v>
      </c>
      <c r="C92" s="18" t="s">
        <v>1325</v>
      </c>
      <c r="D92" s="18" t="s">
        <v>3</v>
      </c>
      <c r="E92" s="18" t="s">
        <v>1322</v>
      </c>
      <c r="F92" s="18" t="s">
        <v>1176</v>
      </c>
      <c r="G92" s="245">
        <v>1</v>
      </c>
      <c r="H92" s="245">
        <v>1</v>
      </c>
      <c r="I92" s="18">
        <f t="shared" si="12"/>
        <v>1</v>
      </c>
      <c r="J92" s="245" t="s">
        <v>841</v>
      </c>
      <c r="K92" s="299" t="s">
        <v>1272</v>
      </c>
      <c r="L92" s="294"/>
      <c r="M92" s="340">
        <f t="shared" si="1"/>
        <v>11</v>
      </c>
      <c r="N92" s="70">
        <f t="shared" si="5"/>
        <v>11</v>
      </c>
      <c r="O92" s="299" t="s">
        <v>841</v>
      </c>
    </row>
    <row r="93" spans="1:15" ht="15.75">
      <c r="A93" s="298" t="s">
        <v>955</v>
      </c>
      <c r="B93" s="18" t="s">
        <v>3</v>
      </c>
      <c r="C93" s="18" t="s">
        <v>1178</v>
      </c>
      <c r="D93" s="18" t="s">
        <v>3</v>
      </c>
      <c r="E93" s="18" t="s">
        <v>3</v>
      </c>
      <c r="F93" s="18" t="s">
        <v>3</v>
      </c>
      <c r="G93" s="18">
        <v>1</v>
      </c>
      <c r="H93" s="18">
        <v>1</v>
      </c>
      <c r="I93" s="18">
        <f t="shared" si="7"/>
        <v>1</v>
      </c>
      <c r="J93" s="18" t="s">
        <v>841</v>
      </c>
      <c r="K93" s="299"/>
      <c r="L93" s="294"/>
      <c r="M93" s="340">
        <f t="shared" si="1"/>
        <v>11</v>
      </c>
      <c r="N93" s="70">
        <f t="shared" si="5"/>
        <v>11</v>
      </c>
      <c r="O93" s="299" t="s">
        <v>841</v>
      </c>
    </row>
    <row r="94" spans="1:15" ht="15.75">
      <c r="A94" s="298" t="s">
        <v>956</v>
      </c>
      <c r="B94" s="18" t="s">
        <v>3</v>
      </c>
      <c r="C94" s="245" t="s">
        <v>1179</v>
      </c>
      <c r="D94" s="18" t="s">
        <v>3</v>
      </c>
      <c r="E94" s="18" t="s">
        <v>3</v>
      </c>
      <c r="F94" s="18" t="s">
        <v>3</v>
      </c>
      <c r="G94" s="18">
        <v>2</v>
      </c>
      <c r="H94" s="18">
        <v>1</v>
      </c>
      <c r="I94" s="18">
        <f t="shared" si="7"/>
        <v>2</v>
      </c>
      <c r="J94" s="18" t="s">
        <v>841</v>
      </c>
      <c r="K94" s="299"/>
      <c r="L94" s="294"/>
      <c r="M94" s="340">
        <f t="shared" si="1"/>
        <v>11</v>
      </c>
      <c r="N94" s="70">
        <f t="shared" si="5"/>
        <v>22</v>
      </c>
      <c r="O94" s="299" t="s">
        <v>841</v>
      </c>
    </row>
    <row r="95" spans="1:15" ht="15.75">
      <c r="A95" s="298" t="s">
        <v>957</v>
      </c>
      <c r="B95" s="18" t="s">
        <v>3</v>
      </c>
      <c r="C95" s="245" t="s">
        <v>113</v>
      </c>
      <c r="D95" s="18" t="s">
        <v>3</v>
      </c>
      <c r="E95" s="18" t="s">
        <v>3</v>
      </c>
      <c r="F95" s="18" t="s">
        <v>3</v>
      </c>
      <c r="G95" s="18">
        <v>1</v>
      </c>
      <c r="H95" s="18">
        <v>1</v>
      </c>
      <c r="I95" s="18">
        <f t="shared" si="7"/>
        <v>1</v>
      </c>
      <c r="J95" s="18" t="s">
        <v>841</v>
      </c>
      <c r="K95" s="299"/>
      <c r="L95" s="294"/>
      <c r="M95" s="340">
        <f t="shared" si="1"/>
        <v>11</v>
      </c>
      <c r="N95" s="70">
        <f t="shared" si="5"/>
        <v>11</v>
      </c>
      <c r="O95" s="299" t="s">
        <v>841</v>
      </c>
    </row>
    <row r="96" spans="1:15" ht="19.5" customHeight="1" thickBot="1">
      <c r="A96" s="298" t="s">
        <v>959</v>
      </c>
      <c r="B96" s="287" t="s">
        <v>3</v>
      </c>
      <c r="C96" s="312" t="s">
        <v>1183</v>
      </c>
      <c r="D96" s="287" t="s">
        <v>3</v>
      </c>
      <c r="E96" s="287" t="s">
        <v>3</v>
      </c>
      <c r="F96" s="287" t="s">
        <v>1184</v>
      </c>
      <c r="G96" s="356">
        <v>0</v>
      </c>
      <c r="H96" s="287">
        <v>1</v>
      </c>
      <c r="I96" s="287">
        <f>G96*H96</f>
        <v>0</v>
      </c>
      <c r="J96" s="287" t="s">
        <v>935</v>
      </c>
      <c r="K96" s="303" t="s">
        <v>1185</v>
      </c>
      <c r="L96" s="294"/>
      <c r="M96" s="378">
        <v>0</v>
      </c>
      <c r="N96" s="358">
        <f t="shared" si="5"/>
        <v>0</v>
      </c>
      <c r="O96" s="359" t="s">
        <v>935</v>
      </c>
    </row>
  </sheetData>
  <mergeCells count="47">
    <mergeCell ref="A1:K1"/>
    <mergeCell ref="M1:O1"/>
    <mergeCell ref="A2:A3"/>
    <mergeCell ref="B2:B3"/>
    <mergeCell ref="C2:C3"/>
    <mergeCell ref="D2:F2"/>
    <mergeCell ref="G2:G3"/>
    <mergeCell ref="H2:I2"/>
    <mergeCell ref="J2:J3"/>
    <mergeCell ref="K2:K3"/>
    <mergeCell ref="B24:K24"/>
    <mergeCell ref="M24:O24"/>
    <mergeCell ref="M2:M3"/>
    <mergeCell ref="N2:N3"/>
    <mergeCell ref="O2:O3"/>
    <mergeCell ref="A4:K4"/>
    <mergeCell ref="M4:O6"/>
    <mergeCell ref="B5:K5"/>
    <mergeCell ref="B6:K6"/>
    <mergeCell ref="B12:K12"/>
    <mergeCell ref="M12:O12"/>
    <mergeCell ref="B19:K19"/>
    <mergeCell ref="M19:O20"/>
    <mergeCell ref="B20:K20"/>
    <mergeCell ref="B26:K26"/>
    <mergeCell ref="M26:O27"/>
    <mergeCell ref="B27:K27"/>
    <mergeCell ref="B34:K34"/>
    <mergeCell ref="M34:O35"/>
    <mergeCell ref="B35:K35"/>
    <mergeCell ref="B39:K39"/>
    <mergeCell ref="M39:O39"/>
    <mergeCell ref="A42:K42"/>
    <mergeCell ref="M42:O42"/>
    <mergeCell ref="A44:K44"/>
    <mergeCell ref="M44:O44"/>
    <mergeCell ref="B51:K51"/>
    <mergeCell ref="M51:O51"/>
    <mergeCell ref="B63:K63"/>
    <mergeCell ref="M63:O63"/>
    <mergeCell ref="A79:K79"/>
    <mergeCell ref="M79:O79"/>
    <mergeCell ref="A83:K83"/>
    <mergeCell ref="M83:O83"/>
    <mergeCell ref="K84:K85"/>
    <mergeCell ref="A86:K86"/>
    <mergeCell ref="M86:O86"/>
  </mergeCells>
  <conditionalFormatting sqref="B29">
    <cfRule type="duplicateValues" dxfId="147" priority="7"/>
  </conditionalFormatting>
  <conditionalFormatting sqref="B43:C43">
    <cfRule type="duplicateValues" dxfId="146" priority="6"/>
  </conditionalFormatting>
  <conditionalFormatting sqref="B31:C31">
    <cfRule type="duplicateValues" dxfId="145" priority="5"/>
  </conditionalFormatting>
  <conditionalFormatting sqref="B32:C32">
    <cfRule type="duplicateValues" dxfId="144" priority="4"/>
  </conditionalFormatting>
  <conditionalFormatting sqref="B33:C33">
    <cfRule type="duplicateValues" dxfId="143" priority="3"/>
  </conditionalFormatting>
  <conditionalFormatting sqref="B30">
    <cfRule type="duplicateValues" dxfId="142" priority="8"/>
  </conditionalFormatting>
  <conditionalFormatting sqref="C37">
    <cfRule type="duplicateValues" dxfId="141" priority="2"/>
  </conditionalFormatting>
  <conditionalFormatting sqref="C38">
    <cfRule type="duplicateValues" dxfId="140" priority="1"/>
  </conditionalFormatting>
  <hyperlinks>
    <hyperlink ref="F50" r:id="rId1"/>
    <hyperlink ref="F64" r:id="rId2"/>
    <hyperlink ref="F65" r:id="rId3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workbookViewId="0">
      <selection activeCell="H10" sqref="H10"/>
    </sheetView>
  </sheetViews>
  <sheetFormatPr defaultRowHeight="15"/>
  <cols>
    <col min="1" max="1" width="14.42578125" customWidth="1"/>
    <col min="2" max="2" width="28.28515625" customWidth="1"/>
    <col min="3" max="3" width="32" customWidth="1"/>
    <col min="4" max="4" width="14.7109375" customWidth="1"/>
    <col min="5" max="5" width="26" customWidth="1"/>
    <col min="6" max="6" width="34.28515625" customWidth="1"/>
    <col min="7" max="7" width="14.140625" customWidth="1"/>
    <col min="8" max="8" width="11.5703125" customWidth="1"/>
    <col min="9" max="10" width="14" customWidth="1"/>
    <col min="11" max="11" width="19.140625" customWidth="1"/>
  </cols>
  <sheetData>
    <row r="1" spans="1:11" ht="20.100000000000001" customHeight="1">
      <c r="A1" s="293"/>
      <c r="B1" s="294"/>
      <c r="C1" s="294"/>
      <c r="D1" s="294"/>
      <c r="E1" s="294"/>
      <c r="F1" s="294"/>
      <c r="G1" s="294"/>
      <c r="H1" s="294"/>
      <c r="I1" s="294"/>
      <c r="J1" s="294"/>
      <c r="K1" s="294" t="s">
        <v>785</v>
      </c>
    </row>
    <row r="2" spans="1:11" ht="20.100000000000001" customHeight="1">
      <c r="A2" s="293"/>
      <c r="B2" s="294"/>
      <c r="C2" s="294"/>
      <c r="D2" s="294"/>
      <c r="E2" s="294"/>
      <c r="F2" s="294"/>
      <c r="G2" s="294"/>
      <c r="H2" s="294"/>
      <c r="I2" s="294"/>
      <c r="J2" s="294"/>
      <c r="K2" s="653" t="s">
        <v>786</v>
      </c>
    </row>
    <row r="3" spans="1:11" ht="20.100000000000001" customHeight="1" thickBot="1">
      <c r="A3" s="293"/>
      <c r="B3" s="294"/>
      <c r="C3" s="294"/>
      <c r="D3" s="294"/>
      <c r="E3" s="295" t="s">
        <v>787</v>
      </c>
      <c r="F3" s="294"/>
      <c r="G3" s="294"/>
      <c r="H3" s="294"/>
      <c r="I3" s="294"/>
      <c r="J3" s="294"/>
      <c r="K3" s="654"/>
    </row>
    <row r="4" spans="1:11" ht="20.100000000000001" customHeight="1" thickBot="1">
      <c r="A4" s="655" t="s">
        <v>991</v>
      </c>
      <c r="B4" s="656"/>
      <c r="C4" s="656"/>
      <c r="D4" s="656"/>
      <c r="E4" s="656"/>
      <c r="F4" s="656"/>
      <c r="G4" s="656"/>
      <c r="H4" s="657"/>
      <c r="I4" s="657"/>
      <c r="J4" s="657"/>
      <c r="K4" s="658"/>
    </row>
    <row r="5" spans="1:11" ht="20.100000000000001" customHeight="1">
      <c r="A5" s="659" t="s">
        <v>17</v>
      </c>
      <c r="B5" s="661" t="s">
        <v>789</v>
      </c>
      <c r="C5" s="661" t="s">
        <v>790</v>
      </c>
      <c r="D5" s="661" t="s">
        <v>791</v>
      </c>
      <c r="E5" s="661"/>
      <c r="F5" s="661"/>
      <c r="G5" s="661" t="s">
        <v>792</v>
      </c>
      <c r="H5" s="663" t="s">
        <v>367</v>
      </c>
      <c r="I5" s="664"/>
      <c r="J5" s="665" t="s">
        <v>793</v>
      </c>
      <c r="K5" s="667" t="s">
        <v>794</v>
      </c>
    </row>
    <row r="6" spans="1:11" ht="20.100000000000001" customHeight="1" thickBot="1">
      <c r="A6" s="660"/>
      <c r="B6" s="662"/>
      <c r="C6" s="662"/>
      <c r="D6" s="287" t="s">
        <v>795</v>
      </c>
      <c r="E6" s="287" t="s">
        <v>796</v>
      </c>
      <c r="F6" s="287" t="s">
        <v>797</v>
      </c>
      <c r="G6" s="662"/>
      <c r="H6" s="296" t="s">
        <v>25</v>
      </c>
      <c r="I6" s="296" t="s">
        <v>798</v>
      </c>
      <c r="J6" s="666"/>
      <c r="K6" s="668"/>
    </row>
    <row r="7" spans="1:11" ht="20.100000000000001" customHeight="1" thickBot="1">
      <c r="A7" s="669" t="s">
        <v>799</v>
      </c>
      <c r="B7" s="670"/>
      <c r="C7" s="670"/>
      <c r="D7" s="670"/>
      <c r="E7" s="670"/>
      <c r="F7" s="670"/>
      <c r="G7" s="670"/>
      <c r="H7" s="670"/>
      <c r="I7" s="670"/>
      <c r="J7" s="670"/>
      <c r="K7" s="671"/>
    </row>
    <row r="8" spans="1:11" ht="20.100000000000001" customHeight="1">
      <c r="A8" s="297">
        <v>1</v>
      </c>
      <c r="B8" s="672" t="s">
        <v>800</v>
      </c>
      <c r="C8" s="672"/>
      <c r="D8" s="672"/>
      <c r="E8" s="672"/>
      <c r="F8" s="672"/>
      <c r="G8" s="672"/>
      <c r="H8" s="672"/>
      <c r="I8" s="672"/>
      <c r="J8" s="672"/>
      <c r="K8" s="673"/>
    </row>
    <row r="9" spans="1:11" ht="20.100000000000001" customHeight="1">
      <c r="A9" s="298" t="s">
        <v>801</v>
      </c>
      <c r="B9" s="651" t="s">
        <v>2</v>
      </c>
      <c r="C9" s="651"/>
      <c r="D9" s="651"/>
      <c r="E9" s="651"/>
      <c r="F9" s="651"/>
      <c r="G9" s="651"/>
      <c r="H9" s="651"/>
      <c r="I9" s="651"/>
      <c r="J9" s="651"/>
      <c r="K9" s="652"/>
    </row>
    <row r="10" spans="1:11" ht="20.100000000000001" customHeight="1">
      <c r="A10" s="298" t="s">
        <v>802</v>
      </c>
      <c r="B10" s="18" t="s">
        <v>992</v>
      </c>
      <c r="C10" s="18" t="s">
        <v>993</v>
      </c>
      <c r="D10" s="18" t="s">
        <v>772</v>
      </c>
      <c r="E10" s="18" t="s">
        <v>805</v>
      </c>
      <c r="F10" s="18" t="s">
        <v>806</v>
      </c>
      <c r="G10" s="18">
        <v>1</v>
      </c>
      <c r="H10" s="18">
        <v>3.3479999999999999</v>
      </c>
      <c r="I10" s="18">
        <v>3.3479999999999999</v>
      </c>
      <c r="J10" s="18" t="s">
        <v>807</v>
      </c>
      <c r="K10" s="299"/>
    </row>
    <row r="11" spans="1:11" ht="20.100000000000001" customHeight="1">
      <c r="A11" s="298" t="s">
        <v>808</v>
      </c>
      <c r="B11" s="18" t="s">
        <v>994</v>
      </c>
      <c r="C11" s="18" t="s">
        <v>995</v>
      </c>
      <c r="D11" s="18" t="s">
        <v>772</v>
      </c>
      <c r="E11" s="18" t="s">
        <v>805</v>
      </c>
      <c r="F11" s="18" t="s">
        <v>806</v>
      </c>
      <c r="G11" s="18">
        <v>1</v>
      </c>
      <c r="H11" s="18">
        <v>3.3479999999999999</v>
      </c>
      <c r="I11" s="18">
        <f>H11*G11</f>
        <v>3.3479999999999999</v>
      </c>
      <c r="J11" s="18" t="s">
        <v>807</v>
      </c>
      <c r="K11" s="299"/>
    </row>
    <row r="12" spans="1:11" ht="20.100000000000001" customHeight="1">
      <c r="A12" s="298" t="s">
        <v>811</v>
      </c>
      <c r="B12" s="18" t="s">
        <v>812</v>
      </c>
      <c r="C12" s="18" t="s">
        <v>135</v>
      </c>
      <c r="D12" s="18" t="s">
        <v>770</v>
      </c>
      <c r="E12" s="18" t="s">
        <v>813</v>
      </c>
      <c r="F12" s="18" t="s">
        <v>814</v>
      </c>
      <c r="G12" s="18">
        <v>1</v>
      </c>
      <c r="H12" s="18">
        <v>0.46900000000000003</v>
      </c>
      <c r="I12" s="18">
        <f>H12*G12</f>
        <v>0.46900000000000003</v>
      </c>
      <c r="J12" s="18" t="s">
        <v>807</v>
      </c>
      <c r="K12" s="299"/>
    </row>
    <row r="13" spans="1:11" ht="20.100000000000001" customHeight="1">
      <c r="A13" s="298" t="s">
        <v>815</v>
      </c>
      <c r="B13" s="18" t="s">
        <v>816</v>
      </c>
      <c r="C13" s="18" t="s">
        <v>32</v>
      </c>
      <c r="D13" s="18" t="s">
        <v>770</v>
      </c>
      <c r="E13" s="18" t="s">
        <v>817</v>
      </c>
      <c r="F13" s="18" t="s">
        <v>814</v>
      </c>
      <c r="G13" s="18">
        <v>1</v>
      </c>
      <c r="H13" s="18">
        <v>0.32300000000000001</v>
      </c>
      <c r="I13" s="18">
        <f>H13*G13</f>
        <v>0.32300000000000001</v>
      </c>
      <c r="J13" s="18" t="s">
        <v>807</v>
      </c>
      <c r="K13" s="299"/>
    </row>
    <row r="14" spans="1:11" ht="20.100000000000001" customHeight="1" thickBot="1">
      <c r="A14" s="300" t="s">
        <v>818</v>
      </c>
      <c r="B14" s="287" t="s">
        <v>819</v>
      </c>
      <c r="C14" s="287" t="s">
        <v>134</v>
      </c>
      <c r="D14" s="287" t="s">
        <v>771</v>
      </c>
      <c r="E14" s="287" t="s">
        <v>820</v>
      </c>
      <c r="F14" s="287" t="s">
        <v>821</v>
      </c>
      <c r="G14" s="287">
        <v>1</v>
      </c>
      <c r="H14" s="287">
        <v>0.14599999999999999</v>
      </c>
      <c r="I14" s="287">
        <f>H14*G14</f>
        <v>0.14599999999999999</v>
      </c>
      <c r="J14" s="287" t="s">
        <v>807</v>
      </c>
      <c r="K14" s="301"/>
    </row>
    <row r="15" spans="1:11" ht="20.100000000000001" customHeight="1">
      <c r="A15" s="302" t="s">
        <v>822</v>
      </c>
      <c r="B15" s="674" t="s">
        <v>823</v>
      </c>
      <c r="C15" s="674"/>
      <c r="D15" s="674"/>
      <c r="E15" s="674"/>
      <c r="F15" s="674"/>
      <c r="G15" s="674"/>
      <c r="H15" s="674"/>
      <c r="I15" s="674"/>
      <c r="J15" s="674"/>
      <c r="K15" s="675"/>
    </row>
    <row r="16" spans="1:11" ht="20.100000000000001" customHeight="1">
      <c r="A16" s="298" t="s">
        <v>824</v>
      </c>
      <c r="B16" s="651" t="s">
        <v>2</v>
      </c>
      <c r="C16" s="651"/>
      <c r="D16" s="651"/>
      <c r="E16" s="651"/>
      <c r="F16" s="651"/>
      <c r="G16" s="651"/>
      <c r="H16" s="651"/>
      <c r="I16" s="651"/>
      <c r="J16" s="651"/>
      <c r="K16" s="652"/>
    </row>
    <row r="17" spans="1:11" ht="20.100000000000001" customHeight="1">
      <c r="A17" s="298" t="s">
        <v>825</v>
      </c>
      <c r="B17" s="18" t="s">
        <v>826</v>
      </c>
      <c r="C17" s="18" t="s">
        <v>827</v>
      </c>
      <c r="D17" s="31" t="s">
        <v>777</v>
      </c>
      <c r="E17" s="18" t="s">
        <v>775</v>
      </c>
      <c r="F17" s="18" t="s">
        <v>828</v>
      </c>
      <c r="G17" s="18">
        <v>1</v>
      </c>
      <c r="H17" s="18">
        <v>0.28699999999999998</v>
      </c>
      <c r="I17" s="18">
        <f>G17*H17</f>
        <v>0.28699999999999998</v>
      </c>
      <c r="J17" s="18" t="s">
        <v>807</v>
      </c>
      <c r="K17" s="299"/>
    </row>
    <row r="18" spans="1:11" ht="26.25" customHeight="1">
      <c r="A18" s="298" t="s">
        <v>829</v>
      </c>
      <c r="B18" s="18" t="s">
        <v>830</v>
      </c>
      <c r="C18" s="18" t="s">
        <v>5</v>
      </c>
      <c r="D18" s="18" t="s">
        <v>772</v>
      </c>
      <c r="E18" s="18" t="s">
        <v>779</v>
      </c>
      <c r="F18" s="18" t="s">
        <v>831</v>
      </c>
      <c r="G18" s="18">
        <v>1</v>
      </c>
      <c r="H18" s="18">
        <v>1.3999999999999999E-2</v>
      </c>
      <c r="I18" s="18">
        <f>G18*H18</f>
        <v>1.3999999999999999E-2</v>
      </c>
      <c r="J18" s="18" t="s">
        <v>807</v>
      </c>
      <c r="K18" s="299"/>
    </row>
    <row r="19" spans="1:11" ht="20.100000000000001" customHeight="1">
      <c r="A19" s="298" t="s">
        <v>832</v>
      </c>
      <c r="B19" s="18" t="s">
        <v>833</v>
      </c>
      <c r="C19" s="18" t="s">
        <v>7</v>
      </c>
      <c r="D19" s="18" t="s">
        <v>778</v>
      </c>
      <c r="E19" s="18" t="s">
        <v>776</v>
      </c>
      <c r="F19" s="18" t="s">
        <v>834</v>
      </c>
      <c r="G19" s="18">
        <v>1</v>
      </c>
      <c r="H19" s="18">
        <v>2E-3</v>
      </c>
      <c r="I19" s="18">
        <f>G19*H19</f>
        <v>2E-3</v>
      </c>
      <c r="J19" s="18" t="s">
        <v>807</v>
      </c>
      <c r="K19" s="299"/>
    </row>
    <row r="20" spans="1:11" ht="20.100000000000001" customHeight="1">
      <c r="A20" s="298" t="s">
        <v>835</v>
      </c>
      <c r="B20" s="18" t="s">
        <v>836</v>
      </c>
      <c r="C20" s="18" t="s">
        <v>837</v>
      </c>
      <c r="D20" s="18" t="s">
        <v>771</v>
      </c>
      <c r="E20" s="18" t="s">
        <v>820</v>
      </c>
      <c r="F20" s="18" t="s">
        <v>821</v>
      </c>
      <c r="G20" s="18">
        <v>1</v>
      </c>
      <c r="H20" s="18">
        <v>0.06</v>
      </c>
      <c r="I20" s="18">
        <f>G20*H20</f>
        <v>0.06</v>
      </c>
      <c r="J20" s="18" t="s">
        <v>807</v>
      </c>
      <c r="K20" s="299"/>
    </row>
    <row r="21" spans="1:11" ht="20.100000000000001" customHeight="1">
      <c r="A21" s="298" t="s">
        <v>838</v>
      </c>
      <c r="B21" s="651" t="s">
        <v>839</v>
      </c>
      <c r="C21" s="651"/>
      <c r="D21" s="651"/>
      <c r="E21" s="651"/>
      <c r="F21" s="651"/>
      <c r="G21" s="651"/>
      <c r="H21" s="651"/>
      <c r="I21" s="651"/>
      <c r="J21" s="651"/>
      <c r="K21" s="652"/>
    </row>
    <row r="22" spans="1:11" ht="26.25" customHeight="1" thickBot="1">
      <c r="A22" s="300" t="s">
        <v>840</v>
      </c>
      <c r="B22" s="287" t="s">
        <v>3</v>
      </c>
      <c r="C22" s="287" t="s">
        <v>780</v>
      </c>
      <c r="D22" s="287" t="s">
        <v>3</v>
      </c>
      <c r="E22" s="287" t="s">
        <v>3</v>
      </c>
      <c r="F22" s="287" t="s">
        <v>36</v>
      </c>
      <c r="G22" s="287">
        <v>2</v>
      </c>
      <c r="H22" s="287">
        <v>1</v>
      </c>
      <c r="I22" s="287">
        <f>G22*H22</f>
        <v>2</v>
      </c>
      <c r="J22" s="287" t="s">
        <v>841</v>
      </c>
      <c r="K22" s="303"/>
    </row>
    <row r="23" spans="1:11" ht="20.100000000000001" customHeight="1">
      <c r="A23" s="302">
        <v>3</v>
      </c>
      <c r="B23" s="674" t="s">
        <v>842</v>
      </c>
      <c r="C23" s="674"/>
      <c r="D23" s="674"/>
      <c r="E23" s="674"/>
      <c r="F23" s="674"/>
      <c r="G23" s="674"/>
      <c r="H23" s="674"/>
      <c r="I23" s="674"/>
      <c r="J23" s="674"/>
      <c r="K23" s="675"/>
    </row>
    <row r="24" spans="1:11" ht="20.100000000000001" customHeight="1">
      <c r="A24" s="298" t="s">
        <v>843</v>
      </c>
      <c r="B24" s="651" t="s">
        <v>2</v>
      </c>
      <c r="C24" s="651"/>
      <c r="D24" s="651"/>
      <c r="E24" s="651"/>
      <c r="F24" s="651"/>
      <c r="G24" s="651"/>
      <c r="H24" s="651"/>
      <c r="I24" s="651"/>
      <c r="J24" s="651"/>
      <c r="K24" s="652"/>
    </row>
    <row r="25" spans="1:11" ht="20.100000000000001" customHeight="1">
      <c r="A25" s="298" t="s">
        <v>844</v>
      </c>
      <c r="B25" s="18" t="s">
        <v>845</v>
      </c>
      <c r="C25" s="18" t="s">
        <v>846</v>
      </c>
      <c r="D25" s="18" t="s">
        <v>771</v>
      </c>
      <c r="E25" s="18" t="s">
        <v>847</v>
      </c>
      <c r="F25" s="18" t="s">
        <v>821</v>
      </c>
      <c r="G25" s="18">
        <v>2</v>
      </c>
      <c r="H25" s="18">
        <v>1.8000000000000002E-2</v>
      </c>
      <c r="I25" s="18">
        <f t="shared" ref="I25:I33" si="0">G25*H25</f>
        <v>3.6000000000000004E-2</v>
      </c>
      <c r="J25" s="18" t="s">
        <v>807</v>
      </c>
      <c r="K25" s="299"/>
    </row>
    <row r="26" spans="1:11" ht="20.100000000000001" customHeight="1">
      <c r="A26" s="298" t="s">
        <v>848</v>
      </c>
      <c r="B26" s="18" t="s">
        <v>849</v>
      </c>
      <c r="C26" s="18" t="s">
        <v>850</v>
      </c>
      <c r="D26" s="18" t="s">
        <v>770</v>
      </c>
      <c r="E26" s="18" t="s">
        <v>813</v>
      </c>
      <c r="F26" s="18" t="s">
        <v>814</v>
      </c>
      <c r="G26" s="18">
        <v>1</v>
      </c>
      <c r="H26" s="18">
        <v>1.1539999999999999</v>
      </c>
      <c r="I26" s="18">
        <f t="shared" si="0"/>
        <v>1.1539999999999999</v>
      </c>
      <c r="J26" s="18" t="s">
        <v>807</v>
      </c>
      <c r="K26" s="304"/>
    </row>
    <row r="27" spans="1:11" ht="20.100000000000001" customHeight="1">
      <c r="A27" s="298" t="s">
        <v>851</v>
      </c>
      <c r="B27" s="18" t="s">
        <v>852</v>
      </c>
      <c r="C27" s="18" t="s">
        <v>853</v>
      </c>
      <c r="D27" s="18" t="s">
        <v>770</v>
      </c>
      <c r="E27" s="18" t="s">
        <v>813</v>
      </c>
      <c r="F27" s="18" t="s">
        <v>814</v>
      </c>
      <c r="G27" s="18">
        <v>1</v>
      </c>
      <c r="H27" s="18">
        <v>0.53500000000000003</v>
      </c>
      <c r="I27" s="18">
        <f t="shared" si="0"/>
        <v>0.53500000000000003</v>
      </c>
      <c r="J27" s="18" t="s">
        <v>807</v>
      </c>
      <c r="K27" s="299"/>
    </row>
    <row r="28" spans="1:11" ht="20.100000000000001" customHeight="1">
      <c r="A28" s="298" t="s">
        <v>854</v>
      </c>
      <c r="B28" s="18" t="s">
        <v>855</v>
      </c>
      <c r="C28" s="18" t="s">
        <v>856</v>
      </c>
      <c r="D28" s="18" t="s">
        <v>772</v>
      </c>
      <c r="E28" s="18" t="s">
        <v>779</v>
      </c>
      <c r="F28" s="18" t="s">
        <v>831</v>
      </c>
      <c r="G28" s="18">
        <v>1</v>
      </c>
      <c r="H28" s="18">
        <v>0.18</v>
      </c>
      <c r="I28" s="18">
        <f t="shared" si="0"/>
        <v>0.18</v>
      </c>
      <c r="J28" s="18" t="s">
        <v>807</v>
      </c>
      <c r="K28" s="304"/>
    </row>
    <row r="29" spans="1:11" ht="20.100000000000001" customHeight="1">
      <c r="A29" s="298" t="s">
        <v>857</v>
      </c>
      <c r="B29" s="18" t="s">
        <v>858</v>
      </c>
      <c r="C29" s="18" t="s">
        <v>859</v>
      </c>
      <c r="D29" s="18" t="s">
        <v>772</v>
      </c>
      <c r="E29" s="18" t="s">
        <v>779</v>
      </c>
      <c r="F29" s="18" t="s">
        <v>831</v>
      </c>
      <c r="G29" s="18">
        <v>1</v>
      </c>
      <c r="H29" s="18">
        <v>0.18</v>
      </c>
      <c r="I29" s="18">
        <f t="shared" si="0"/>
        <v>0.18</v>
      </c>
      <c r="J29" s="18" t="s">
        <v>807</v>
      </c>
      <c r="K29" s="299"/>
    </row>
    <row r="30" spans="1:11" ht="20.100000000000001" customHeight="1">
      <c r="A30" s="298" t="s">
        <v>860</v>
      </c>
      <c r="B30" s="18" t="s">
        <v>861</v>
      </c>
      <c r="C30" s="18" t="s">
        <v>42</v>
      </c>
      <c r="D30" s="18" t="s">
        <v>862</v>
      </c>
      <c r="E30" s="18" t="s">
        <v>863</v>
      </c>
      <c r="F30" s="18" t="s">
        <v>43</v>
      </c>
      <c r="G30" s="18">
        <v>1</v>
      </c>
      <c r="H30" s="18">
        <v>2E-3</v>
      </c>
      <c r="I30" s="18">
        <f t="shared" si="0"/>
        <v>2E-3</v>
      </c>
      <c r="J30" s="18" t="s">
        <v>807</v>
      </c>
      <c r="K30" s="299"/>
    </row>
    <row r="31" spans="1:11" ht="20.100000000000001" customHeight="1">
      <c r="A31" s="298" t="s">
        <v>864</v>
      </c>
      <c r="B31" s="18" t="s">
        <v>865</v>
      </c>
      <c r="C31" s="18" t="s">
        <v>866</v>
      </c>
      <c r="D31" s="18" t="s">
        <v>867</v>
      </c>
      <c r="E31" s="18" t="s">
        <v>868</v>
      </c>
      <c r="F31" s="18" t="s">
        <v>869</v>
      </c>
      <c r="G31" s="18">
        <v>1</v>
      </c>
      <c r="H31" s="18">
        <v>1.0999999999999999E-2</v>
      </c>
      <c r="I31" s="18">
        <f t="shared" si="0"/>
        <v>1.0999999999999999E-2</v>
      </c>
      <c r="J31" s="18" t="s">
        <v>870</v>
      </c>
      <c r="K31" s="304"/>
    </row>
    <row r="32" spans="1:11" ht="20.100000000000001" customHeight="1">
      <c r="A32" s="298" t="s">
        <v>871</v>
      </c>
      <c r="B32" s="18" t="s">
        <v>872</v>
      </c>
      <c r="C32" s="18" t="s">
        <v>856</v>
      </c>
      <c r="D32" s="18" t="s">
        <v>772</v>
      </c>
      <c r="E32" s="18" t="s">
        <v>779</v>
      </c>
      <c r="F32" s="18" t="s">
        <v>831</v>
      </c>
      <c r="G32" s="18">
        <v>1</v>
      </c>
      <c r="H32" s="18">
        <v>0.192</v>
      </c>
      <c r="I32" s="18">
        <f t="shared" si="0"/>
        <v>0.192</v>
      </c>
      <c r="J32" s="18" t="s">
        <v>807</v>
      </c>
      <c r="K32" s="299"/>
    </row>
    <row r="33" spans="1:11" ht="20.100000000000001" customHeight="1">
      <c r="A33" s="298" t="s">
        <v>873</v>
      </c>
      <c r="B33" s="18" t="s">
        <v>874</v>
      </c>
      <c r="C33" s="18" t="s">
        <v>875</v>
      </c>
      <c r="D33" s="18" t="s">
        <v>772</v>
      </c>
      <c r="E33" s="18" t="s">
        <v>779</v>
      </c>
      <c r="F33" s="18" t="s">
        <v>831</v>
      </c>
      <c r="G33" s="18">
        <v>1</v>
      </c>
      <c r="H33" s="18">
        <v>0.192</v>
      </c>
      <c r="I33" s="18">
        <f t="shared" si="0"/>
        <v>0.192</v>
      </c>
      <c r="J33" s="18" t="s">
        <v>807</v>
      </c>
      <c r="K33" s="304"/>
    </row>
    <row r="34" spans="1:11" ht="20.100000000000001" customHeight="1">
      <c r="A34" s="298" t="s">
        <v>876</v>
      </c>
      <c r="B34" s="651" t="s">
        <v>839</v>
      </c>
      <c r="C34" s="651"/>
      <c r="D34" s="651"/>
      <c r="E34" s="651"/>
      <c r="F34" s="651"/>
      <c r="G34" s="651"/>
      <c r="H34" s="651"/>
      <c r="I34" s="651"/>
      <c r="J34" s="651"/>
      <c r="K34" s="652"/>
    </row>
    <row r="35" spans="1:11" ht="20.100000000000001" customHeight="1">
      <c r="A35" s="305" t="s">
        <v>877</v>
      </c>
      <c r="B35" s="306" t="s">
        <v>3</v>
      </c>
      <c r="C35" s="245" t="s">
        <v>236</v>
      </c>
      <c r="D35" s="34" t="s">
        <v>3</v>
      </c>
      <c r="E35" s="34" t="s">
        <v>3</v>
      </c>
      <c r="F35" s="34" t="s">
        <v>53</v>
      </c>
      <c r="G35" s="34">
        <v>1</v>
      </c>
      <c r="H35" s="34">
        <v>1</v>
      </c>
      <c r="I35" s="34">
        <f>G35*H35</f>
        <v>1</v>
      </c>
      <c r="J35" s="34" t="s">
        <v>841</v>
      </c>
      <c r="K35" s="307"/>
    </row>
    <row r="36" spans="1:11" ht="27" customHeight="1">
      <c r="A36" s="305" t="s">
        <v>878</v>
      </c>
      <c r="B36" s="306" t="s">
        <v>3</v>
      </c>
      <c r="C36" s="34" t="s">
        <v>733</v>
      </c>
      <c r="D36" s="34" t="s">
        <v>3</v>
      </c>
      <c r="E36" s="34" t="s">
        <v>3</v>
      </c>
      <c r="F36" s="34" t="s">
        <v>3</v>
      </c>
      <c r="G36" s="34">
        <v>6</v>
      </c>
      <c r="H36" s="34">
        <v>1</v>
      </c>
      <c r="I36" s="34">
        <f>G36*H36</f>
        <v>6</v>
      </c>
      <c r="J36" s="34" t="s">
        <v>841</v>
      </c>
      <c r="K36" s="307"/>
    </row>
    <row r="37" spans="1:11" ht="27" customHeight="1">
      <c r="A37" s="305" t="s">
        <v>879</v>
      </c>
      <c r="B37" s="306" t="s">
        <v>3</v>
      </c>
      <c r="C37" s="34" t="s">
        <v>734</v>
      </c>
      <c r="D37" s="34" t="s">
        <v>3</v>
      </c>
      <c r="E37" s="34" t="s">
        <v>3</v>
      </c>
      <c r="F37" s="34" t="s">
        <v>74</v>
      </c>
      <c r="G37" s="34">
        <v>1</v>
      </c>
      <c r="H37" s="34">
        <v>2E-3</v>
      </c>
      <c r="I37" s="34">
        <f>G37*H37</f>
        <v>2E-3</v>
      </c>
      <c r="J37" s="34" t="s">
        <v>807</v>
      </c>
      <c r="K37" s="307"/>
    </row>
    <row r="38" spans="1:11" ht="20.100000000000001" customHeight="1" thickBot="1">
      <c r="A38" s="305" t="s">
        <v>880</v>
      </c>
      <c r="B38" s="306" t="s">
        <v>3</v>
      </c>
      <c r="C38" s="245" t="s">
        <v>736</v>
      </c>
      <c r="D38" s="34" t="s">
        <v>3</v>
      </c>
      <c r="E38" s="34" t="s">
        <v>3</v>
      </c>
      <c r="F38" s="34" t="s">
        <v>72</v>
      </c>
      <c r="G38" s="34">
        <v>1</v>
      </c>
      <c r="H38" s="34">
        <v>3.0000000000000001E-3</v>
      </c>
      <c r="I38" s="34">
        <f>G38*H38</f>
        <v>3.0000000000000001E-3</v>
      </c>
      <c r="J38" s="34" t="s">
        <v>807</v>
      </c>
      <c r="K38" s="307"/>
    </row>
    <row r="39" spans="1:11" ht="20.100000000000001" customHeight="1">
      <c r="A39" s="297" t="s">
        <v>881</v>
      </c>
      <c r="B39" s="672" t="s">
        <v>14</v>
      </c>
      <c r="C39" s="672"/>
      <c r="D39" s="672"/>
      <c r="E39" s="672"/>
      <c r="F39" s="672"/>
      <c r="G39" s="672"/>
      <c r="H39" s="672"/>
      <c r="I39" s="672"/>
      <c r="J39" s="672"/>
      <c r="K39" s="673"/>
    </row>
    <row r="40" spans="1:11" ht="20.100000000000001" customHeight="1">
      <c r="A40" s="298" t="s">
        <v>882</v>
      </c>
      <c r="B40" s="651" t="s">
        <v>2</v>
      </c>
      <c r="C40" s="651"/>
      <c r="D40" s="651"/>
      <c r="E40" s="651"/>
      <c r="F40" s="651"/>
      <c r="G40" s="651"/>
      <c r="H40" s="651"/>
      <c r="I40" s="651"/>
      <c r="J40" s="651"/>
      <c r="K40" s="652"/>
    </row>
    <row r="41" spans="1:11" ht="20.100000000000001" customHeight="1">
      <c r="A41" s="298" t="s">
        <v>883</v>
      </c>
      <c r="B41" s="18" t="s">
        <v>884</v>
      </c>
      <c r="C41" s="18" t="s">
        <v>643</v>
      </c>
      <c r="D41" s="18" t="s">
        <v>771</v>
      </c>
      <c r="E41" s="18" t="s">
        <v>773</v>
      </c>
      <c r="F41" s="18" t="s">
        <v>37</v>
      </c>
      <c r="G41" s="18">
        <v>1</v>
      </c>
      <c r="H41" s="18">
        <v>5.1000000000000004E-2</v>
      </c>
      <c r="I41" s="18">
        <f t="shared" ref="I41:I47" si="1">G41*H41</f>
        <v>5.1000000000000004E-2</v>
      </c>
      <c r="J41" s="18" t="s">
        <v>807</v>
      </c>
      <c r="K41" s="299"/>
    </row>
    <row r="42" spans="1:11" ht="20.100000000000001" customHeight="1">
      <c r="A42" s="298" t="s">
        <v>885</v>
      </c>
      <c r="B42" s="18" t="s">
        <v>886</v>
      </c>
      <c r="C42" s="18" t="s">
        <v>853</v>
      </c>
      <c r="D42" s="18" t="s">
        <v>771</v>
      </c>
      <c r="E42" s="18" t="s">
        <v>820</v>
      </c>
      <c r="F42" s="18" t="s">
        <v>37</v>
      </c>
      <c r="G42" s="18">
        <v>1</v>
      </c>
      <c r="H42" s="18">
        <v>7.1999999999999995E-2</v>
      </c>
      <c r="I42" s="18">
        <f t="shared" si="1"/>
        <v>7.1999999999999995E-2</v>
      </c>
      <c r="J42" s="18" t="s">
        <v>807</v>
      </c>
      <c r="K42" s="308"/>
    </row>
    <row r="43" spans="1:11" ht="20.100000000000001" customHeight="1">
      <c r="A43" s="298" t="s">
        <v>887</v>
      </c>
      <c r="B43" s="18" t="s">
        <v>888</v>
      </c>
      <c r="C43" s="18" t="s">
        <v>889</v>
      </c>
      <c r="D43" s="18" t="s">
        <v>770</v>
      </c>
      <c r="E43" s="18" t="s">
        <v>817</v>
      </c>
      <c r="F43" s="18" t="s">
        <v>814</v>
      </c>
      <c r="G43" s="18">
        <v>1</v>
      </c>
      <c r="H43" s="18">
        <v>0.47699999999999998</v>
      </c>
      <c r="I43" s="18">
        <f t="shared" si="1"/>
        <v>0.47699999999999998</v>
      </c>
      <c r="J43" s="18" t="s">
        <v>807</v>
      </c>
      <c r="K43" s="308"/>
    </row>
    <row r="44" spans="1:11" ht="20.100000000000001" customHeight="1">
      <c r="A44" s="298" t="s">
        <v>890</v>
      </c>
      <c r="B44" s="18" t="s">
        <v>891</v>
      </c>
      <c r="C44" s="18" t="s">
        <v>892</v>
      </c>
      <c r="D44" s="18" t="s">
        <v>772</v>
      </c>
      <c r="E44" s="18" t="s">
        <v>774</v>
      </c>
      <c r="F44" s="18" t="s">
        <v>806</v>
      </c>
      <c r="G44" s="18">
        <v>1</v>
      </c>
      <c r="H44" s="18">
        <v>6.2E-2</v>
      </c>
      <c r="I44" s="18">
        <f t="shared" si="1"/>
        <v>6.2E-2</v>
      </c>
      <c r="J44" s="18" t="s">
        <v>807</v>
      </c>
      <c r="K44" s="299"/>
    </row>
    <row r="45" spans="1:11" ht="20.100000000000001" customHeight="1">
      <c r="A45" s="298" t="s">
        <v>893</v>
      </c>
      <c r="B45" s="18" t="s">
        <v>894</v>
      </c>
      <c r="C45" s="18" t="s">
        <v>11</v>
      </c>
      <c r="D45" s="18" t="s">
        <v>867</v>
      </c>
      <c r="E45" s="18" t="s">
        <v>868</v>
      </c>
      <c r="F45" s="18" t="s">
        <v>869</v>
      </c>
      <c r="G45" s="18">
        <v>1</v>
      </c>
      <c r="H45" s="18">
        <v>5.0000000000000001E-3</v>
      </c>
      <c r="I45" s="18">
        <f t="shared" si="1"/>
        <v>5.0000000000000001E-3</v>
      </c>
      <c r="J45" s="18" t="s">
        <v>870</v>
      </c>
      <c r="K45" s="308"/>
    </row>
    <row r="46" spans="1:11" ht="20.100000000000001" customHeight="1">
      <c r="A46" s="298" t="s">
        <v>895</v>
      </c>
      <c r="B46" s="18" t="s">
        <v>896</v>
      </c>
      <c r="C46" s="18" t="s">
        <v>897</v>
      </c>
      <c r="D46" s="18" t="s">
        <v>772</v>
      </c>
      <c r="E46" s="18" t="s">
        <v>779</v>
      </c>
      <c r="F46" s="18" t="s">
        <v>831</v>
      </c>
      <c r="G46" s="18">
        <v>1</v>
      </c>
      <c r="H46" s="18">
        <v>6.3E-2</v>
      </c>
      <c r="I46" s="18">
        <f t="shared" si="1"/>
        <v>6.3E-2</v>
      </c>
      <c r="J46" s="18" t="s">
        <v>807</v>
      </c>
      <c r="K46" s="308"/>
    </row>
    <row r="47" spans="1:11" ht="20.100000000000001" customHeight="1" thickBot="1">
      <c r="A47" s="298" t="s">
        <v>898</v>
      </c>
      <c r="B47" s="18" t="s">
        <v>899</v>
      </c>
      <c r="C47" s="18" t="s">
        <v>136</v>
      </c>
      <c r="D47" s="18" t="s">
        <v>772</v>
      </c>
      <c r="E47" s="18" t="s">
        <v>779</v>
      </c>
      <c r="F47" s="18" t="s">
        <v>831</v>
      </c>
      <c r="G47" s="18">
        <v>1</v>
      </c>
      <c r="H47" s="18">
        <v>6.3E-2</v>
      </c>
      <c r="I47" s="18">
        <f t="shared" si="1"/>
        <v>6.3E-2</v>
      </c>
      <c r="J47" s="18" t="s">
        <v>807</v>
      </c>
      <c r="K47" s="308"/>
    </row>
    <row r="48" spans="1:11" ht="20.100000000000001" customHeight="1" thickBot="1">
      <c r="A48" s="679" t="s">
        <v>2</v>
      </c>
      <c r="B48" s="680"/>
      <c r="C48" s="680"/>
      <c r="D48" s="680"/>
      <c r="E48" s="680"/>
      <c r="F48" s="680"/>
      <c r="G48" s="680"/>
      <c r="H48" s="680"/>
      <c r="I48" s="680"/>
      <c r="J48" s="680"/>
      <c r="K48" s="681"/>
    </row>
    <row r="49" spans="1:11" ht="20.100000000000001" customHeight="1">
      <c r="A49" s="297" t="s">
        <v>900</v>
      </c>
      <c r="B49" s="309" t="s">
        <v>901</v>
      </c>
      <c r="C49" s="309" t="s">
        <v>138</v>
      </c>
      <c r="D49" s="309" t="s">
        <v>772</v>
      </c>
      <c r="E49" s="309" t="s">
        <v>779</v>
      </c>
      <c r="F49" s="309" t="s">
        <v>831</v>
      </c>
      <c r="G49" s="309">
        <v>1</v>
      </c>
      <c r="H49" s="309">
        <v>7.5999999999999998E-2</v>
      </c>
      <c r="I49" s="309">
        <f>G49*H49</f>
        <v>7.5999999999999998E-2</v>
      </c>
      <c r="J49" s="309" t="s">
        <v>807</v>
      </c>
      <c r="K49" s="310"/>
    </row>
    <row r="50" spans="1:11" ht="27.75" customHeight="1">
      <c r="A50" s="298" t="s">
        <v>902</v>
      </c>
      <c r="B50" s="288" t="s">
        <v>903</v>
      </c>
      <c r="C50" s="288" t="s">
        <v>110</v>
      </c>
      <c r="D50" s="18" t="s">
        <v>904</v>
      </c>
      <c r="E50" s="18" t="s">
        <v>905</v>
      </c>
      <c r="F50" s="18" t="s">
        <v>906</v>
      </c>
      <c r="G50" s="18">
        <v>1</v>
      </c>
      <c r="H50" s="18">
        <v>2.5000000000000001E-3</v>
      </c>
      <c r="I50" s="18">
        <f>G50*H50</f>
        <v>2.5000000000000001E-3</v>
      </c>
      <c r="J50" s="18" t="s">
        <v>870</v>
      </c>
      <c r="K50" s="299"/>
    </row>
    <row r="51" spans="1:11" ht="20.100000000000001" customHeight="1" thickBot="1">
      <c r="A51" s="300" t="s">
        <v>907</v>
      </c>
      <c r="B51" s="296" t="s">
        <v>908</v>
      </c>
      <c r="C51" s="287" t="s">
        <v>909</v>
      </c>
      <c r="D51" s="287" t="s">
        <v>910</v>
      </c>
      <c r="E51" s="287" t="s">
        <v>911</v>
      </c>
      <c r="F51" s="287" t="s">
        <v>47</v>
      </c>
      <c r="G51" s="287">
        <v>1</v>
      </c>
      <c r="H51" s="287">
        <v>1.2999999999999999E-2</v>
      </c>
      <c r="I51" s="287">
        <f>G51*H51</f>
        <v>1.2999999999999999E-2</v>
      </c>
      <c r="J51" s="287" t="s">
        <v>807</v>
      </c>
      <c r="K51" s="303"/>
    </row>
    <row r="52" spans="1:11" ht="20.100000000000001" customHeight="1" thickBot="1">
      <c r="A52" s="676" t="s">
        <v>56</v>
      </c>
      <c r="B52" s="677"/>
      <c r="C52" s="677"/>
      <c r="D52" s="677"/>
      <c r="E52" s="677"/>
      <c r="F52" s="677"/>
      <c r="G52" s="677"/>
      <c r="H52" s="677"/>
      <c r="I52" s="677"/>
      <c r="J52" s="677"/>
      <c r="K52" s="678"/>
    </row>
    <row r="53" spans="1:11" ht="29.25" customHeight="1">
      <c r="A53" s="297" t="s">
        <v>912</v>
      </c>
      <c r="B53" s="309" t="s">
        <v>3</v>
      </c>
      <c r="C53" s="309" t="s">
        <v>484</v>
      </c>
      <c r="D53" s="309" t="s">
        <v>3</v>
      </c>
      <c r="E53" s="309" t="s">
        <v>3</v>
      </c>
      <c r="F53" s="309" t="s">
        <v>3</v>
      </c>
      <c r="G53" s="311">
        <v>1</v>
      </c>
      <c r="H53" s="309">
        <v>2.4E-2</v>
      </c>
      <c r="I53" s="309">
        <f>G53*H53</f>
        <v>2.4E-2</v>
      </c>
      <c r="J53" s="309" t="s">
        <v>841</v>
      </c>
      <c r="K53" s="310"/>
    </row>
    <row r="54" spans="1:11" ht="20.100000000000001" customHeight="1">
      <c r="A54" s="298" t="s">
        <v>913</v>
      </c>
      <c r="B54" s="18" t="s">
        <v>3</v>
      </c>
      <c r="C54" s="18" t="s">
        <v>738</v>
      </c>
      <c r="D54" s="18" t="s">
        <v>3</v>
      </c>
      <c r="E54" s="18" t="s">
        <v>62</v>
      </c>
      <c r="F54" s="18" t="s">
        <v>63</v>
      </c>
      <c r="G54" s="245">
        <v>1</v>
      </c>
      <c r="H54" s="245">
        <v>1</v>
      </c>
      <c r="I54" s="18">
        <f t="shared" ref="I54:I105" si="2">G54*H54</f>
        <v>1</v>
      </c>
      <c r="J54" s="18" t="s">
        <v>841</v>
      </c>
      <c r="K54" s="299"/>
    </row>
    <row r="55" spans="1:11" ht="20.100000000000001" customHeight="1">
      <c r="A55" s="298" t="s">
        <v>914</v>
      </c>
      <c r="B55" s="18" t="s">
        <v>3</v>
      </c>
      <c r="C55" s="18" t="s">
        <v>915</v>
      </c>
      <c r="D55" s="18" t="s">
        <v>3</v>
      </c>
      <c r="E55" s="18" t="s">
        <v>62</v>
      </c>
      <c r="F55" s="18" t="s">
        <v>63</v>
      </c>
      <c r="G55" s="245">
        <v>2</v>
      </c>
      <c r="H55" s="245">
        <v>1</v>
      </c>
      <c r="I55" s="18">
        <f t="shared" si="2"/>
        <v>2</v>
      </c>
      <c r="J55" s="18" t="s">
        <v>841</v>
      </c>
      <c r="K55" s="299"/>
    </row>
    <row r="56" spans="1:11" ht="20.100000000000001" customHeight="1">
      <c r="A56" s="298" t="s">
        <v>916</v>
      </c>
      <c r="B56" s="18"/>
      <c r="C56" s="18" t="s">
        <v>917</v>
      </c>
      <c r="D56" s="18" t="s">
        <v>3</v>
      </c>
      <c r="E56" s="18" t="s">
        <v>62</v>
      </c>
      <c r="F56" s="18" t="s">
        <v>63</v>
      </c>
      <c r="G56" s="245">
        <v>1</v>
      </c>
      <c r="H56" s="245">
        <v>4.8000000000000001E-2</v>
      </c>
      <c r="I56" s="18">
        <f t="shared" si="2"/>
        <v>4.8000000000000001E-2</v>
      </c>
      <c r="J56" s="18" t="s">
        <v>870</v>
      </c>
      <c r="K56" s="299"/>
    </row>
    <row r="57" spans="1:11" ht="29.25" customHeight="1">
      <c r="A57" s="298" t="s">
        <v>918</v>
      </c>
      <c r="B57" s="18" t="s">
        <v>3</v>
      </c>
      <c r="C57" s="18" t="s">
        <v>996</v>
      </c>
      <c r="D57" s="18" t="s">
        <v>3</v>
      </c>
      <c r="E57" s="18" t="s">
        <v>3</v>
      </c>
      <c r="F57" s="18" t="s">
        <v>3</v>
      </c>
      <c r="G57" s="18">
        <v>1</v>
      </c>
      <c r="H57" s="18">
        <v>1</v>
      </c>
      <c r="I57" s="18">
        <f t="shared" si="2"/>
        <v>1</v>
      </c>
      <c r="J57" s="18" t="s">
        <v>841</v>
      </c>
      <c r="K57" s="299"/>
    </row>
    <row r="58" spans="1:11" ht="25.5" customHeight="1">
      <c r="A58" s="298" t="s">
        <v>920</v>
      </c>
      <c r="B58" s="18" t="s">
        <v>3</v>
      </c>
      <c r="C58" s="18" t="s">
        <v>997</v>
      </c>
      <c r="D58" s="18" t="s">
        <v>3</v>
      </c>
      <c r="E58" s="18" t="s">
        <v>3</v>
      </c>
      <c r="F58" s="18" t="s">
        <v>3</v>
      </c>
      <c r="G58" s="18">
        <v>1</v>
      </c>
      <c r="H58" s="18">
        <v>1</v>
      </c>
      <c r="I58" s="18">
        <f t="shared" si="2"/>
        <v>1</v>
      </c>
      <c r="J58" s="18" t="s">
        <v>841</v>
      </c>
      <c r="K58" s="299"/>
    </row>
    <row r="59" spans="1:11" ht="29.25" customHeight="1">
      <c r="A59" s="298" t="s">
        <v>922</v>
      </c>
      <c r="B59" s="18" t="s">
        <v>3</v>
      </c>
      <c r="C59" s="245" t="s">
        <v>998</v>
      </c>
      <c r="D59" s="18" t="s">
        <v>3</v>
      </c>
      <c r="E59" s="18" t="s">
        <v>3</v>
      </c>
      <c r="F59" s="18" t="s">
        <v>3</v>
      </c>
      <c r="G59" s="18">
        <v>1</v>
      </c>
      <c r="H59" s="18">
        <v>1</v>
      </c>
      <c r="I59" s="18">
        <f t="shared" si="2"/>
        <v>1</v>
      </c>
      <c r="J59" s="18" t="s">
        <v>841</v>
      </c>
      <c r="K59" s="299"/>
    </row>
    <row r="60" spans="1:11" ht="20.100000000000001" customHeight="1">
      <c r="A60" s="298" t="s">
        <v>924</v>
      </c>
      <c r="B60" s="18" t="s">
        <v>3</v>
      </c>
      <c r="C60" s="245" t="s">
        <v>925</v>
      </c>
      <c r="D60" s="18" t="s">
        <v>3</v>
      </c>
      <c r="E60" s="18" t="s">
        <v>3</v>
      </c>
      <c r="F60" s="18" t="s">
        <v>3</v>
      </c>
      <c r="G60" s="18">
        <v>3</v>
      </c>
      <c r="H60" s="18">
        <v>1</v>
      </c>
      <c r="I60" s="18">
        <f t="shared" si="2"/>
        <v>3</v>
      </c>
      <c r="J60" s="18" t="s">
        <v>841</v>
      </c>
      <c r="K60" s="299"/>
    </row>
    <row r="61" spans="1:11" ht="20.100000000000001" customHeight="1">
      <c r="A61" s="298" t="s">
        <v>926</v>
      </c>
      <c r="B61" s="18" t="s">
        <v>3</v>
      </c>
      <c r="C61" s="245" t="s">
        <v>57</v>
      </c>
      <c r="D61" s="18" t="s">
        <v>3</v>
      </c>
      <c r="E61" s="18" t="s">
        <v>3</v>
      </c>
      <c r="F61" s="18" t="s">
        <v>3</v>
      </c>
      <c r="G61" s="18">
        <v>1</v>
      </c>
      <c r="H61" s="18">
        <v>1</v>
      </c>
      <c r="I61" s="18">
        <f t="shared" si="2"/>
        <v>1</v>
      </c>
      <c r="J61" s="18" t="s">
        <v>841</v>
      </c>
      <c r="K61" s="299"/>
    </row>
    <row r="62" spans="1:11" ht="20.100000000000001" customHeight="1">
      <c r="A62" s="298" t="s">
        <v>927</v>
      </c>
      <c r="B62" s="18" t="s">
        <v>3</v>
      </c>
      <c r="C62" s="245" t="s">
        <v>239</v>
      </c>
      <c r="D62" s="18" t="s">
        <v>3</v>
      </c>
      <c r="E62" s="18" t="s">
        <v>140</v>
      </c>
      <c r="F62" s="18" t="s">
        <v>141</v>
      </c>
      <c r="G62" s="18">
        <v>1</v>
      </c>
      <c r="H62" s="18">
        <v>1</v>
      </c>
      <c r="I62" s="18">
        <f t="shared" si="2"/>
        <v>1</v>
      </c>
      <c r="J62" s="18" t="s">
        <v>841</v>
      </c>
      <c r="K62" s="299"/>
    </row>
    <row r="63" spans="1:11" ht="25.5" customHeight="1">
      <c r="A63" s="298" t="s">
        <v>928</v>
      </c>
      <c r="B63" s="18" t="s">
        <v>3</v>
      </c>
      <c r="C63" s="245" t="s">
        <v>142</v>
      </c>
      <c r="D63" s="18" t="s">
        <v>3</v>
      </c>
      <c r="E63" s="18" t="s">
        <v>735</v>
      </c>
      <c r="F63" s="18" t="s">
        <v>3</v>
      </c>
      <c r="G63" s="18">
        <v>1</v>
      </c>
      <c r="H63" s="18">
        <v>0.5</v>
      </c>
      <c r="I63" s="18">
        <f t="shared" si="2"/>
        <v>0.5</v>
      </c>
      <c r="J63" s="18" t="s">
        <v>841</v>
      </c>
      <c r="K63" s="299"/>
    </row>
    <row r="64" spans="1:11" ht="20.100000000000001" customHeight="1">
      <c r="A64" s="298" t="s">
        <v>929</v>
      </c>
      <c r="B64" s="18" t="s">
        <v>3</v>
      </c>
      <c r="C64" s="245" t="s">
        <v>930</v>
      </c>
      <c r="D64" s="18" t="s">
        <v>3</v>
      </c>
      <c r="E64" s="18" t="s">
        <v>485</v>
      </c>
      <c r="F64" s="18" t="s">
        <v>3</v>
      </c>
      <c r="G64" s="18">
        <v>2</v>
      </c>
      <c r="H64" s="18">
        <v>1E-3</v>
      </c>
      <c r="I64" s="18">
        <f t="shared" si="2"/>
        <v>2E-3</v>
      </c>
      <c r="J64" s="18" t="s">
        <v>807</v>
      </c>
      <c r="K64" s="299"/>
    </row>
    <row r="65" spans="1:11" ht="20.100000000000001" customHeight="1">
      <c r="A65" s="298" t="s">
        <v>931</v>
      </c>
      <c r="B65" s="18" t="s">
        <v>3</v>
      </c>
      <c r="C65" s="245" t="s">
        <v>157</v>
      </c>
      <c r="D65" s="18" t="s">
        <v>3</v>
      </c>
      <c r="E65" s="18" t="s">
        <v>3</v>
      </c>
      <c r="F65" s="18" t="s">
        <v>158</v>
      </c>
      <c r="G65" s="18">
        <v>1</v>
      </c>
      <c r="H65" s="18">
        <v>3.2</v>
      </c>
      <c r="I65" s="18">
        <f t="shared" si="2"/>
        <v>3.2</v>
      </c>
      <c r="J65" s="18" t="s">
        <v>807</v>
      </c>
      <c r="K65" s="299"/>
    </row>
    <row r="66" spans="1:11" ht="20.100000000000001" customHeight="1">
      <c r="A66" s="298" t="s">
        <v>932</v>
      </c>
      <c r="B66" s="18" t="s">
        <v>3</v>
      </c>
      <c r="C66" s="245" t="s">
        <v>159</v>
      </c>
      <c r="D66" s="18" t="s">
        <v>3</v>
      </c>
      <c r="E66" s="18" t="s">
        <v>3</v>
      </c>
      <c r="F66" s="18" t="s">
        <v>160</v>
      </c>
      <c r="G66" s="18">
        <v>1</v>
      </c>
      <c r="H66" s="18">
        <v>1</v>
      </c>
      <c r="I66" s="18">
        <f t="shared" si="2"/>
        <v>1</v>
      </c>
      <c r="J66" s="18" t="s">
        <v>841</v>
      </c>
      <c r="K66" s="299"/>
    </row>
    <row r="67" spans="1:11" ht="24.75" customHeight="1">
      <c r="A67" s="298" t="s">
        <v>933</v>
      </c>
      <c r="B67" s="18" t="s">
        <v>3</v>
      </c>
      <c r="C67" s="245" t="s">
        <v>487</v>
      </c>
      <c r="D67" s="18" t="s">
        <v>3</v>
      </c>
      <c r="E67" s="18" t="s">
        <v>3</v>
      </c>
      <c r="F67" s="18" t="s">
        <v>3</v>
      </c>
      <c r="G67" s="18">
        <v>1</v>
      </c>
      <c r="H67" s="18">
        <v>0.13</v>
      </c>
      <c r="I67" s="18">
        <f t="shared" si="2"/>
        <v>0.13</v>
      </c>
      <c r="J67" s="18" t="s">
        <v>807</v>
      </c>
      <c r="K67" s="299"/>
    </row>
    <row r="68" spans="1:11" ht="20.100000000000001" customHeight="1">
      <c r="A68" s="298" t="s">
        <v>934</v>
      </c>
      <c r="B68" s="18" t="s">
        <v>3</v>
      </c>
      <c r="C68" s="245" t="s">
        <v>144</v>
      </c>
      <c r="D68" s="18" t="s">
        <v>3</v>
      </c>
      <c r="E68" s="18" t="s">
        <v>3</v>
      </c>
      <c r="F68" s="18" t="s">
        <v>145</v>
      </c>
      <c r="G68" s="18">
        <v>1</v>
      </c>
      <c r="H68" s="18">
        <v>0.15</v>
      </c>
      <c r="I68" s="18">
        <f t="shared" si="2"/>
        <v>0.15</v>
      </c>
      <c r="J68" s="18" t="s">
        <v>935</v>
      </c>
      <c r="K68" s="299"/>
    </row>
    <row r="69" spans="1:11" ht="20.100000000000001" customHeight="1">
      <c r="A69" s="298" t="s">
        <v>936</v>
      </c>
      <c r="B69" s="18" t="s">
        <v>3</v>
      </c>
      <c r="C69" s="245" t="s">
        <v>937</v>
      </c>
      <c r="D69" s="18" t="s">
        <v>3</v>
      </c>
      <c r="E69" s="18" t="s">
        <v>3</v>
      </c>
      <c r="F69" s="18" t="s">
        <v>148</v>
      </c>
      <c r="G69" s="18">
        <v>1</v>
      </c>
      <c r="H69" s="18">
        <v>0.01</v>
      </c>
      <c r="I69" s="18">
        <f t="shared" si="2"/>
        <v>0.01</v>
      </c>
      <c r="J69" s="245" t="s">
        <v>938</v>
      </c>
      <c r="K69" s="299"/>
    </row>
    <row r="70" spans="1:11" ht="20.100000000000001" customHeight="1">
      <c r="A70" s="298" t="s">
        <v>939</v>
      </c>
      <c r="B70" s="18" t="s">
        <v>3</v>
      </c>
      <c r="C70" s="245" t="s">
        <v>71</v>
      </c>
      <c r="D70" s="18" t="s">
        <v>3</v>
      </c>
      <c r="E70" s="18" t="s">
        <v>3</v>
      </c>
      <c r="F70" s="18" t="s">
        <v>72</v>
      </c>
      <c r="G70" s="18">
        <v>1</v>
      </c>
      <c r="H70" s="18">
        <v>0.14799999999999999</v>
      </c>
      <c r="I70" s="18">
        <f t="shared" si="2"/>
        <v>0.14799999999999999</v>
      </c>
      <c r="J70" s="245" t="s">
        <v>841</v>
      </c>
      <c r="K70" s="299"/>
    </row>
    <row r="71" spans="1:11" ht="20.100000000000001" customHeight="1">
      <c r="A71" s="298" t="s">
        <v>940</v>
      </c>
      <c r="B71" s="18" t="s">
        <v>3</v>
      </c>
      <c r="C71" s="245" t="s">
        <v>75</v>
      </c>
      <c r="D71" s="18" t="s">
        <v>3</v>
      </c>
      <c r="E71" s="18" t="s">
        <v>3</v>
      </c>
      <c r="F71" s="18" t="s">
        <v>76</v>
      </c>
      <c r="G71" s="18">
        <v>1</v>
      </c>
      <c r="H71" s="18">
        <v>0.33</v>
      </c>
      <c r="I71" s="18">
        <f t="shared" si="2"/>
        <v>0.33</v>
      </c>
      <c r="J71" s="245" t="s">
        <v>807</v>
      </c>
      <c r="K71" s="299"/>
    </row>
    <row r="72" spans="1:11" ht="20.100000000000001" customHeight="1">
      <c r="A72" s="298" t="s">
        <v>941</v>
      </c>
      <c r="B72" s="18" t="s">
        <v>3</v>
      </c>
      <c r="C72" s="245" t="s">
        <v>77</v>
      </c>
      <c r="D72" s="18" t="s">
        <v>3</v>
      </c>
      <c r="E72" s="18" t="s">
        <v>3</v>
      </c>
      <c r="F72" s="18" t="s">
        <v>78</v>
      </c>
      <c r="G72" s="18">
        <v>1</v>
      </c>
      <c r="H72" s="18">
        <v>0.01</v>
      </c>
      <c r="I72" s="18">
        <f t="shared" si="2"/>
        <v>0.01</v>
      </c>
      <c r="J72" s="245" t="s">
        <v>841</v>
      </c>
      <c r="K72" s="299"/>
    </row>
    <row r="73" spans="1:11" ht="20.100000000000001" customHeight="1">
      <c r="A73" s="298" t="s">
        <v>942</v>
      </c>
      <c r="B73" s="18" t="s">
        <v>3</v>
      </c>
      <c r="C73" s="245" t="s">
        <v>81</v>
      </c>
      <c r="D73" s="18" t="s">
        <v>3</v>
      </c>
      <c r="E73" s="18" t="s">
        <v>3</v>
      </c>
      <c r="F73" s="18" t="s">
        <v>82</v>
      </c>
      <c r="G73" s="18">
        <v>1</v>
      </c>
      <c r="H73" s="18">
        <v>6.0000000000000001E-3</v>
      </c>
      <c r="I73" s="18">
        <f t="shared" si="2"/>
        <v>6.0000000000000001E-3</v>
      </c>
      <c r="J73" s="245" t="s">
        <v>807</v>
      </c>
      <c r="K73" s="299"/>
    </row>
    <row r="74" spans="1:11" ht="20.100000000000001" customHeight="1">
      <c r="A74" s="298" t="s">
        <v>943</v>
      </c>
      <c r="B74" s="18" t="s">
        <v>3</v>
      </c>
      <c r="C74" s="18" t="s">
        <v>132</v>
      </c>
      <c r="D74" s="18" t="s">
        <v>3</v>
      </c>
      <c r="E74" s="18" t="s">
        <v>3</v>
      </c>
      <c r="F74" s="18" t="s">
        <v>86</v>
      </c>
      <c r="G74" s="18">
        <v>1</v>
      </c>
      <c r="H74" s="18">
        <v>5.0000000000000001E-3</v>
      </c>
      <c r="I74" s="18">
        <f t="shared" si="2"/>
        <v>5.0000000000000001E-3</v>
      </c>
      <c r="J74" s="245" t="s">
        <v>807</v>
      </c>
      <c r="K74" s="299"/>
    </row>
    <row r="75" spans="1:11" ht="20.100000000000001" customHeight="1">
      <c r="A75" s="298" t="s">
        <v>944</v>
      </c>
      <c r="B75" s="18" t="s">
        <v>3</v>
      </c>
      <c r="C75" s="245" t="s">
        <v>448</v>
      </c>
      <c r="D75" s="18" t="s">
        <v>3</v>
      </c>
      <c r="E75" s="18" t="s">
        <v>3</v>
      </c>
      <c r="F75" s="18" t="s">
        <v>90</v>
      </c>
      <c r="G75" s="18">
        <v>1</v>
      </c>
      <c r="H75" s="18">
        <v>0.02</v>
      </c>
      <c r="I75" s="18">
        <f t="shared" si="2"/>
        <v>0.02</v>
      </c>
      <c r="J75" s="245" t="s">
        <v>807</v>
      </c>
      <c r="K75" s="299"/>
    </row>
    <row r="76" spans="1:11" ht="20.100000000000001" customHeight="1">
      <c r="A76" s="298" t="s">
        <v>945</v>
      </c>
      <c r="B76" s="18" t="s">
        <v>3</v>
      </c>
      <c r="C76" s="18" t="s">
        <v>309</v>
      </c>
      <c r="D76" s="18" t="s">
        <v>3</v>
      </c>
      <c r="E76" s="18" t="s">
        <v>3</v>
      </c>
      <c r="F76" s="18" t="s">
        <v>3</v>
      </c>
      <c r="G76" s="18">
        <v>1</v>
      </c>
      <c r="H76" s="18">
        <v>2.4000000000000002E-3</v>
      </c>
      <c r="I76" s="18">
        <f t="shared" si="2"/>
        <v>2.4000000000000002E-3</v>
      </c>
      <c r="J76" s="18" t="s">
        <v>807</v>
      </c>
      <c r="K76" s="299"/>
    </row>
    <row r="77" spans="1:11" ht="20.100000000000001" customHeight="1">
      <c r="A77" s="298" t="s">
        <v>946</v>
      </c>
      <c r="B77" s="18" t="s">
        <v>3</v>
      </c>
      <c r="C77" s="245" t="s">
        <v>947</v>
      </c>
      <c r="D77" s="18" t="s">
        <v>3</v>
      </c>
      <c r="E77" s="18" t="s">
        <v>3</v>
      </c>
      <c r="F77" s="18" t="s">
        <v>84</v>
      </c>
      <c r="G77" s="18">
        <v>1</v>
      </c>
      <c r="H77" s="18">
        <v>4.4000000000000003E-3</v>
      </c>
      <c r="I77" s="18">
        <f t="shared" si="2"/>
        <v>4.4000000000000003E-3</v>
      </c>
      <c r="J77" s="245" t="s">
        <v>841</v>
      </c>
      <c r="K77" s="299"/>
    </row>
    <row r="78" spans="1:11" ht="20.100000000000001" customHeight="1">
      <c r="A78" s="298" t="s">
        <v>948</v>
      </c>
      <c r="B78" s="18" t="s">
        <v>3</v>
      </c>
      <c r="C78" s="245" t="s">
        <v>949</v>
      </c>
      <c r="D78" s="18" t="s">
        <v>3</v>
      </c>
      <c r="E78" s="18" t="s">
        <v>3</v>
      </c>
      <c r="F78" s="18" t="s">
        <v>84</v>
      </c>
      <c r="G78" s="18">
        <v>1</v>
      </c>
      <c r="H78" s="18">
        <v>2.8E-3</v>
      </c>
      <c r="I78" s="18">
        <f t="shared" si="2"/>
        <v>2.8E-3</v>
      </c>
      <c r="J78" s="245" t="s">
        <v>841</v>
      </c>
      <c r="K78" s="299"/>
    </row>
    <row r="79" spans="1:11" ht="20.100000000000001" customHeight="1">
      <c r="A79" s="298" t="s">
        <v>950</v>
      </c>
      <c r="B79" s="18" t="s">
        <v>3</v>
      </c>
      <c r="C79" s="245" t="s">
        <v>750</v>
      </c>
      <c r="D79" s="18" t="s">
        <v>3</v>
      </c>
      <c r="E79" s="18" t="s">
        <v>3</v>
      </c>
      <c r="F79" s="18" t="s">
        <v>92</v>
      </c>
      <c r="G79" s="18">
        <v>1</v>
      </c>
      <c r="H79" s="18">
        <v>2E-3</v>
      </c>
      <c r="I79" s="18">
        <f t="shared" si="2"/>
        <v>2E-3</v>
      </c>
      <c r="J79" s="236" t="s">
        <v>106</v>
      </c>
      <c r="K79" s="299"/>
    </row>
    <row r="80" spans="1:11" ht="20.100000000000001" customHeight="1">
      <c r="A80" s="298" t="s">
        <v>951</v>
      </c>
      <c r="B80" s="18" t="s">
        <v>3</v>
      </c>
      <c r="C80" s="245" t="s">
        <v>952</v>
      </c>
      <c r="D80" s="18" t="s">
        <v>3</v>
      </c>
      <c r="E80" s="18" t="s">
        <v>3</v>
      </c>
      <c r="F80" s="18" t="s">
        <v>92</v>
      </c>
      <c r="G80" s="18">
        <v>1</v>
      </c>
      <c r="H80" s="18">
        <v>0.13</v>
      </c>
      <c r="I80" s="18">
        <f t="shared" si="2"/>
        <v>0.13</v>
      </c>
      <c r="J80" s="236" t="s">
        <v>106</v>
      </c>
      <c r="K80" s="299"/>
    </row>
    <row r="81" spans="1:11" ht="20.100000000000001" customHeight="1">
      <c r="A81" s="298" t="s">
        <v>953</v>
      </c>
      <c r="B81" s="18" t="s">
        <v>3</v>
      </c>
      <c r="C81" s="245" t="s">
        <v>94</v>
      </c>
      <c r="D81" s="18" t="s">
        <v>3</v>
      </c>
      <c r="E81" s="18" t="s">
        <v>3</v>
      </c>
      <c r="F81" s="18" t="s">
        <v>95</v>
      </c>
      <c r="G81" s="18">
        <v>1</v>
      </c>
      <c r="H81" s="18">
        <v>0.02</v>
      </c>
      <c r="I81" s="18">
        <f t="shared" si="2"/>
        <v>0.02</v>
      </c>
      <c r="J81" s="245" t="s">
        <v>67</v>
      </c>
      <c r="K81" s="299"/>
    </row>
    <row r="82" spans="1:11" ht="20.100000000000001" customHeight="1">
      <c r="A82" s="298" t="s">
        <v>954</v>
      </c>
      <c r="B82" s="18" t="s">
        <v>3</v>
      </c>
      <c r="C82" s="245" t="s">
        <v>97</v>
      </c>
      <c r="D82" s="18" t="s">
        <v>3</v>
      </c>
      <c r="E82" s="18" t="s">
        <v>3</v>
      </c>
      <c r="F82" s="18" t="s">
        <v>98</v>
      </c>
      <c r="G82" s="18">
        <v>1</v>
      </c>
      <c r="H82" s="18">
        <v>4.0000000000000001E-3</v>
      </c>
      <c r="I82" s="18">
        <f t="shared" si="2"/>
        <v>4.0000000000000001E-3</v>
      </c>
      <c r="J82" s="245" t="s">
        <v>841</v>
      </c>
      <c r="K82" s="299"/>
    </row>
    <row r="83" spans="1:11" ht="20.100000000000001" customHeight="1">
      <c r="A83" s="298" t="s">
        <v>955</v>
      </c>
      <c r="B83" s="18" t="s">
        <v>3</v>
      </c>
      <c r="C83" s="245" t="s">
        <v>99</v>
      </c>
      <c r="D83" s="18" t="s">
        <v>3</v>
      </c>
      <c r="E83" s="18" t="s">
        <v>3</v>
      </c>
      <c r="F83" s="18" t="s">
        <v>100</v>
      </c>
      <c r="G83" s="18">
        <v>1</v>
      </c>
      <c r="H83" s="18">
        <v>1E-3</v>
      </c>
      <c r="I83" s="18">
        <f t="shared" si="2"/>
        <v>1E-3</v>
      </c>
      <c r="J83" s="245" t="s">
        <v>841</v>
      </c>
      <c r="K83" s="299"/>
    </row>
    <row r="84" spans="1:11" ht="20.100000000000001" customHeight="1">
      <c r="A84" s="298" t="s">
        <v>956</v>
      </c>
      <c r="B84" s="18" t="s">
        <v>3</v>
      </c>
      <c r="C84" s="245" t="s">
        <v>149</v>
      </c>
      <c r="D84" s="18" t="s">
        <v>3</v>
      </c>
      <c r="E84" s="18" t="s">
        <v>3</v>
      </c>
      <c r="F84" s="18" t="s">
        <v>150</v>
      </c>
      <c r="G84" s="18">
        <v>1</v>
      </c>
      <c r="H84" s="18">
        <v>1E-4</v>
      </c>
      <c r="I84" s="18">
        <f t="shared" si="2"/>
        <v>1E-4</v>
      </c>
      <c r="J84" s="245" t="s">
        <v>841</v>
      </c>
      <c r="K84" s="299"/>
    </row>
    <row r="85" spans="1:11" ht="20.100000000000001" customHeight="1">
      <c r="A85" s="298" t="s">
        <v>957</v>
      </c>
      <c r="B85" s="18" t="s">
        <v>3</v>
      </c>
      <c r="C85" s="245" t="s">
        <v>958</v>
      </c>
      <c r="D85" s="18" t="s">
        <v>3</v>
      </c>
      <c r="E85" s="18" t="s">
        <v>3</v>
      </c>
      <c r="F85" s="18" t="s">
        <v>105</v>
      </c>
      <c r="G85" s="18">
        <v>1</v>
      </c>
      <c r="H85" s="18">
        <v>1.2999999999999999E-2</v>
      </c>
      <c r="I85" s="18">
        <f t="shared" si="2"/>
        <v>1.2999999999999999E-2</v>
      </c>
      <c r="J85" s="245" t="s">
        <v>106</v>
      </c>
      <c r="K85" s="299"/>
    </row>
    <row r="86" spans="1:11" ht="20.100000000000001" customHeight="1">
      <c r="A86" s="298" t="s">
        <v>959</v>
      </c>
      <c r="B86" s="18" t="s">
        <v>3</v>
      </c>
      <c r="C86" s="245" t="s">
        <v>151</v>
      </c>
      <c r="D86" s="18" t="s">
        <v>3</v>
      </c>
      <c r="E86" s="18" t="s">
        <v>3</v>
      </c>
      <c r="F86" s="18" t="s">
        <v>152</v>
      </c>
      <c r="G86" s="18">
        <v>1</v>
      </c>
      <c r="H86" s="18">
        <v>3.0000000000000001E-3</v>
      </c>
      <c r="I86" s="18">
        <f t="shared" si="2"/>
        <v>3.0000000000000001E-3</v>
      </c>
      <c r="J86" s="245" t="s">
        <v>841</v>
      </c>
      <c r="K86" s="299"/>
    </row>
    <row r="87" spans="1:11" ht="20.100000000000001" customHeight="1">
      <c r="A87" s="298" t="s">
        <v>960</v>
      </c>
      <c r="B87" s="18" t="s">
        <v>3</v>
      </c>
      <c r="C87" s="32" t="s">
        <v>737</v>
      </c>
      <c r="D87" s="18" t="s">
        <v>3</v>
      </c>
      <c r="E87" s="18" t="s">
        <v>3</v>
      </c>
      <c r="F87" s="18" t="s">
        <v>3</v>
      </c>
      <c r="G87" s="18">
        <v>1</v>
      </c>
      <c r="H87" s="18">
        <v>8.9999999999999993E-3</v>
      </c>
      <c r="I87" s="18">
        <f t="shared" si="2"/>
        <v>8.9999999999999993E-3</v>
      </c>
      <c r="J87" s="236" t="s">
        <v>841</v>
      </c>
      <c r="K87" s="299"/>
    </row>
    <row r="88" spans="1:11" ht="20.100000000000001" customHeight="1">
      <c r="A88" s="298" t="s">
        <v>961</v>
      </c>
      <c r="B88" s="18" t="s">
        <v>3</v>
      </c>
      <c r="C88" s="236" t="s">
        <v>153</v>
      </c>
      <c r="D88" s="18" t="s">
        <v>3</v>
      </c>
      <c r="E88" s="18" t="s">
        <v>154</v>
      </c>
      <c r="F88" s="18" t="s">
        <v>962</v>
      </c>
      <c r="G88" s="18">
        <v>1</v>
      </c>
      <c r="H88" s="18">
        <v>1E-3</v>
      </c>
      <c r="I88" s="18">
        <f t="shared" si="2"/>
        <v>1E-3</v>
      </c>
      <c r="J88" s="236" t="s">
        <v>106</v>
      </c>
      <c r="K88" s="299"/>
    </row>
    <row r="89" spans="1:11" ht="30.75" customHeight="1">
      <c r="A89" s="298" t="s">
        <v>963</v>
      </c>
      <c r="B89" s="18" t="s">
        <v>3</v>
      </c>
      <c r="C89" s="245" t="s">
        <v>964</v>
      </c>
      <c r="D89" s="18" t="s">
        <v>3</v>
      </c>
      <c r="E89" s="18" t="s">
        <v>965</v>
      </c>
      <c r="F89" s="18" t="s">
        <v>966</v>
      </c>
      <c r="G89" s="18">
        <v>1</v>
      </c>
      <c r="H89" s="18">
        <v>1.4999999999999999E-2</v>
      </c>
      <c r="I89" s="18">
        <f t="shared" si="2"/>
        <v>1.4999999999999999E-2</v>
      </c>
      <c r="J89" s="236" t="s">
        <v>106</v>
      </c>
      <c r="K89" s="299"/>
    </row>
    <row r="90" spans="1:11" ht="20.100000000000001" customHeight="1">
      <c r="A90" s="298" t="s">
        <v>967</v>
      </c>
      <c r="B90" s="18" t="s">
        <v>3</v>
      </c>
      <c r="C90" s="245" t="s">
        <v>91</v>
      </c>
      <c r="D90" s="18" t="s">
        <v>3</v>
      </c>
      <c r="E90" s="18" t="s">
        <v>968</v>
      </c>
      <c r="F90" s="18" t="s">
        <v>3</v>
      </c>
      <c r="G90" s="18">
        <v>1</v>
      </c>
      <c r="H90" s="18">
        <v>0.03</v>
      </c>
      <c r="I90" s="18">
        <f t="shared" si="2"/>
        <v>0.03</v>
      </c>
      <c r="J90" s="236" t="s">
        <v>106</v>
      </c>
      <c r="K90" s="299"/>
    </row>
    <row r="91" spans="1:11" ht="28.5" customHeight="1">
      <c r="A91" s="298" t="s">
        <v>969</v>
      </c>
      <c r="B91" s="18" t="s">
        <v>3</v>
      </c>
      <c r="C91" s="236" t="s">
        <v>308</v>
      </c>
      <c r="D91" s="18" t="s">
        <v>3</v>
      </c>
      <c r="E91" s="18" t="s">
        <v>504</v>
      </c>
      <c r="F91" s="18" t="s">
        <v>3</v>
      </c>
      <c r="G91" s="18">
        <v>1</v>
      </c>
      <c r="H91" s="18">
        <v>1.0999999999999999E-2</v>
      </c>
      <c r="I91" s="18">
        <f t="shared" si="2"/>
        <v>1.0999999999999999E-2</v>
      </c>
      <c r="J91" s="236" t="s">
        <v>935</v>
      </c>
      <c r="K91" s="299"/>
    </row>
    <row r="92" spans="1:11" ht="20.100000000000001" customHeight="1">
      <c r="A92" s="298" t="s">
        <v>970</v>
      </c>
      <c r="B92" s="18" t="s">
        <v>3</v>
      </c>
      <c r="C92" s="236" t="s">
        <v>562</v>
      </c>
      <c r="D92" s="18" t="s">
        <v>3</v>
      </c>
      <c r="E92" s="18" t="s">
        <v>155</v>
      </c>
      <c r="F92" s="18" t="s">
        <v>156</v>
      </c>
      <c r="G92" s="18">
        <v>1</v>
      </c>
      <c r="H92" s="18">
        <v>3.0000000000000001E-3</v>
      </c>
      <c r="I92" s="18">
        <f t="shared" si="2"/>
        <v>3.0000000000000001E-3</v>
      </c>
      <c r="J92" s="236" t="s">
        <v>935</v>
      </c>
      <c r="K92" s="299"/>
    </row>
    <row r="93" spans="1:11" ht="20.100000000000001" customHeight="1">
      <c r="A93" s="298" t="s">
        <v>971</v>
      </c>
      <c r="B93" s="18" t="s">
        <v>3</v>
      </c>
      <c r="C93" s="245" t="s">
        <v>87</v>
      </c>
      <c r="D93" s="18" t="s">
        <v>3</v>
      </c>
      <c r="E93" s="18" t="s">
        <v>3</v>
      </c>
      <c r="F93" s="18" t="s">
        <v>88</v>
      </c>
      <c r="G93" s="18">
        <v>1</v>
      </c>
      <c r="H93" s="18">
        <v>0.01</v>
      </c>
      <c r="I93" s="18">
        <f t="shared" si="2"/>
        <v>0.01</v>
      </c>
      <c r="J93" s="245" t="s">
        <v>807</v>
      </c>
      <c r="K93" s="299"/>
    </row>
    <row r="94" spans="1:11" ht="20.100000000000001" customHeight="1">
      <c r="A94" s="298" t="s">
        <v>972</v>
      </c>
      <c r="B94" s="18" t="s">
        <v>3</v>
      </c>
      <c r="C94" s="245" t="s">
        <v>973</v>
      </c>
      <c r="D94" s="18" t="s">
        <v>3</v>
      </c>
      <c r="E94" s="18" t="s">
        <v>3</v>
      </c>
      <c r="F94" s="18" t="s">
        <v>3</v>
      </c>
      <c r="G94" s="18">
        <v>1</v>
      </c>
      <c r="H94" s="18">
        <v>1.4500000000000001E-2</v>
      </c>
      <c r="I94" s="18">
        <f t="shared" si="2"/>
        <v>1.4500000000000001E-2</v>
      </c>
      <c r="J94" s="245" t="s">
        <v>935</v>
      </c>
      <c r="K94" s="299"/>
    </row>
    <row r="95" spans="1:11" ht="20.100000000000001" customHeight="1">
      <c r="A95" s="298" t="s">
        <v>974</v>
      </c>
      <c r="B95" s="18" t="s">
        <v>3</v>
      </c>
      <c r="C95" s="245" t="s">
        <v>975</v>
      </c>
      <c r="D95" s="18" t="s">
        <v>3</v>
      </c>
      <c r="E95" s="18" t="s">
        <v>545</v>
      </c>
      <c r="F95" s="18" t="s">
        <v>3</v>
      </c>
      <c r="G95" s="18">
        <v>1</v>
      </c>
      <c r="H95" s="18">
        <v>3.3000000000000002E-2</v>
      </c>
      <c r="I95" s="18">
        <f t="shared" si="2"/>
        <v>3.3000000000000002E-2</v>
      </c>
      <c r="J95" s="245" t="s">
        <v>841</v>
      </c>
      <c r="K95" s="299"/>
    </row>
    <row r="96" spans="1:11" ht="20.100000000000001" customHeight="1">
      <c r="A96" s="298" t="s">
        <v>976</v>
      </c>
      <c r="B96" s="18" t="s">
        <v>3</v>
      </c>
      <c r="C96" s="245" t="s">
        <v>310</v>
      </c>
      <c r="D96" s="18" t="s">
        <v>3</v>
      </c>
      <c r="E96" s="18" t="s">
        <v>977</v>
      </c>
      <c r="F96" s="18" t="s">
        <v>3</v>
      </c>
      <c r="G96" s="18">
        <v>1</v>
      </c>
      <c r="H96" s="18">
        <v>2.9999999999999997E-4</v>
      </c>
      <c r="I96" s="18">
        <f t="shared" si="2"/>
        <v>2.9999999999999997E-4</v>
      </c>
      <c r="J96" s="245" t="s">
        <v>935</v>
      </c>
      <c r="K96" s="299"/>
    </row>
    <row r="97" spans="1:11" ht="20.100000000000001" customHeight="1">
      <c r="A97" s="298" t="s">
        <v>978</v>
      </c>
      <c r="B97" s="18" t="s">
        <v>3</v>
      </c>
      <c r="C97" s="245" t="s">
        <v>315</v>
      </c>
      <c r="D97" s="18" t="s">
        <v>3</v>
      </c>
      <c r="E97" s="18" t="s">
        <v>316</v>
      </c>
      <c r="F97" s="18" t="s">
        <v>3</v>
      </c>
      <c r="G97" s="18">
        <v>1</v>
      </c>
      <c r="H97" s="18">
        <v>1.2E-2</v>
      </c>
      <c r="I97" s="18">
        <f t="shared" si="2"/>
        <v>1.2E-2</v>
      </c>
      <c r="J97" s="245" t="s">
        <v>841</v>
      </c>
      <c r="K97" s="299"/>
    </row>
    <row r="98" spans="1:11" ht="20.100000000000001" customHeight="1">
      <c r="A98" s="298" t="s">
        <v>979</v>
      </c>
      <c r="B98" s="18" t="s">
        <v>3</v>
      </c>
      <c r="C98" s="245" t="s">
        <v>315</v>
      </c>
      <c r="D98" s="18" t="s">
        <v>3</v>
      </c>
      <c r="E98" s="18" t="s">
        <v>317</v>
      </c>
      <c r="F98" s="18" t="s">
        <v>3</v>
      </c>
      <c r="G98" s="18">
        <v>1</v>
      </c>
      <c r="H98" s="18">
        <v>1.2E-2</v>
      </c>
      <c r="I98" s="18">
        <f t="shared" si="2"/>
        <v>1.2E-2</v>
      </c>
      <c r="J98" s="245" t="s">
        <v>841</v>
      </c>
      <c r="K98" s="299"/>
    </row>
    <row r="99" spans="1:11" ht="20.100000000000001" customHeight="1">
      <c r="A99" s="298" t="s">
        <v>980</v>
      </c>
      <c r="B99" s="18" t="s">
        <v>3</v>
      </c>
      <c r="C99" s="245" t="s">
        <v>332</v>
      </c>
      <c r="D99" s="18" t="s">
        <v>3</v>
      </c>
      <c r="E99" s="18" t="s">
        <v>336</v>
      </c>
      <c r="F99" s="18" t="s">
        <v>3</v>
      </c>
      <c r="G99" s="18">
        <v>1</v>
      </c>
      <c r="H99" s="18">
        <v>0.01</v>
      </c>
      <c r="I99" s="18">
        <f t="shared" si="2"/>
        <v>0.01</v>
      </c>
      <c r="J99" s="245" t="s">
        <v>841</v>
      </c>
      <c r="K99" s="299"/>
    </row>
    <row r="100" spans="1:11" ht="20.100000000000001" customHeight="1">
      <c r="A100" s="298" t="s">
        <v>981</v>
      </c>
      <c r="B100" s="18" t="s">
        <v>3</v>
      </c>
      <c r="C100" s="245" t="s">
        <v>333</v>
      </c>
      <c r="D100" s="18" t="s">
        <v>3</v>
      </c>
      <c r="E100" s="18" t="s">
        <v>336</v>
      </c>
      <c r="F100" s="18" t="s">
        <v>3</v>
      </c>
      <c r="G100" s="18">
        <v>1</v>
      </c>
      <c r="H100" s="18">
        <v>0.01</v>
      </c>
      <c r="I100" s="18">
        <f t="shared" si="2"/>
        <v>0.01</v>
      </c>
      <c r="J100" s="245" t="s">
        <v>841</v>
      </c>
      <c r="K100" s="299"/>
    </row>
    <row r="101" spans="1:11" ht="20.100000000000001" customHeight="1">
      <c r="A101" s="298" t="s">
        <v>982</v>
      </c>
      <c r="B101" s="18" t="s">
        <v>3</v>
      </c>
      <c r="C101" s="245" t="s">
        <v>328</v>
      </c>
      <c r="D101" s="18" t="s">
        <v>3</v>
      </c>
      <c r="E101" s="18" t="s">
        <v>3</v>
      </c>
      <c r="F101" s="18" t="s">
        <v>3</v>
      </c>
      <c r="G101" s="18">
        <v>1</v>
      </c>
      <c r="H101" s="18">
        <v>5.0000000000000001E-4</v>
      </c>
      <c r="I101" s="18">
        <f t="shared" si="2"/>
        <v>5.0000000000000001E-4</v>
      </c>
      <c r="J101" s="245" t="s">
        <v>841</v>
      </c>
      <c r="K101" s="299"/>
    </row>
    <row r="102" spans="1:11" ht="20.100000000000001" customHeight="1">
      <c r="A102" s="298" t="s">
        <v>983</v>
      </c>
      <c r="B102" s="18" t="s">
        <v>3</v>
      </c>
      <c r="C102" s="245" t="s">
        <v>493</v>
      </c>
      <c r="D102" s="18" t="s">
        <v>3</v>
      </c>
      <c r="E102" s="18" t="s">
        <v>495</v>
      </c>
      <c r="F102" s="18" t="s">
        <v>3</v>
      </c>
      <c r="G102" s="18">
        <v>1</v>
      </c>
      <c r="H102" s="18">
        <v>2E-3</v>
      </c>
      <c r="I102" s="18">
        <f t="shared" si="2"/>
        <v>2E-3</v>
      </c>
      <c r="J102" s="245" t="s">
        <v>841</v>
      </c>
      <c r="K102" s="299"/>
    </row>
    <row r="103" spans="1:11" ht="20.100000000000001" customHeight="1">
      <c r="A103" s="298" t="s">
        <v>984</v>
      </c>
      <c r="B103" s="18" t="s">
        <v>3</v>
      </c>
      <c r="C103" s="245" t="s">
        <v>329</v>
      </c>
      <c r="D103" s="18" t="s">
        <v>3</v>
      </c>
      <c r="E103" s="18" t="s">
        <v>3</v>
      </c>
      <c r="F103" s="18" t="s">
        <v>3</v>
      </c>
      <c r="G103" s="18">
        <v>1</v>
      </c>
      <c r="H103" s="18">
        <v>0.02</v>
      </c>
      <c r="I103" s="18">
        <f t="shared" si="2"/>
        <v>0.02</v>
      </c>
      <c r="J103" s="245" t="s">
        <v>67</v>
      </c>
      <c r="K103" s="299"/>
    </row>
    <row r="104" spans="1:11" ht="20.100000000000001" customHeight="1">
      <c r="A104" s="298" t="s">
        <v>985</v>
      </c>
      <c r="B104" s="18" t="s">
        <v>3</v>
      </c>
      <c r="C104" s="245" t="s">
        <v>323</v>
      </c>
      <c r="D104" s="18" t="s">
        <v>3</v>
      </c>
      <c r="E104" s="18" t="s">
        <v>3</v>
      </c>
      <c r="F104" s="18" t="s">
        <v>3</v>
      </c>
      <c r="G104" s="18">
        <v>1</v>
      </c>
      <c r="H104" s="18">
        <v>2E-3</v>
      </c>
      <c r="I104" s="18">
        <f t="shared" si="2"/>
        <v>2E-3</v>
      </c>
      <c r="J104" s="245" t="s">
        <v>841</v>
      </c>
      <c r="K104" s="299"/>
    </row>
    <row r="105" spans="1:11" ht="20.100000000000001" customHeight="1" thickBot="1">
      <c r="A105" s="298" t="s">
        <v>986</v>
      </c>
      <c r="B105" s="287" t="s">
        <v>3</v>
      </c>
      <c r="C105" s="312" t="s">
        <v>987</v>
      </c>
      <c r="D105" s="287" t="s">
        <v>3</v>
      </c>
      <c r="E105" s="287" t="s">
        <v>3</v>
      </c>
      <c r="F105" s="287" t="s">
        <v>3</v>
      </c>
      <c r="G105" s="287">
        <v>1</v>
      </c>
      <c r="H105" s="287">
        <v>0.02</v>
      </c>
      <c r="I105" s="287">
        <f t="shared" si="2"/>
        <v>0.02</v>
      </c>
      <c r="J105" s="312" t="s">
        <v>807</v>
      </c>
      <c r="K105" s="303"/>
    </row>
    <row r="106" spans="1:11" ht="20.100000000000001" customHeight="1">
      <c r="A106" s="293"/>
      <c r="B106" s="294"/>
      <c r="C106" s="294"/>
      <c r="D106" s="294"/>
      <c r="E106" s="294"/>
      <c r="F106" s="294"/>
      <c r="G106" s="294"/>
      <c r="H106" s="294"/>
      <c r="I106" s="294"/>
      <c r="J106" s="294"/>
      <c r="K106" s="294"/>
    </row>
    <row r="107" spans="1:11" ht="20.100000000000001" customHeight="1">
      <c r="A107" s="293"/>
      <c r="B107" s="294"/>
      <c r="C107" s="294"/>
      <c r="D107" s="294"/>
      <c r="E107" s="294"/>
      <c r="F107" s="313" t="s">
        <v>577</v>
      </c>
      <c r="G107" s="294"/>
      <c r="H107" s="294" t="s">
        <v>988</v>
      </c>
      <c r="I107" s="294"/>
      <c r="J107" s="294"/>
      <c r="K107" s="294"/>
    </row>
    <row r="108" spans="1:11" ht="20.100000000000001" customHeight="1">
      <c r="A108" s="293"/>
      <c r="B108" s="294"/>
      <c r="C108" s="294"/>
      <c r="D108" s="294"/>
      <c r="E108" s="294"/>
      <c r="F108" s="313" t="s">
        <v>989</v>
      </c>
      <c r="G108" s="294"/>
      <c r="H108" s="653" t="s">
        <v>990</v>
      </c>
      <c r="I108" s="653"/>
      <c r="J108" s="294"/>
      <c r="K108" s="294"/>
    </row>
  </sheetData>
  <mergeCells count="24">
    <mergeCell ref="A52:K52"/>
    <mergeCell ref="H108:I108"/>
    <mergeCell ref="B23:K23"/>
    <mergeCell ref="B24:K24"/>
    <mergeCell ref="B34:K34"/>
    <mergeCell ref="B39:K39"/>
    <mergeCell ref="B40:K40"/>
    <mergeCell ref="A48:K48"/>
    <mergeCell ref="B21:K21"/>
    <mergeCell ref="K2:K3"/>
    <mergeCell ref="A4:K4"/>
    <mergeCell ref="A5:A6"/>
    <mergeCell ref="B5:B6"/>
    <mergeCell ref="C5:C6"/>
    <mergeCell ref="D5:F5"/>
    <mergeCell ref="G5:G6"/>
    <mergeCell ref="H5:I5"/>
    <mergeCell ref="J5:J6"/>
    <mergeCell ref="K5:K6"/>
    <mergeCell ref="A7:K7"/>
    <mergeCell ref="B8:K8"/>
    <mergeCell ref="B9:K9"/>
    <mergeCell ref="B15:K15"/>
    <mergeCell ref="B16:K16"/>
  </mergeCells>
  <conditionalFormatting sqref="B26">
    <cfRule type="duplicateValues" dxfId="139" priority="12"/>
  </conditionalFormatting>
  <conditionalFormatting sqref="C26">
    <cfRule type="duplicateValues" dxfId="138" priority="11"/>
  </conditionalFormatting>
  <conditionalFormatting sqref="C42">
    <cfRule type="duplicateValues" dxfId="137" priority="10"/>
  </conditionalFormatting>
  <conditionalFormatting sqref="C43">
    <cfRule type="duplicateValues" dxfId="136" priority="9"/>
  </conditionalFormatting>
  <conditionalFormatting sqref="B28">
    <cfRule type="duplicateValues" dxfId="135" priority="8"/>
  </conditionalFormatting>
  <conditionalFormatting sqref="C28">
    <cfRule type="duplicateValues" dxfId="134" priority="7"/>
  </conditionalFormatting>
  <conditionalFormatting sqref="B31">
    <cfRule type="duplicateValues" dxfId="133" priority="6"/>
  </conditionalFormatting>
  <conditionalFormatting sqref="C31">
    <cfRule type="duplicateValues" dxfId="132" priority="5"/>
  </conditionalFormatting>
  <conditionalFormatting sqref="B33">
    <cfRule type="duplicateValues" dxfId="131" priority="4"/>
  </conditionalFormatting>
  <conditionalFormatting sqref="C33">
    <cfRule type="duplicateValues" dxfId="130" priority="3"/>
  </conditionalFormatting>
  <conditionalFormatting sqref="C45">
    <cfRule type="duplicateValues" dxfId="129" priority="2"/>
  </conditionalFormatting>
  <conditionalFormatting sqref="C46:C47">
    <cfRule type="duplicateValues" dxfId="128" priority="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opLeftCell="A4" workbookViewId="0">
      <selection activeCell="N7" sqref="N7"/>
    </sheetView>
  </sheetViews>
  <sheetFormatPr defaultRowHeight="15"/>
  <cols>
    <col min="1" max="1" width="15.28515625" customWidth="1"/>
    <col min="2" max="2" width="16.140625" customWidth="1"/>
    <col min="3" max="3" width="17.28515625" customWidth="1"/>
    <col min="4" max="4" width="16.140625" customWidth="1"/>
    <col min="5" max="5" width="12.7109375" customWidth="1"/>
    <col min="6" max="6" width="13.140625" customWidth="1"/>
    <col min="11" max="11" width="16.7109375" customWidth="1"/>
  </cols>
  <sheetData>
    <row r="1" spans="1:11" ht="15.75">
      <c r="A1" s="293"/>
      <c r="B1" s="294"/>
      <c r="C1" s="294"/>
      <c r="D1" s="294"/>
      <c r="E1" s="294"/>
      <c r="F1" s="294"/>
      <c r="G1" s="294"/>
      <c r="H1" s="294"/>
      <c r="I1" s="294"/>
      <c r="J1" s="294"/>
      <c r="K1" s="294" t="s">
        <v>785</v>
      </c>
    </row>
    <row r="2" spans="1:11" ht="15.75">
      <c r="A2" s="293"/>
      <c r="B2" s="294"/>
      <c r="C2" s="294"/>
      <c r="D2" s="294"/>
      <c r="E2" s="294"/>
      <c r="F2" s="294"/>
      <c r="G2" s="294"/>
      <c r="H2" s="294"/>
      <c r="I2" s="294"/>
      <c r="J2" s="294"/>
      <c r="K2" s="653" t="s">
        <v>786</v>
      </c>
    </row>
    <row r="3" spans="1:11" ht="81.75" thickBot="1">
      <c r="A3" s="293"/>
      <c r="B3" s="294"/>
      <c r="C3" s="294"/>
      <c r="D3" s="294"/>
      <c r="E3" s="295" t="s">
        <v>787</v>
      </c>
      <c r="F3" s="294"/>
      <c r="G3" s="294"/>
      <c r="H3" s="294"/>
      <c r="I3" s="294"/>
      <c r="J3" s="294"/>
      <c r="K3" s="654"/>
    </row>
    <row r="4" spans="1:11" ht="21" thickBot="1">
      <c r="A4" s="655" t="s">
        <v>999</v>
      </c>
      <c r="B4" s="656"/>
      <c r="C4" s="656"/>
      <c r="D4" s="656"/>
      <c r="E4" s="656"/>
      <c r="F4" s="656"/>
      <c r="G4" s="656"/>
      <c r="H4" s="657"/>
      <c r="I4" s="657"/>
      <c r="J4" s="657"/>
      <c r="K4" s="658"/>
    </row>
    <row r="5" spans="1:11" ht="15.75">
      <c r="A5" s="659" t="s">
        <v>17</v>
      </c>
      <c r="B5" s="661" t="s">
        <v>789</v>
      </c>
      <c r="C5" s="661" t="s">
        <v>790</v>
      </c>
      <c r="D5" s="661" t="s">
        <v>791</v>
      </c>
      <c r="E5" s="661"/>
      <c r="F5" s="661"/>
      <c r="G5" s="661" t="s">
        <v>792</v>
      </c>
      <c r="H5" s="663" t="s">
        <v>367</v>
      </c>
      <c r="I5" s="664"/>
      <c r="J5" s="665" t="s">
        <v>793</v>
      </c>
      <c r="K5" s="667" t="s">
        <v>794</v>
      </c>
    </row>
    <row r="6" spans="1:11" ht="32.25" thickBot="1">
      <c r="A6" s="660"/>
      <c r="B6" s="662"/>
      <c r="C6" s="662"/>
      <c r="D6" s="287" t="s">
        <v>795</v>
      </c>
      <c r="E6" s="287" t="s">
        <v>796</v>
      </c>
      <c r="F6" s="287" t="s">
        <v>797</v>
      </c>
      <c r="G6" s="662"/>
      <c r="H6" s="296" t="s">
        <v>25</v>
      </c>
      <c r="I6" s="296" t="s">
        <v>798</v>
      </c>
      <c r="J6" s="666"/>
      <c r="K6" s="668"/>
    </row>
    <row r="7" spans="1:11" ht="16.5" thickBot="1">
      <c r="A7" s="669" t="s">
        <v>799</v>
      </c>
      <c r="B7" s="670"/>
      <c r="C7" s="670"/>
      <c r="D7" s="670"/>
      <c r="E7" s="670"/>
      <c r="F7" s="670"/>
      <c r="G7" s="670"/>
      <c r="H7" s="670"/>
      <c r="I7" s="670"/>
      <c r="J7" s="670"/>
      <c r="K7" s="671"/>
    </row>
    <row r="8" spans="1:11" ht="15.75">
      <c r="A8" s="297">
        <v>1</v>
      </c>
      <c r="B8" s="672" t="s">
        <v>800</v>
      </c>
      <c r="C8" s="672"/>
      <c r="D8" s="672"/>
      <c r="E8" s="672"/>
      <c r="F8" s="672"/>
      <c r="G8" s="672"/>
      <c r="H8" s="672"/>
      <c r="I8" s="672"/>
      <c r="J8" s="672"/>
      <c r="K8" s="673"/>
    </row>
    <row r="9" spans="1:11" ht="15.75">
      <c r="A9" s="298" t="s">
        <v>801</v>
      </c>
      <c r="B9" s="651" t="s">
        <v>2</v>
      </c>
      <c r="C9" s="651"/>
      <c r="D9" s="651"/>
      <c r="E9" s="651"/>
      <c r="F9" s="651"/>
      <c r="G9" s="651"/>
      <c r="H9" s="651"/>
      <c r="I9" s="651"/>
      <c r="J9" s="651"/>
      <c r="K9" s="652"/>
    </row>
    <row r="10" spans="1:11" ht="63">
      <c r="A10" s="298" t="s">
        <v>802</v>
      </c>
      <c r="B10" s="18" t="s">
        <v>1000</v>
      </c>
      <c r="C10" s="18" t="s">
        <v>1001</v>
      </c>
      <c r="D10" s="18" t="s">
        <v>772</v>
      </c>
      <c r="E10" s="18" t="s">
        <v>805</v>
      </c>
      <c r="F10" s="18" t="s">
        <v>806</v>
      </c>
      <c r="G10" s="18">
        <v>1</v>
      </c>
      <c r="H10" s="18">
        <v>3.3479999999999999</v>
      </c>
      <c r="I10" s="18">
        <f t="shared" ref="I10:I15" si="0">H10*G10</f>
        <v>3.3479999999999999</v>
      </c>
      <c r="J10" s="18" t="s">
        <v>807</v>
      </c>
      <c r="K10" s="299"/>
    </row>
    <row r="11" spans="1:11" ht="63">
      <c r="A11" s="298" t="s">
        <v>808</v>
      </c>
      <c r="B11" s="18" t="s">
        <v>994</v>
      </c>
      <c r="C11" s="18" t="s">
        <v>995</v>
      </c>
      <c r="D11" s="18" t="s">
        <v>772</v>
      </c>
      <c r="E11" s="18" t="s">
        <v>805</v>
      </c>
      <c r="F11" s="18" t="s">
        <v>806</v>
      </c>
      <c r="G11" s="18">
        <v>1</v>
      </c>
      <c r="H11" s="18">
        <v>3.3479999999999999</v>
      </c>
      <c r="I11" s="18">
        <f t="shared" si="0"/>
        <v>3.3479999999999999</v>
      </c>
      <c r="J11" s="18" t="s">
        <v>807</v>
      </c>
      <c r="K11" s="299"/>
    </row>
    <row r="12" spans="1:11" ht="63">
      <c r="A12" s="298" t="s">
        <v>811</v>
      </c>
      <c r="B12" s="288" t="s">
        <v>1002</v>
      </c>
      <c r="C12" s="288" t="s">
        <v>1003</v>
      </c>
      <c r="D12" s="18" t="s">
        <v>772</v>
      </c>
      <c r="E12" s="18" t="s">
        <v>805</v>
      </c>
      <c r="F12" s="18" t="s">
        <v>806</v>
      </c>
      <c r="G12" s="18">
        <v>1</v>
      </c>
      <c r="H12" s="18">
        <v>1.8599999999999999</v>
      </c>
      <c r="I12" s="18">
        <f t="shared" si="0"/>
        <v>1.8599999999999999</v>
      </c>
      <c r="J12" s="18" t="s">
        <v>807</v>
      </c>
      <c r="K12" s="299"/>
    </row>
    <row r="13" spans="1:11" ht="47.25">
      <c r="A13" s="298" t="s">
        <v>815</v>
      </c>
      <c r="B13" s="18" t="s">
        <v>812</v>
      </c>
      <c r="C13" s="18" t="s">
        <v>135</v>
      </c>
      <c r="D13" s="18" t="s">
        <v>770</v>
      </c>
      <c r="E13" s="18" t="s">
        <v>813</v>
      </c>
      <c r="F13" s="18" t="s">
        <v>814</v>
      </c>
      <c r="G13" s="18">
        <v>1</v>
      </c>
      <c r="H13" s="18">
        <v>0.46900000000000003</v>
      </c>
      <c r="I13" s="18">
        <f t="shared" si="0"/>
        <v>0.46900000000000003</v>
      </c>
      <c r="J13" s="18" t="s">
        <v>807</v>
      </c>
      <c r="K13" s="299"/>
    </row>
    <row r="14" spans="1:11" ht="47.25">
      <c r="A14" s="298" t="s">
        <v>818</v>
      </c>
      <c r="B14" s="18" t="s">
        <v>816</v>
      </c>
      <c r="C14" s="18" t="s">
        <v>32</v>
      </c>
      <c r="D14" s="18" t="s">
        <v>770</v>
      </c>
      <c r="E14" s="18" t="s">
        <v>817</v>
      </c>
      <c r="F14" s="18" t="s">
        <v>814</v>
      </c>
      <c r="G14" s="18">
        <v>1</v>
      </c>
      <c r="H14" s="18">
        <v>0.32300000000000001</v>
      </c>
      <c r="I14" s="18">
        <f t="shared" si="0"/>
        <v>0.32300000000000001</v>
      </c>
      <c r="J14" s="18" t="s">
        <v>807</v>
      </c>
      <c r="K14" s="299"/>
    </row>
    <row r="15" spans="1:11" ht="48" thickBot="1">
      <c r="A15" s="300" t="s">
        <v>1004</v>
      </c>
      <c r="B15" s="287" t="s">
        <v>819</v>
      </c>
      <c r="C15" s="287" t="s">
        <v>134</v>
      </c>
      <c r="D15" s="287" t="s">
        <v>771</v>
      </c>
      <c r="E15" s="287" t="s">
        <v>820</v>
      </c>
      <c r="F15" s="287" t="s">
        <v>821</v>
      </c>
      <c r="G15" s="287">
        <v>1</v>
      </c>
      <c r="H15" s="287">
        <v>0.14599999999999999</v>
      </c>
      <c r="I15" s="287">
        <f t="shared" si="0"/>
        <v>0.14599999999999999</v>
      </c>
      <c r="J15" s="287" t="s">
        <v>807</v>
      </c>
      <c r="K15" s="301"/>
    </row>
    <row r="16" spans="1:11" ht="15.75">
      <c r="A16" s="302" t="s">
        <v>822</v>
      </c>
      <c r="B16" s="674" t="s">
        <v>823</v>
      </c>
      <c r="C16" s="674"/>
      <c r="D16" s="674"/>
      <c r="E16" s="674"/>
      <c r="F16" s="674"/>
      <c r="G16" s="674"/>
      <c r="H16" s="674"/>
      <c r="I16" s="674"/>
      <c r="J16" s="674"/>
      <c r="K16" s="675"/>
    </row>
    <row r="17" spans="1:11" ht="15.75">
      <c r="A17" s="298" t="s">
        <v>824</v>
      </c>
      <c r="B17" s="651" t="s">
        <v>2</v>
      </c>
      <c r="C17" s="651"/>
      <c r="D17" s="651"/>
      <c r="E17" s="651"/>
      <c r="F17" s="651"/>
      <c r="G17" s="651"/>
      <c r="H17" s="651"/>
      <c r="I17" s="651"/>
      <c r="J17" s="651"/>
      <c r="K17" s="652"/>
    </row>
    <row r="18" spans="1:11" ht="47.25">
      <c r="A18" s="298" t="s">
        <v>825</v>
      </c>
      <c r="B18" s="18" t="s">
        <v>826</v>
      </c>
      <c r="C18" s="18" t="s">
        <v>827</v>
      </c>
      <c r="D18" s="18" t="s">
        <v>777</v>
      </c>
      <c r="E18" s="18" t="s">
        <v>775</v>
      </c>
      <c r="F18" s="18" t="s">
        <v>828</v>
      </c>
      <c r="G18" s="18">
        <v>1</v>
      </c>
      <c r="H18" s="18">
        <v>0.28699999999999998</v>
      </c>
      <c r="I18" s="18">
        <f>G18*H18</f>
        <v>0.28699999999999998</v>
      </c>
      <c r="J18" s="18" t="s">
        <v>807</v>
      </c>
      <c r="K18" s="299"/>
    </row>
    <row r="19" spans="1:11" ht="63">
      <c r="A19" s="298" t="s">
        <v>829</v>
      </c>
      <c r="B19" s="18" t="s">
        <v>830</v>
      </c>
      <c r="C19" s="18" t="s">
        <v>5</v>
      </c>
      <c r="D19" s="18" t="s">
        <v>772</v>
      </c>
      <c r="E19" s="18" t="s">
        <v>779</v>
      </c>
      <c r="F19" s="18" t="s">
        <v>831</v>
      </c>
      <c r="G19" s="18">
        <v>1</v>
      </c>
      <c r="H19" s="18">
        <v>1.3999999999999999E-2</v>
      </c>
      <c r="I19" s="18">
        <f>G19*H19</f>
        <v>1.3999999999999999E-2</v>
      </c>
      <c r="J19" s="18" t="s">
        <v>807</v>
      </c>
      <c r="K19" s="299"/>
    </row>
    <row r="20" spans="1:11" ht="31.5">
      <c r="A20" s="298" t="s">
        <v>832</v>
      </c>
      <c r="B20" s="18" t="s">
        <v>833</v>
      </c>
      <c r="C20" s="18" t="s">
        <v>7</v>
      </c>
      <c r="D20" s="18" t="s">
        <v>778</v>
      </c>
      <c r="E20" s="18" t="s">
        <v>776</v>
      </c>
      <c r="F20" s="18" t="s">
        <v>834</v>
      </c>
      <c r="G20" s="18">
        <v>1</v>
      </c>
      <c r="H20" s="18">
        <v>2E-3</v>
      </c>
      <c r="I20" s="18">
        <f>G20*H20</f>
        <v>2E-3</v>
      </c>
      <c r="J20" s="18" t="s">
        <v>807</v>
      </c>
      <c r="K20" s="299"/>
    </row>
    <row r="21" spans="1:11" ht="47.25">
      <c r="A21" s="298" t="s">
        <v>835</v>
      </c>
      <c r="B21" s="18" t="s">
        <v>836</v>
      </c>
      <c r="C21" s="18" t="s">
        <v>837</v>
      </c>
      <c r="D21" s="18" t="s">
        <v>771</v>
      </c>
      <c r="E21" s="18" t="s">
        <v>820</v>
      </c>
      <c r="F21" s="18" t="s">
        <v>821</v>
      </c>
      <c r="G21" s="18">
        <v>1</v>
      </c>
      <c r="H21" s="18">
        <v>0.06</v>
      </c>
      <c r="I21" s="18">
        <f>G21*H21</f>
        <v>0.06</v>
      </c>
      <c r="J21" s="18" t="s">
        <v>807</v>
      </c>
      <c r="K21" s="299"/>
    </row>
    <row r="22" spans="1:11" ht="15.75">
      <c r="A22" s="298" t="s">
        <v>838</v>
      </c>
      <c r="B22" s="651" t="s">
        <v>839</v>
      </c>
      <c r="C22" s="651"/>
      <c r="D22" s="651"/>
      <c r="E22" s="651"/>
      <c r="F22" s="651"/>
      <c r="G22" s="651"/>
      <c r="H22" s="651"/>
      <c r="I22" s="651"/>
      <c r="J22" s="651"/>
      <c r="K22" s="652"/>
    </row>
    <row r="23" spans="1:11" ht="48" thickBot="1">
      <c r="A23" s="300" t="s">
        <v>840</v>
      </c>
      <c r="B23" s="287" t="s">
        <v>3</v>
      </c>
      <c r="C23" s="287" t="s">
        <v>780</v>
      </c>
      <c r="D23" s="287" t="s">
        <v>3</v>
      </c>
      <c r="E23" s="287" t="s">
        <v>3</v>
      </c>
      <c r="F23" s="287" t="s">
        <v>36</v>
      </c>
      <c r="G23" s="287">
        <v>2</v>
      </c>
      <c r="H23" s="287">
        <v>1</v>
      </c>
      <c r="I23" s="287">
        <f>G23*H23</f>
        <v>2</v>
      </c>
      <c r="J23" s="287" t="s">
        <v>841</v>
      </c>
      <c r="K23" s="303"/>
    </row>
    <row r="24" spans="1:11" ht="15.75">
      <c r="A24" s="302">
        <v>3</v>
      </c>
      <c r="B24" s="674" t="s">
        <v>842</v>
      </c>
      <c r="C24" s="674"/>
      <c r="D24" s="674"/>
      <c r="E24" s="674"/>
      <c r="F24" s="674"/>
      <c r="G24" s="674"/>
      <c r="H24" s="674"/>
      <c r="I24" s="674"/>
      <c r="J24" s="674"/>
      <c r="K24" s="675"/>
    </row>
    <row r="25" spans="1:11" ht="15.75">
      <c r="A25" s="298" t="s">
        <v>843</v>
      </c>
      <c r="B25" s="651" t="s">
        <v>2</v>
      </c>
      <c r="C25" s="651"/>
      <c r="D25" s="651"/>
      <c r="E25" s="651"/>
      <c r="F25" s="651"/>
      <c r="G25" s="651"/>
      <c r="H25" s="651"/>
      <c r="I25" s="651"/>
      <c r="J25" s="651"/>
      <c r="K25" s="652"/>
    </row>
    <row r="26" spans="1:11" ht="47.25">
      <c r="A26" s="298" t="s">
        <v>844</v>
      </c>
      <c r="B26" s="18" t="s">
        <v>845</v>
      </c>
      <c r="C26" s="18" t="s">
        <v>846</v>
      </c>
      <c r="D26" s="18" t="s">
        <v>771</v>
      </c>
      <c r="E26" s="18" t="s">
        <v>847</v>
      </c>
      <c r="F26" s="18" t="s">
        <v>821</v>
      </c>
      <c r="G26" s="18">
        <v>2</v>
      </c>
      <c r="H26" s="18">
        <v>1.8000000000000002E-2</v>
      </c>
      <c r="I26" s="18">
        <f t="shared" ref="I26:I34" si="1">G26*H26</f>
        <v>3.6000000000000004E-2</v>
      </c>
      <c r="J26" s="18" t="s">
        <v>807</v>
      </c>
      <c r="K26" s="299"/>
    </row>
    <row r="27" spans="1:11" ht="47.25">
      <c r="A27" s="298" t="s">
        <v>848</v>
      </c>
      <c r="B27" s="18" t="s">
        <v>849</v>
      </c>
      <c r="C27" s="18" t="s">
        <v>850</v>
      </c>
      <c r="D27" s="18" t="s">
        <v>770</v>
      </c>
      <c r="E27" s="18" t="s">
        <v>813</v>
      </c>
      <c r="F27" s="18" t="s">
        <v>814</v>
      </c>
      <c r="G27" s="18">
        <v>1</v>
      </c>
      <c r="H27" s="18">
        <v>1.1539999999999999</v>
      </c>
      <c r="I27" s="18">
        <f t="shared" si="1"/>
        <v>1.1539999999999999</v>
      </c>
      <c r="J27" s="18" t="s">
        <v>807</v>
      </c>
      <c r="K27" s="304"/>
    </row>
    <row r="28" spans="1:11" ht="47.25">
      <c r="A28" s="298" t="s">
        <v>851</v>
      </c>
      <c r="B28" s="18" t="s">
        <v>852</v>
      </c>
      <c r="C28" s="18" t="s">
        <v>853</v>
      </c>
      <c r="D28" s="18" t="s">
        <v>770</v>
      </c>
      <c r="E28" s="18" t="s">
        <v>813</v>
      </c>
      <c r="F28" s="18" t="s">
        <v>814</v>
      </c>
      <c r="G28" s="18">
        <v>1</v>
      </c>
      <c r="H28" s="18">
        <v>0.53500000000000003</v>
      </c>
      <c r="I28" s="18">
        <f t="shared" si="1"/>
        <v>0.53500000000000003</v>
      </c>
      <c r="J28" s="18" t="s">
        <v>807</v>
      </c>
      <c r="K28" s="299"/>
    </row>
    <row r="29" spans="1:11" ht="63">
      <c r="A29" s="298" t="s">
        <v>854</v>
      </c>
      <c r="B29" s="18" t="s">
        <v>855</v>
      </c>
      <c r="C29" s="18" t="s">
        <v>856</v>
      </c>
      <c r="D29" s="18" t="s">
        <v>772</v>
      </c>
      <c r="E29" s="18" t="s">
        <v>779</v>
      </c>
      <c r="F29" s="18" t="s">
        <v>831</v>
      </c>
      <c r="G29" s="18">
        <v>1</v>
      </c>
      <c r="H29" s="18">
        <v>0.18</v>
      </c>
      <c r="I29" s="18">
        <f t="shared" si="1"/>
        <v>0.18</v>
      </c>
      <c r="J29" s="18" t="s">
        <v>807</v>
      </c>
      <c r="K29" s="304"/>
    </row>
    <row r="30" spans="1:11" ht="63">
      <c r="A30" s="298" t="s">
        <v>857</v>
      </c>
      <c r="B30" s="18" t="s">
        <v>858</v>
      </c>
      <c r="C30" s="18" t="s">
        <v>859</v>
      </c>
      <c r="D30" s="18" t="s">
        <v>772</v>
      </c>
      <c r="E30" s="18" t="s">
        <v>779</v>
      </c>
      <c r="F30" s="18" t="s">
        <v>831</v>
      </c>
      <c r="G30" s="18">
        <v>1</v>
      </c>
      <c r="H30" s="18">
        <v>0.18</v>
      </c>
      <c r="I30" s="18">
        <f t="shared" si="1"/>
        <v>0.18</v>
      </c>
      <c r="J30" s="18" t="s">
        <v>807</v>
      </c>
      <c r="K30" s="299"/>
    </row>
    <row r="31" spans="1:11" ht="31.5">
      <c r="A31" s="298" t="s">
        <v>860</v>
      </c>
      <c r="B31" s="18" t="s">
        <v>861</v>
      </c>
      <c r="C31" s="18" t="s">
        <v>42</v>
      </c>
      <c r="D31" s="18" t="s">
        <v>862</v>
      </c>
      <c r="E31" s="18" t="s">
        <v>863</v>
      </c>
      <c r="F31" s="18" t="s">
        <v>43</v>
      </c>
      <c r="G31" s="18">
        <v>1</v>
      </c>
      <c r="H31" s="18">
        <v>2E-3</v>
      </c>
      <c r="I31" s="18">
        <f t="shared" si="1"/>
        <v>2E-3</v>
      </c>
      <c r="J31" s="18" t="s">
        <v>807</v>
      </c>
      <c r="K31" s="299"/>
    </row>
    <row r="32" spans="1:11" ht="31.5">
      <c r="A32" s="298" t="s">
        <v>864</v>
      </c>
      <c r="B32" s="18" t="s">
        <v>865</v>
      </c>
      <c r="C32" s="18" t="s">
        <v>866</v>
      </c>
      <c r="D32" s="18" t="s">
        <v>867</v>
      </c>
      <c r="E32" s="18" t="s">
        <v>868</v>
      </c>
      <c r="F32" s="18" t="s">
        <v>869</v>
      </c>
      <c r="G32" s="18">
        <v>1</v>
      </c>
      <c r="H32" s="18">
        <v>1.0999999999999999E-2</v>
      </c>
      <c r="I32" s="18">
        <f t="shared" si="1"/>
        <v>1.0999999999999999E-2</v>
      </c>
      <c r="J32" s="18" t="s">
        <v>870</v>
      </c>
      <c r="K32" s="304"/>
    </row>
    <row r="33" spans="1:11" ht="63">
      <c r="A33" s="298" t="s">
        <v>871</v>
      </c>
      <c r="B33" s="18" t="s">
        <v>872</v>
      </c>
      <c r="C33" s="18" t="s">
        <v>856</v>
      </c>
      <c r="D33" s="18" t="s">
        <v>772</v>
      </c>
      <c r="E33" s="18" t="s">
        <v>779</v>
      </c>
      <c r="F33" s="18" t="s">
        <v>831</v>
      </c>
      <c r="G33" s="18">
        <v>1</v>
      </c>
      <c r="H33" s="18">
        <v>0.192</v>
      </c>
      <c r="I33" s="18">
        <f t="shared" si="1"/>
        <v>0.192</v>
      </c>
      <c r="J33" s="18" t="s">
        <v>807</v>
      </c>
      <c r="K33" s="299"/>
    </row>
    <row r="34" spans="1:11" ht="63">
      <c r="A34" s="298" t="s">
        <v>873</v>
      </c>
      <c r="B34" s="18" t="s">
        <v>874</v>
      </c>
      <c r="C34" s="18" t="s">
        <v>875</v>
      </c>
      <c r="D34" s="18" t="s">
        <v>772</v>
      </c>
      <c r="E34" s="18" t="s">
        <v>779</v>
      </c>
      <c r="F34" s="18" t="s">
        <v>831</v>
      </c>
      <c r="G34" s="18">
        <v>1</v>
      </c>
      <c r="H34" s="18">
        <v>0.192</v>
      </c>
      <c r="I34" s="18">
        <f t="shared" si="1"/>
        <v>0.192</v>
      </c>
      <c r="J34" s="18" t="s">
        <v>807</v>
      </c>
      <c r="K34" s="304"/>
    </row>
    <row r="35" spans="1:11" ht="15.75">
      <c r="A35" s="298" t="s">
        <v>876</v>
      </c>
      <c r="B35" s="651" t="s">
        <v>839</v>
      </c>
      <c r="C35" s="651"/>
      <c r="D35" s="651"/>
      <c r="E35" s="651"/>
      <c r="F35" s="651"/>
      <c r="G35" s="651"/>
      <c r="H35" s="651"/>
      <c r="I35" s="651"/>
      <c r="J35" s="651"/>
      <c r="K35" s="652"/>
    </row>
    <row r="36" spans="1:11" ht="63">
      <c r="A36" s="305" t="s">
        <v>877</v>
      </c>
      <c r="B36" s="306" t="s">
        <v>3</v>
      </c>
      <c r="C36" s="245" t="s">
        <v>236</v>
      </c>
      <c r="D36" s="34" t="s">
        <v>3</v>
      </c>
      <c r="E36" s="34" t="s">
        <v>3</v>
      </c>
      <c r="F36" s="34" t="s">
        <v>53</v>
      </c>
      <c r="G36" s="34">
        <v>1</v>
      </c>
      <c r="H36" s="34">
        <v>1</v>
      </c>
      <c r="I36" s="34">
        <f>G36*H36</f>
        <v>1</v>
      </c>
      <c r="J36" s="34" t="s">
        <v>841</v>
      </c>
      <c r="K36" s="307"/>
    </row>
    <row r="37" spans="1:11" ht="47.25">
      <c r="A37" s="305" t="s">
        <v>878</v>
      </c>
      <c r="B37" s="306" t="s">
        <v>3</v>
      </c>
      <c r="C37" s="34" t="s">
        <v>733</v>
      </c>
      <c r="D37" s="34" t="s">
        <v>3</v>
      </c>
      <c r="E37" s="34" t="s">
        <v>3</v>
      </c>
      <c r="F37" s="34" t="s">
        <v>3</v>
      </c>
      <c r="G37" s="34">
        <v>6</v>
      </c>
      <c r="H37" s="34">
        <v>1</v>
      </c>
      <c r="I37" s="34">
        <f>G37*H37</f>
        <v>6</v>
      </c>
      <c r="J37" s="34" t="s">
        <v>841</v>
      </c>
      <c r="K37" s="307"/>
    </row>
    <row r="38" spans="1:11" ht="63">
      <c r="A38" s="305" t="s">
        <v>879</v>
      </c>
      <c r="B38" s="306" t="s">
        <v>3</v>
      </c>
      <c r="C38" s="34" t="s">
        <v>734</v>
      </c>
      <c r="D38" s="34" t="s">
        <v>3</v>
      </c>
      <c r="E38" s="34" t="s">
        <v>3</v>
      </c>
      <c r="F38" s="34" t="s">
        <v>74</v>
      </c>
      <c r="G38" s="34">
        <v>1</v>
      </c>
      <c r="H38" s="34">
        <v>2E-3</v>
      </c>
      <c r="I38" s="34">
        <f>G38*H38</f>
        <v>2E-3</v>
      </c>
      <c r="J38" s="34" t="s">
        <v>807</v>
      </c>
      <c r="K38" s="307"/>
    </row>
    <row r="39" spans="1:11" ht="63.75" thickBot="1">
      <c r="A39" s="305" t="s">
        <v>880</v>
      </c>
      <c r="B39" s="306" t="s">
        <v>3</v>
      </c>
      <c r="C39" s="245" t="s">
        <v>736</v>
      </c>
      <c r="D39" s="34" t="s">
        <v>3</v>
      </c>
      <c r="E39" s="34" t="s">
        <v>3</v>
      </c>
      <c r="F39" s="34" t="s">
        <v>72</v>
      </c>
      <c r="G39" s="34">
        <v>1</v>
      </c>
      <c r="H39" s="34">
        <v>3.0000000000000001E-3</v>
      </c>
      <c r="I39" s="34">
        <f>G39*H39</f>
        <v>3.0000000000000001E-3</v>
      </c>
      <c r="J39" s="34" t="s">
        <v>807</v>
      </c>
      <c r="K39" s="307"/>
    </row>
    <row r="40" spans="1:11" ht="15.75">
      <c r="A40" s="297" t="s">
        <v>881</v>
      </c>
      <c r="B40" s="672" t="s">
        <v>14</v>
      </c>
      <c r="C40" s="672"/>
      <c r="D40" s="672"/>
      <c r="E40" s="672"/>
      <c r="F40" s="672"/>
      <c r="G40" s="672"/>
      <c r="H40" s="672"/>
      <c r="I40" s="672"/>
      <c r="J40" s="672"/>
      <c r="K40" s="673"/>
    </row>
    <row r="41" spans="1:11" ht="15.75">
      <c r="A41" s="298" t="s">
        <v>882</v>
      </c>
      <c r="B41" s="651" t="s">
        <v>2</v>
      </c>
      <c r="C41" s="651"/>
      <c r="D41" s="651"/>
      <c r="E41" s="651"/>
      <c r="F41" s="651"/>
      <c r="G41" s="651"/>
      <c r="H41" s="651"/>
      <c r="I41" s="651"/>
      <c r="J41" s="651"/>
      <c r="K41" s="652"/>
    </row>
    <row r="42" spans="1:11" ht="31.5">
      <c r="A42" s="298" t="s">
        <v>883</v>
      </c>
      <c r="B42" s="18" t="s">
        <v>884</v>
      </c>
      <c r="C42" s="18" t="s">
        <v>643</v>
      </c>
      <c r="D42" s="18" t="s">
        <v>771</v>
      </c>
      <c r="E42" s="18" t="s">
        <v>773</v>
      </c>
      <c r="F42" s="18" t="s">
        <v>37</v>
      </c>
      <c r="G42" s="18">
        <v>1</v>
      </c>
      <c r="H42" s="18">
        <v>5.1000000000000004E-2</v>
      </c>
      <c r="I42" s="18">
        <f t="shared" ref="I42:I48" si="2">G42*H42</f>
        <v>5.1000000000000004E-2</v>
      </c>
      <c r="J42" s="18" t="s">
        <v>807</v>
      </c>
      <c r="K42" s="299"/>
    </row>
    <row r="43" spans="1:11" ht="31.5">
      <c r="A43" s="298" t="s">
        <v>885</v>
      </c>
      <c r="B43" s="18" t="s">
        <v>886</v>
      </c>
      <c r="C43" s="18" t="s">
        <v>853</v>
      </c>
      <c r="D43" s="18" t="s">
        <v>771</v>
      </c>
      <c r="E43" s="18" t="s">
        <v>820</v>
      </c>
      <c r="F43" s="18" t="s">
        <v>37</v>
      </c>
      <c r="G43" s="18">
        <v>1</v>
      </c>
      <c r="H43" s="18">
        <v>7.1999999999999995E-2</v>
      </c>
      <c r="I43" s="18">
        <f t="shared" si="2"/>
        <v>7.1999999999999995E-2</v>
      </c>
      <c r="J43" s="18" t="s">
        <v>807</v>
      </c>
      <c r="K43" s="308"/>
    </row>
    <row r="44" spans="1:11" ht="47.25">
      <c r="A44" s="298" t="s">
        <v>887</v>
      </c>
      <c r="B44" s="18" t="s">
        <v>888</v>
      </c>
      <c r="C44" s="18" t="s">
        <v>889</v>
      </c>
      <c r="D44" s="18" t="s">
        <v>770</v>
      </c>
      <c r="E44" s="18" t="s">
        <v>817</v>
      </c>
      <c r="F44" s="18" t="s">
        <v>814</v>
      </c>
      <c r="G44" s="18">
        <v>1</v>
      </c>
      <c r="H44" s="18">
        <v>0.47699999999999998</v>
      </c>
      <c r="I44" s="18">
        <f t="shared" si="2"/>
        <v>0.47699999999999998</v>
      </c>
      <c r="J44" s="18" t="s">
        <v>807</v>
      </c>
      <c r="K44" s="308"/>
    </row>
    <row r="45" spans="1:11" ht="63">
      <c r="A45" s="298" t="s">
        <v>890</v>
      </c>
      <c r="B45" s="18" t="s">
        <v>891</v>
      </c>
      <c r="C45" s="18" t="s">
        <v>892</v>
      </c>
      <c r="D45" s="18" t="s">
        <v>772</v>
      </c>
      <c r="E45" s="18" t="s">
        <v>774</v>
      </c>
      <c r="F45" s="18" t="s">
        <v>806</v>
      </c>
      <c r="G45" s="18">
        <v>1</v>
      </c>
      <c r="H45" s="18">
        <v>6.2E-2</v>
      </c>
      <c r="I45" s="18">
        <f t="shared" si="2"/>
        <v>6.2E-2</v>
      </c>
      <c r="J45" s="18" t="s">
        <v>807</v>
      </c>
      <c r="K45" s="299"/>
    </row>
    <row r="46" spans="1:11" ht="31.5">
      <c r="A46" s="298" t="s">
        <v>893</v>
      </c>
      <c r="B46" s="18" t="s">
        <v>894</v>
      </c>
      <c r="C46" s="18" t="s">
        <v>11</v>
      </c>
      <c r="D46" s="18" t="s">
        <v>867</v>
      </c>
      <c r="E46" s="18" t="s">
        <v>868</v>
      </c>
      <c r="F46" s="18" t="s">
        <v>869</v>
      </c>
      <c r="G46" s="18">
        <v>1</v>
      </c>
      <c r="H46" s="18">
        <v>5.0000000000000001E-3</v>
      </c>
      <c r="I46" s="18">
        <f t="shared" si="2"/>
        <v>5.0000000000000001E-3</v>
      </c>
      <c r="J46" s="18" t="s">
        <v>870</v>
      </c>
      <c r="K46" s="308"/>
    </row>
    <row r="47" spans="1:11" ht="63">
      <c r="A47" s="298" t="s">
        <v>895</v>
      </c>
      <c r="B47" s="18" t="s">
        <v>896</v>
      </c>
      <c r="C47" s="18" t="s">
        <v>897</v>
      </c>
      <c r="D47" s="18" t="s">
        <v>772</v>
      </c>
      <c r="E47" s="18" t="s">
        <v>779</v>
      </c>
      <c r="F47" s="18" t="s">
        <v>831</v>
      </c>
      <c r="G47" s="18">
        <v>1</v>
      </c>
      <c r="H47" s="18">
        <v>6.3E-2</v>
      </c>
      <c r="I47" s="18">
        <f t="shared" si="2"/>
        <v>6.3E-2</v>
      </c>
      <c r="J47" s="18" t="s">
        <v>807</v>
      </c>
      <c r="K47" s="308"/>
    </row>
    <row r="48" spans="1:11" ht="63.75" thickBot="1">
      <c r="A48" s="298" t="s">
        <v>898</v>
      </c>
      <c r="B48" s="18" t="s">
        <v>899</v>
      </c>
      <c r="C48" s="18" t="s">
        <v>136</v>
      </c>
      <c r="D48" s="18" t="s">
        <v>772</v>
      </c>
      <c r="E48" s="18" t="s">
        <v>779</v>
      </c>
      <c r="F48" s="18" t="s">
        <v>831</v>
      </c>
      <c r="G48" s="18">
        <v>1</v>
      </c>
      <c r="H48" s="18">
        <v>6.3E-2</v>
      </c>
      <c r="I48" s="18">
        <f t="shared" si="2"/>
        <v>6.3E-2</v>
      </c>
      <c r="J48" s="18" t="s">
        <v>807</v>
      </c>
      <c r="K48" s="308"/>
    </row>
    <row r="49" spans="1:11" ht="16.5" thickBot="1">
      <c r="A49" s="679" t="s">
        <v>2</v>
      </c>
      <c r="B49" s="680"/>
      <c r="C49" s="680"/>
      <c r="D49" s="680"/>
      <c r="E49" s="680"/>
      <c r="F49" s="680"/>
      <c r="G49" s="680"/>
      <c r="H49" s="680"/>
      <c r="I49" s="680"/>
      <c r="J49" s="680"/>
      <c r="K49" s="681"/>
    </row>
    <row r="50" spans="1:11" ht="63">
      <c r="A50" s="297" t="s">
        <v>900</v>
      </c>
      <c r="B50" s="309" t="s">
        <v>901</v>
      </c>
      <c r="C50" s="309" t="s">
        <v>138</v>
      </c>
      <c r="D50" s="309" t="s">
        <v>772</v>
      </c>
      <c r="E50" s="309" t="s">
        <v>779</v>
      </c>
      <c r="F50" s="309" t="s">
        <v>831</v>
      </c>
      <c r="G50" s="309">
        <v>1</v>
      </c>
      <c r="H50" s="309">
        <v>7.5999999999999998E-2</v>
      </c>
      <c r="I50" s="309">
        <f>G50*H50</f>
        <v>7.5999999999999998E-2</v>
      </c>
      <c r="J50" s="309" t="s">
        <v>807</v>
      </c>
      <c r="K50" s="310"/>
    </row>
    <row r="51" spans="1:11" ht="94.5">
      <c r="A51" s="298" t="s">
        <v>902</v>
      </c>
      <c r="B51" s="288" t="s">
        <v>903</v>
      </c>
      <c r="C51" s="288" t="s">
        <v>110</v>
      </c>
      <c r="D51" s="18" t="s">
        <v>904</v>
      </c>
      <c r="E51" s="18" t="s">
        <v>905</v>
      </c>
      <c r="F51" s="18" t="s">
        <v>906</v>
      </c>
      <c r="G51" s="18">
        <v>1</v>
      </c>
      <c r="H51" s="18">
        <v>2.5000000000000001E-3</v>
      </c>
      <c r="I51" s="18">
        <f>G51*H51</f>
        <v>2.5000000000000001E-3</v>
      </c>
      <c r="J51" s="18" t="s">
        <v>870</v>
      </c>
      <c r="K51" s="299"/>
    </row>
    <row r="52" spans="1:11" ht="32.25" thickBot="1">
      <c r="A52" s="300" t="s">
        <v>907</v>
      </c>
      <c r="B52" s="296" t="s">
        <v>908</v>
      </c>
      <c r="C52" s="287" t="s">
        <v>909</v>
      </c>
      <c r="D52" s="287" t="s">
        <v>910</v>
      </c>
      <c r="E52" s="287" t="s">
        <v>911</v>
      </c>
      <c r="F52" s="287" t="s">
        <v>47</v>
      </c>
      <c r="G52" s="287">
        <v>1</v>
      </c>
      <c r="H52" s="287">
        <v>1.2999999999999999E-2</v>
      </c>
      <c r="I52" s="287">
        <f>G52*H52</f>
        <v>1.2999999999999999E-2</v>
      </c>
      <c r="J52" s="287" t="s">
        <v>807</v>
      </c>
      <c r="K52" s="303"/>
    </row>
    <row r="53" spans="1:11" ht="16.5" thickBot="1">
      <c r="A53" s="676" t="s">
        <v>56</v>
      </c>
      <c r="B53" s="677"/>
      <c r="C53" s="677"/>
      <c r="D53" s="677"/>
      <c r="E53" s="677"/>
      <c r="F53" s="677"/>
      <c r="G53" s="677"/>
      <c r="H53" s="677"/>
      <c r="I53" s="677"/>
      <c r="J53" s="677"/>
      <c r="K53" s="678"/>
    </row>
    <row r="54" spans="1:11" ht="78.75">
      <c r="A54" s="297" t="s">
        <v>912</v>
      </c>
      <c r="B54" s="309" t="s">
        <v>3</v>
      </c>
      <c r="C54" s="309" t="s">
        <v>484</v>
      </c>
      <c r="D54" s="309" t="s">
        <v>3</v>
      </c>
      <c r="E54" s="309" t="s">
        <v>3</v>
      </c>
      <c r="F54" s="309" t="s">
        <v>3</v>
      </c>
      <c r="G54" s="311">
        <v>1</v>
      </c>
      <c r="H54" s="309">
        <v>2.4E-2</v>
      </c>
      <c r="I54" s="309">
        <f>G54*H54</f>
        <v>2.4E-2</v>
      </c>
      <c r="J54" s="309" t="s">
        <v>841</v>
      </c>
      <c r="K54" s="310"/>
    </row>
    <row r="55" spans="1:11" ht="31.5">
      <c r="A55" s="298" t="s">
        <v>913</v>
      </c>
      <c r="B55" s="18" t="s">
        <v>3</v>
      </c>
      <c r="C55" s="18" t="s">
        <v>738</v>
      </c>
      <c r="D55" s="18" t="s">
        <v>3</v>
      </c>
      <c r="E55" s="18" t="s">
        <v>62</v>
      </c>
      <c r="F55" s="18" t="s">
        <v>63</v>
      </c>
      <c r="G55" s="245">
        <v>1</v>
      </c>
      <c r="H55" s="245">
        <v>1</v>
      </c>
      <c r="I55" s="18">
        <f t="shared" ref="I55:I106" si="3">G55*H55</f>
        <v>1</v>
      </c>
      <c r="J55" s="18" t="s">
        <v>841</v>
      </c>
      <c r="K55" s="299"/>
    </row>
    <row r="56" spans="1:11" ht="47.25">
      <c r="A56" s="298" t="s">
        <v>914</v>
      </c>
      <c r="B56" s="18" t="s">
        <v>3</v>
      </c>
      <c r="C56" s="18" t="s">
        <v>915</v>
      </c>
      <c r="D56" s="18" t="s">
        <v>3</v>
      </c>
      <c r="E56" s="18" t="s">
        <v>62</v>
      </c>
      <c r="F56" s="18" t="s">
        <v>63</v>
      </c>
      <c r="G56" s="245">
        <v>2</v>
      </c>
      <c r="H56" s="245">
        <v>1</v>
      </c>
      <c r="I56" s="18">
        <f t="shared" si="3"/>
        <v>2</v>
      </c>
      <c r="J56" s="18" t="s">
        <v>841</v>
      </c>
      <c r="K56" s="299"/>
    </row>
    <row r="57" spans="1:11" ht="31.5">
      <c r="A57" s="298" t="s">
        <v>916</v>
      </c>
      <c r="B57" s="18"/>
      <c r="C57" s="18" t="s">
        <v>917</v>
      </c>
      <c r="D57" s="18" t="s">
        <v>3</v>
      </c>
      <c r="E57" s="18" t="s">
        <v>62</v>
      </c>
      <c r="F57" s="18" t="s">
        <v>63</v>
      </c>
      <c r="G57" s="245">
        <v>1</v>
      </c>
      <c r="H57" s="245">
        <v>4.8000000000000001E-2</v>
      </c>
      <c r="I57" s="18">
        <f t="shared" si="3"/>
        <v>4.8000000000000001E-2</v>
      </c>
      <c r="J57" s="18" t="s">
        <v>870</v>
      </c>
      <c r="K57" s="299"/>
    </row>
    <row r="58" spans="1:11" ht="63">
      <c r="A58" s="298" t="s">
        <v>918</v>
      </c>
      <c r="B58" s="18" t="s">
        <v>3</v>
      </c>
      <c r="C58" s="18" t="s">
        <v>1005</v>
      </c>
      <c r="D58" s="18" t="s">
        <v>3</v>
      </c>
      <c r="E58" s="18" t="s">
        <v>3</v>
      </c>
      <c r="F58" s="18" t="s">
        <v>3</v>
      </c>
      <c r="G58" s="18">
        <v>1</v>
      </c>
      <c r="H58" s="18">
        <v>1</v>
      </c>
      <c r="I58" s="18">
        <f t="shared" si="3"/>
        <v>1</v>
      </c>
      <c r="J58" s="18" t="s">
        <v>841</v>
      </c>
      <c r="K58" s="299"/>
    </row>
    <row r="59" spans="1:11" ht="63">
      <c r="A59" s="298" t="s">
        <v>920</v>
      </c>
      <c r="B59" s="18" t="s">
        <v>3</v>
      </c>
      <c r="C59" s="18" t="s">
        <v>1006</v>
      </c>
      <c r="D59" s="18" t="s">
        <v>3</v>
      </c>
      <c r="E59" s="18" t="s">
        <v>3</v>
      </c>
      <c r="F59" s="18" t="s">
        <v>3</v>
      </c>
      <c r="G59" s="18">
        <v>1</v>
      </c>
      <c r="H59" s="18">
        <v>1</v>
      </c>
      <c r="I59" s="18">
        <f t="shared" si="3"/>
        <v>1</v>
      </c>
      <c r="J59" s="18" t="s">
        <v>841</v>
      </c>
      <c r="K59" s="299"/>
    </row>
    <row r="60" spans="1:11" ht="63">
      <c r="A60" s="298" t="s">
        <v>922</v>
      </c>
      <c r="B60" s="18" t="s">
        <v>3</v>
      </c>
      <c r="C60" s="245" t="s">
        <v>1007</v>
      </c>
      <c r="D60" s="18" t="s">
        <v>3</v>
      </c>
      <c r="E60" s="18" t="s">
        <v>3</v>
      </c>
      <c r="F60" s="18" t="s">
        <v>3</v>
      </c>
      <c r="G60" s="18">
        <v>1</v>
      </c>
      <c r="H60" s="18">
        <v>1</v>
      </c>
      <c r="I60" s="18">
        <f t="shared" si="3"/>
        <v>1</v>
      </c>
      <c r="J60" s="18" t="s">
        <v>841</v>
      </c>
      <c r="K60" s="299"/>
    </row>
    <row r="61" spans="1:11" ht="31.5">
      <c r="A61" s="298" t="s">
        <v>924</v>
      </c>
      <c r="B61" s="18" t="s">
        <v>3</v>
      </c>
      <c r="C61" s="245" t="s">
        <v>925</v>
      </c>
      <c r="D61" s="18" t="s">
        <v>3</v>
      </c>
      <c r="E61" s="18" t="s">
        <v>3</v>
      </c>
      <c r="F61" s="18" t="s">
        <v>3</v>
      </c>
      <c r="G61" s="18">
        <v>3</v>
      </c>
      <c r="H61" s="18">
        <v>1</v>
      </c>
      <c r="I61" s="18">
        <f t="shared" si="3"/>
        <v>3</v>
      </c>
      <c r="J61" s="18" t="s">
        <v>841</v>
      </c>
      <c r="K61" s="299"/>
    </row>
    <row r="62" spans="1:11" ht="31.5">
      <c r="A62" s="298" t="s">
        <v>926</v>
      </c>
      <c r="B62" s="18" t="s">
        <v>3</v>
      </c>
      <c r="C62" s="245" t="s">
        <v>57</v>
      </c>
      <c r="D62" s="18" t="s">
        <v>3</v>
      </c>
      <c r="E62" s="18" t="s">
        <v>3</v>
      </c>
      <c r="F62" s="18" t="s">
        <v>3</v>
      </c>
      <c r="G62" s="18">
        <v>1</v>
      </c>
      <c r="H62" s="18">
        <v>1</v>
      </c>
      <c r="I62" s="18">
        <f t="shared" si="3"/>
        <v>1</v>
      </c>
      <c r="J62" s="18" t="s">
        <v>841</v>
      </c>
      <c r="K62" s="299"/>
    </row>
    <row r="63" spans="1:11" ht="31.5">
      <c r="A63" s="298" t="s">
        <v>927</v>
      </c>
      <c r="B63" s="18" t="s">
        <v>3</v>
      </c>
      <c r="C63" s="245" t="s">
        <v>239</v>
      </c>
      <c r="D63" s="18" t="s">
        <v>3</v>
      </c>
      <c r="E63" s="18" t="s">
        <v>140</v>
      </c>
      <c r="F63" s="18" t="s">
        <v>141</v>
      </c>
      <c r="G63" s="18">
        <v>1</v>
      </c>
      <c r="H63" s="18">
        <v>1</v>
      </c>
      <c r="I63" s="18">
        <f t="shared" si="3"/>
        <v>1</v>
      </c>
      <c r="J63" s="18" t="s">
        <v>841</v>
      </c>
      <c r="K63" s="299"/>
    </row>
    <row r="64" spans="1:11" ht="47.25">
      <c r="A64" s="298" t="s">
        <v>928</v>
      </c>
      <c r="B64" s="18" t="s">
        <v>3</v>
      </c>
      <c r="C64" s="245" t="s">
        <v>142</v>
      </c>
      <c r="D64" s="18" t="s">
        <v>3</v>
      </c>
      <c r="E64" s="18" t="s">
        <v>735</v>
      </c>
      <c r="F64" s="18" t="s">
        <v>3</v>
      </c>
      <c r="G64" s="18">
        <v>1</v>
      </c>
      <c r="H64" s="18">
        <v>0.5</v>
      </c>
      <c r="I64" s="18">
        <f t="shared" si="3"/>
        <v>0.5</v>
      </c>
      <c r="J64" s="18" t="s">
        <v>841</v>
      </c>
      <c r="K64" s="299"/>
    </row>
    <row r="65" spans="1:11" ht="31.5">
      <c r="A65" s="298" t="s">
        <v>929</v>
      </c>
      <c r="B65" s="18" t="s">
        <v>3</v>
      </c>
      <c r="C65" s="245" t="s">
        <v>930</v>
      </c>
      <c r="D65" s="18" t="s">
        <v>3</v>
      </c>
      <c r="E65" s="18" t="s">
        <v>485</v>
      </c>
      <c r="F65" s="18" t="s">
        <v>3</v>
      </c>
      <c r="G65" s="18">
        <v>2</v>
      </c>
      <c r="H65" s="18">
        <v>1E-3</v>
      </c>
      <c r="I65" s="18">
        <f t="shared" si="3"/>
        <v>2E-3</v>
      </c>
      <c r="J65" s="18" t="s">
        <v>807</v>
      </c>
      <c r="K65" s="299"/>
    </row>
    <row r="66" spans="1:11" ht="31.5">
      <c r="A66" s="298" t="s">
        <v>931</v>
      </c>
      <c r="B66" s="18" t="s">
        <v>3</v>
      </c>
      <c r="C66" s="245" t="s">
        <v>157</v>
      </c>
      <c r="D66" s="18" t="s">
        <v>3</v>
      </c>
      <c r="E66" s="18" t="s">
        <v>3</v>
      </c>
      <c r="F66" s="18" t="s">
        <v>158</v>
      </c>
      <c r="G66" s="18">
        <v>1</v>
      </c>
      <c r="H66" s="18">
        <v>6.4</v>
      </c>
      <c r="I66" s="18">
        <f t="shared" si="3"/>
        <v>6.4</v>
      </c>
      <c r="J66" s="18" t="s">
        <v>807</v>
      </c>
      <c r="K66" s="299"/>
    </row>
    <row r="67" spans="1:11" ht="31.5">
      <c r="A67" s="298" t="s">
        <v>932</v>
      </c>
      <c r="B67" s="18" t="s">
        <v>3</v>
      </c>
      <c r="C67" s="245" t="s">
        <v>159</v>
      </c>
      <c r="D67" s="18" t="s">
        <v>3</v>
      </c>
      <c r="E67" s="18" t="s">
        <v>3</v>
      </c>
      <c r="F67" s="18" t="s">
        <v>160</v>
      </c>
      <c r="G67" s="18">
        <v>1</v>
      </c>
      <c r="H67" s="18">
        <v>1</v>
      </c>
      <c r="I67" s="18">
        <f t="shared" si="3"/>
        <v>1</v>
      </c>
      <c r="J67" s="18" t="s">
        <v>841</v>
      </c>
      <c r="K67" s="299"/>
    </row>
    <row r="68" spans="1:11" ht="47.25">
      <c r="A68" s="298" t="s">
        <v>933</v>
      </c>
      <c r="B68" s="18" t="s">
        <v>3</v>
      </c>
      <c r="C68" s="245" t="s">
        <v>487</v>
      </c>
      <c r="D68" s="18" t="s">
        <v>3</v>
      </c>
      <c r="E68" s="18" t="s">
        <v>3</v>
      </c>
      <c r="F68" s="18" t="s">
        <v>3</v>
      </c>
      <c r="G68" s="18">
        <v>1</v>
      </c>
      <c r="H68" s="18">
        <v>0.13</v>
      </c>
      <c r="I68" s="18">
        <f t="shared" si="3"/>
        <v>0.13</v>
      </c>
      <c r="J68" s="18" t="s">
        <v>807</v>
      </c>
      <c r="K68" s="299"/>
    </row>
    <row r="69" spans="1:11" ht="31.5">
      <c r="A69" s="298" t="s">
        <v>934</v>
      </c>
      <c r="B69" s="18" t="s">
        <v>3</v>
      </c>
      <c r="C69" s="245" t="s">
        <v>144</v>
      </c>
      <c r="D69" s="18" t="s">
        <v>3</v>
      </c>
      <c r="E69" s="18" t="s">
        <v>3</v>
      </c>
      <c r="F69" s="18" t="s">
        <v>145</v>
      </c>
      <c r="G69" s="18">
        <v>1</v>
      </c>
      <c r="H69" s="18">
        <v>0.15</v>
      </c>
      <c r="I69" s="18">
        <f t="shared" si="3"/>
        <v>0.15</v>
      </c>
      <c r="J69" s="18" t="s">
        <v>935</v>
      </c>
      <c r="K69" s="299"/>
    </row>
    <row r="70" spans="1:11" ht="31.5">
      <c r="A70" s="298" t="s">
        <v>936</v>
      </c>
      <c r="B70" s="18" t="s">
        <v>3</v>
      </c>
      <c r="C70" s="245" t="s">
        <v>937</v>
      </c>
      <c r="D70" s="18" t="s">
        <v>3</v>
      </c>
      <c r="E70" s="18" t="s">
        <v>3</v>
      </c>
      <c r="F70" s="18" t="s">
        <v>148</v>
      </c>
      <c r="G70" s="18">
        <v>1</v>
      </c>
      <c r="H70" s="18">
        <v>0.01</v>
      </c>
      <c r="I70" s="18">
        <f t="shared" si="3"/>
        <v>0.01</v>
      </c>
      <c r="J70" s="245" t="s">
        <v>938</v>
      </c>
      <c r="K70" s="299"/>
    </row>
    <row r="71" spans="1:11" ht="63">
      <c r="A71" s="298" t="s">
        <v>939</v>
      </c>
      <c r="B71" s="18" t="s">
        <v>3</v>
      </c>
      <c r="C71" s="245" t="s">
        <v>71</v>
      </c>
      <c r="D71" s="18" t="s">
        <v>3</v>
      </c>
      <c r="E71" s="18" t="s">
        <v>3</v>
      </c>
      <c r="F71" s="18" t="s">
        <v>72</v>
      </c>
      <c r="G71" s="18">
        <v>1</v>
      </c>
      <c r="H71" s="18">
        <v>0.14799999999999999</v>
      </c>
      <c r="I71" s="18">
        <f t="shared" si="3"/>
        <v>0.14799999999999999</v>
      </c>
      <c r="J71" s="245" t="s">
        <v>841</v>
      </c>
      <c r="K71" s="299"/>
    </row>
    <row r="72" spans="1:11" ht="47.25">
      <c r="A72" s="298" t="s">
        <v>940</v>
      </c>
      <c r="B72" s="18" t="s">
        <v>3</v>
      </c>
      <c r="C72" s="245" t="s">
        <v>75</v>
      </c>
      <c r="D72" s="18" t="s">
        <v>3</v>
      </c>
      <c r="E72" s="18" t="s">
        <v>3</v>
      </c>
      <c r="F72" s="18" t="s">
        <v>76</v>
      </c>
      <c r="G72" s="18">
        <v>1</v>
      </c>
      <c r="H72" s="18">
        <v>0.33</v>
      </c>
      <c r="I72" s="18">
        <f t="shared" si="3"/>
        <v>0.33</v>
      </c>
      <c r="J72" s="245" t="s">
        <v>807</v>
      </c>
      <c r="K72" s="299"/>
    </row>
    <row r="73" spans="1:11" ht="31.5">
      <c r="A73" s="298" t="s">
        <v>941</v>
      </c>
      <c r="B73" s="18" t="s">
        <v>3</v>
      </c>
      <c r="C73" s="245" t="s">
        <v>77</v>
      </c>
      <c r="D73" s="18" t="s">
        <v>3</v>
      </c>
      <c r="E73" s="18" t="s">
        <v>3</v>
      </c>
      <c r="F73" s="18" t="s">
        <v>78</v>
      </c>
      <c r="G73" s="18">
        <v>1</v>
      </c>
      <c r="H73" s="18">
        <v>0.01</v>
      </c>
      <c r="I73" s="18">
        <f t="shared" si="3"/>
        <v>0.01</v>
      </c>
      <c r="J73" s="245" t="s">
        <v>841</v>
      </c>
      <c r="K73" s="299"/>
    </row>
    <row r="74" spans="1:11" ht="31.5">
      <c r="A74" s="298" t="s">
        <v>942</v>
      </c>
      <c r="B74" s="18" t="s">
        <v>3</v>
      </c>
      <c r="C74" s="245" t="s">
        <v>81</v>
      </c>
      <c r="D74" s="18" t="s">
        <v>3</v>
      </c>
      <c r="E74" s="18" t="s">
        <v>3</v>
      </c>
      <c r="F74" s="18" t="s">
        <v>82</v>
      </c>
      <c r="G74" s="18">
        <v>1</v>
      </c>
      <c r="H74" s="18">
        <v>6.0000000000000001E-3</v>
      </c>
      <c r="I74" s="18">
        <f t="shared" si="3"/>
        <v>6.0000000000000001E-3</v>
      </c>
      <c r="J74" s="245" t="s">
        <v>807</v>
      </c>
      <c r="K74" s="299"/>
    </row>
    <row r="75" spans="1:11" ht="63">
      <c r="A75" s="298" t="s">
        <v>943</v>
      </c>
      <c r="B75" s="18" t="s">
        <v>3</v>
      </c>
      <c r="C75" s="18" t="s">
        <v>132</v>
      </c>
      <c r="D75" s="18" t="s">
        <v>3</v>
      </c>
      <c r="E75" s="18" t="s">
        <v>3</v>
      </c>
      <c r="F75" s="18" t="s">
        <v>86</v>
      </c>
      <c r="G75" s="18">
        <v>1</v>
      </c>
      <c r="H75" s="18">
        <v>5.0000000000000001E-3</v>
      </c>
      <c r="I75" s="18">
        <f t="shared" si="3"/>
        <v>5.0000000000000001E-3</v>
      </c>
      <c r="J75" s="245" t="s">
        <v>807</v>
      </c>
      <c r="K75" s="299"/>
    </row>
    <row r="76" spans="1:11" ht="63">
      <c r="A76" s="298" t="s">
        <v>944</v>
      </c>
      <c r="B76" s="18" t="s">
        <v>3</v>
      </c>
      <c r="C76" s="245" t="s">
        <v>448</v>
      </c>
      <c r="D76" s="18" t="s">
        <v>3</v>
      </c>
      <c r="E76" s="18" t="s">
        <v>3</v>
      </c>
      <c r="F76" s="18" t="s">
        <v>90</v>
      </c>
      <c r="G76" s="18">
        <v>1</v>
      </c>
      <c r="H76" s="18">
        <v>0.02</v>
      </c>
      <c r="I76" s="18">
        <f t="shared" si="3"/>
        <v>0.02</v>
      </c>
      <c r="J76" s="245" t="s">
        <v>807</v>
      </c>
      <c r="K76" s="299"/>
    </row>
    <row r="77" spans="1:11" ht="15.75">
      <c r="A77" s="298" t="s">
        <v>945</v>
      </c>
      <c r="B77" s="18" t="s">
        <v>3</v>
      </c>
      <c r="C77" s="18" t="s">
        <v>309</v>
      </c>
      <c r="D77" s="18" t="s">
        <v>3</v>
      </c>
      <c r="E77" s="18" t="s">
        <v>3</v>
      </c>
      <c r="F77" s="18" t="s">
        <v>3</v>
      </c>
      <c r="G77" s="18">
        <v>1</v>
      </c>
      <c r="H77" s="18">
        <v>2.4000000000000002E-3</v>
      </c>
      <c r="I77" s="18">
        <f t="shared" si="3"/>
        <v>2.4000000000000002E-3</v>
      </c>
      <c r="J77" s="18" t="s">
        <v>807</v>
      </c>
      <c r="K77" s="299"/>
    </row>
    <row r="78" spans="1:11" ht="31.5">
      <c r="A78" s="298" t="s">
        <v>946</v>
      </c>
      <c r="B78" s="18" t="s">
        <v>3</v>
      </c>
      <c r="C78" s="245" t="s">
        <v>947</v>
      </c>
      <c r="D78" s="18" t="s">
        <v>3</v>
      </c>
      <c r="E78" s="18" t="s">
        <v>3</v>
      </c>
      <c r="F78" s="18" t="s">
        <v>84</v>
      </c>
      <c r="G78" s="18">
        <v>1</v>
      </c>
      <c r="H78" s="18">
        <v>4.4000000000000003E-3</v>
      </c>
      <c r="I78" s="18">
        <f t="shared" si="3"/>
        <v>4.4000000000000003E-3</v>
      </c>
      <c r="J78" s="245" t="s">
        <v>841</v>
      </c>
      <c r="K78" s="299"/>
    </row>
    <row r="79" spans="1:11" ht="31.5">
      <c r="A79" s="298" t="s">
        <v>948</v>
      </c>
      <c r="B79" s="18" t="s">
        <v>3</v>
      </c>
      <c r="C79" s="245" t="s">
        <v>949</v>
      </c>
      <c r="D79" s="18" t="s">
        <v>3</v>
      </c>
      <c r="E79" s="18" t="s">
        <v>3</v>
      </c>
      <c r="F79" s="18" t="s">
        <v>84</v>
      </c>
      <c r="G79" s="18">
        <v>1</v>
      </c>
      <c r="H79" s="18">
        <v>2.8E-3</v>
      </c>
      <c r="I79" s="18">
        <f t="shared" si="3"/>
        <v>2.8E-3</v>
      </c>
      <c r="J79" s="245" t="s">
        <v>841</v>
      </c>
      <c r="K79" s="299"/>
    </row>
    <row r="80" spans="1:11" ht="63">
      <c r="A80" s="298" t="s">
        <v>950</v>
      </c>
      <c r="B80" s="18" t="s">
        <v>3</v>
      </c>
      <c r="C80" s="245" t="s">
        <v>750</v>
      </c>
      <c r="D80" s="18" t="s">
        <v>3</v>
      </c>
      <c r="E80" s="18" t="s">
        <v>3</v>
      </c>
      <c r="F80" s="18" t="s">
        <v>92</v>
      </c>
      <c r="G80" s="18">
        <v>1</v>
      </c>
      <c r="H80" s="18">
        <v>2E-3</v>
      </c>
      <c r="I80" s="18">
        <f t="shared" si="3"/>
        <v>2E-3</v>
      </c>
      <c r="J80" s="236" t="s">
        <v>106</v>
      </c>
      <c r="K80" s="299"/>
    </row>
    <row r="81" spans="1:11" ht="31.5">
      <c r="A81" s="298" t="s">
        <v>951</v>
      </c>
      <c r="B81" s="18" t="s">
        <v>3</v>
      </c>
      <c r="C81" s="245" t="s">
        <v>952</v>
      </c>
      <c r="D81" s="18" t="s">
        <v>3</v>
      </c>
      <c r="E81" s="18" t="s">
        <v>3</v>
      </c>
      <c r="F81" s="18" t="s">
        <v>92</v>
      </c>
      <c r="G81" s="18">
        <v>1</v>
      </c>
      <c r="H81" s="18">
        <v>0.13</v>
      </c>
      <c r="I81" s="18">
        <f t="shared" si="3"/>
        <v>0.13</v>
      </c>
      <c r="J81" s="236" t="s">
        <v>106</v>
      </c>
      <c r="K81" s="299"/>
    </row>
    <row r="82" spans="1:11" ht="31.5">
      <c r="A82" s="298" t="s">
        <v>953</v>
      </c>
      <c r="B82" s="18" t="s">
        <v>3</v>
      </c>
      <c r="C82" s="245" t="s">
        <v>94</v>
      </c>
      <c r="D82" s="18" t="s">
        <v>3</v>
      </c>
      <c r="E82" s="18" t="s">
        <v>3</v>
      </c>
      <c r="F82" s="18" t="s">
        <v>95</v>
      </c>
      <c r="G82" s="18">
        <v>1</v>
      </c>
      <c r="H82" s="18">
        <v>0.02</v>
      </c>
      <c r="I82" s="18">
        <f t="shared" si="3"/>
        <v>0.02</v>
      </c>
      <c r="J82" s="245" t="s">
        <v>67</v>
      </c>
      <c r="K82" s="299"/>
    </row>
    <row r="83" spans="1:11" ht="47.25">
      <c r="A83" s="298" t="s">
        <v>954</v>
      </c>
      <c r="B83" s="18" t="s">
        <v>3</v>
      </c>
      <c r="C83" s="245" t="s">
        <v>97</v>
      </c>
      <c r="D83" s="18" t="s">
        <v>3</v>
      </c>
      <c r="E83" s="18" t="s">
        <v>3</v>
      </c>
      <c r="F83" s="18" t="s">
        <v>98</v>
      </c>
      <c r="G83" s="18">
        <v>1</v>
      </c>
      <c r="H83" s="18">
        <v>4.0000000000000001E-3</v>
      </c>
      <c r="I83" s="18">
        <f t="shared" si="3"/>
        <v>4.0000000000000001E-3</v>
      </c>
      <c r="J83" s="245" t="s">
        <v>841</v>
      </c>
      <c r="K83" s="299"/>
    </row>
    <row r="84" spans="1:11" ht="31.5">
      <c r="A84" s="298" t="s">
        <v>955</v>
      </c>
      <c r="B84" s="18" t="s">
        <v>3</v>
      </c>
      <c r="C84" s="245" t="s">
        <v>99</v>
      </c>
      <c r="D84" s="18" t="s">
        <v>3</v>
      </c>
      <c r="E84" s="18" t="s">
        <v>3</v>
      </c>
      <c r="F84" s="18" t="s">
        <v>100</v>
      </c>
      <c r="G84" s="18">
        <v>1</v>
      </c>
      <c r="H84" s="18">
        <v>1E-3</v>
      </c>
      <c r="I84" s="18">
        <f t="shared" si="3"/>
        <v>1E-3</v>
      </c>
      <c r="J84" s="245" t="s">
        <v>841</v>
      </c>
      <c r="K84" s="299"/>
    </row>
    <row r="85" spans="1:11" ht="47.25">
      <c r="A85" s="298" t="s">
        <v>956</v>
      </c>
      <c r="B85" s="18" t="s">
        <v>3</v>
      </c>
      <c r="C85" s="245" t="s">
        <v>149</v>
      </c>
      <c r="D85" s="18" t="s">
        <v>3</v>
      </c>
      <c r="E85" s="18" t="s">
        <v>3</v>
      </c>
      <c r="F85" s="18" t="s">
        <v>150</v>
      </c>
      <c r="G85" s="18">
        <v>1</v>
      </c>
      <c r="H85" s="18">
        <v>1E-4</v>
      </c>
      <c r="I85" s="18">
        <f t="shared" si="3"/>
        <v>1E-4</v>
      </c>
      <c r="J85" s="245" t="s">
        <v>841</v>
      </c>
      <c r="K85" s="299"/>
    </row>
    <row r="86" spans="1:11" ht="47.25">
      <c r="A86" s="298" t="s">
        <v>957</v>
      </c>
      <c r="B86" s="18" t="s">
        <v>3</v>
      </c>
      <c r="C86" s="245" t="s">
        <v>958</v>
      </c>
      <c r="D86" s="18" t="s">
        <v>3</v>
      </c>
      <c r="E86" s="18" t="s">
        <v>3</v>
      </c>
      <c r="F86" s="18" t="s">
        <v>105</v>
      </c>
      <c r="G86" s="18">
        <v>1</v>
      </c>
      <c r="H86" s="18">
        <v>1.2999999999999999E-2</v>
      </c>
      <c r="I86" s="18">
        <f t="shared" si="3"/>
        <v>1.2999999999999999E-2</v>
      </c>
      <c r="J86" s="245" t="s">
        <v>106</v>
      </c>
      <c r="K86" s="299"/>
    </row>
    <row r="87" spans="1:11" ht="47.25">
      <c r="A87" s="298" t="s">
        <v>959</v>
      </c>
      <c r="B87" s="18" t="s">
        <v>3</v>
      </c>
      <c r="C87" s="245" t="s">
        <v>151</v>
      </c>
      <c r="D87" s="18" t="s">
        <v>3</v>
      </c>
      <c r="E87" s="18" t="s">
        <v>3</v>
      </c>
      <c r="F87" s="18" t="s">
        <v>152</v>
      </c>
      <c r="G87" s="18">
        <v>1</v>
      </c>
      <c r="H87" s="18">
        <v>3.0000000000000001E-3</v>
      </c>
      <c r="I87" s="18">
        <f t="shared" si="3"/>
        <v>3.0000000000000001E-3</v>
      </c>
      <c r="J87" s="245" t="s">
        <v>841</v>
      </c>
      <c r="K87" s="299"/>
    </row>
    <row r="88" spans="1:11" ht="15.75">
      <c r="A88" s="298" t="s">
        <v>960</v>
      </c>
      <c r="B88" s="18" t="s">
        <v>3</v>
      </c>
      <c r="C88" s="32" t="s">
        <v>737</v>
      </c>
      <c r="D88" s="18" t="s">
        <v>3</v>
      </c>
      <c r="E88" s="18" t="s">
        <v>3</v>
      </c>
      <c r="F88" s="18" t="s">
        <v>3</v>
      </c>
      <c r="G88" s="18">
        <v>1</v>
      </c>
      <c r="H88" s="18">
        <v>8.9999999999999993E-3</v>
      </c>
      <c r="I88" s="18">
        <f t="shared" si="3"/>
        <v>8.9999999999999993E-3</v>
      </c>
      <c r="J88" s="236" t="s">
        <v>841</v>
      </c>
      <c r="K88" s="299"/>
    </row>
    <row r="89" spans="1:11" ht="63">
      <c r="A89" s="298" t="s">
        <v>961</v>
      </c>
      <c r="B89" s="18" t="s">
        <v>3</v>
      </c>
      <c r="C89" s="236" t="s">
        <v>153</v>
      </c>
      <c r="D89" s="18" t="s">
        <v>3</v>
      </c>
      <c r="E89" s="18" t="s">
        <v>154</v>
      </c>
      <c r="F89" s="18" t="s">
        <v>962</v>
      </c>
      <c r="G89" s="18">
        <v>1</v>
      </c>
      <c r="H89" s="18">
        <v>1E-3</v>
      </c>
      <c r="I89" s="18">
        <f t="shared" si="3"/>
        <v>1E-3</v>
      </c>
      <c r="J89" s="236" t="s">
        <v>106</v>
      </c>
      <c r="K89" s="299"/>
    </row>
    <row r="90" spans="1:11" ht="63">
      <c r="A90" s="298" t="s">
        <v>963</v>
      </c>
      <c r="B90" s="18" t="s">
        <v>3</v>
      </c>
      <c r="C90" s="245" t="s">
        <v>964</v>
      </c>
      <c r="D90" s="18" t="s">
        <v>3</v>
      </c>
      <c r="E90" s="18" t="s">
        <v>965</v>
      </c>
      <c r="F90" s="18" t="s">
        <v>966</v>
      </c>
      <c r="G90" s="18">
        <v>1</v>
      </c>
      <c r="H90" s="18">
        <v>1.4999999999999999E-2</v>
      </c>
      <c r="I90" s="18">
        <f t="shared" si="3"/>
        <v>1.4999999999999999E-2</v>
      </c>
      <c r="J90" s="236" t="s">
        <v>106</v>
      </c>
      <c r="K90" s="299"/>
    </row>
    <row r="91" spans="1:11" ht="31.5">
      <c r="A91" s="298" t="s">
        <v>967</v>
      </c>
      <c r="B91" s="18" t="s">
        <v>3</v>
      </c>
      <c r="C91" s="245" t="s">
        <v>91</v>
      </c>
      <c r="D91" s="18" t="s">
        <v>3</v>
      </c>
      <c r="E91" s="18" t="s">
        <v>968</v>
      </c>
      <c r="F91" s="18" t="s">
        <v>3</v>
      </c>
      <c r="G91" s="18">
        <v>1</v>
      </c>
      <c r="H91" s="18">
        <v>0.03</v>
      </c>
      <c r="I91" s="18">
        <f t="shared" si="3"/>
        <v>0.03</v>
      </c>
      <c r="J91" s="236" t="s">
        <v>106</v>
      </c>
      <c r="K91" s="299"/>
    </row>
    <row r="92" spans="1:11" ht="63">
      <c r="A92" s="298" t="s">
        <v>969</v>
      </c>
      <c r="B92" s="18" t="s">
        <v>3</v>
      </c>
      <c r="C92" s="236" t="s">
        <v>308</v>
      </c>
      <c r="D92" s="18" t="s">
        <v>3</v>
      </c>
      <c r="E92" s="18" t="s">
        <v>504</v>
      </c>
      <c r="F92" s="18" t="s">
        <v>3</v>
      </c>
      <c r="G92" s="18">
        <v>1</v>
      </c>
      <c r="H92" s="18">
        <v>1.0999999999999999E-2</v>
      </c>
      <c r="I92" s="18">
        <f t="shared" si="3"/>
        <v>1.0999999999999999E-2</v>
      </c>
      <c r="J92" s="236" t="s">
        <v>935</v>
      </c>
      <c r="K92" s="299"/>
    </row>
    <row r="93" spans="1:11" ht="31.5">
      <c r="A93" s="298" t="s">
        <v>970</v>
      </c>
      <c r="B93" s="18" t="s">
        <v>3</v>
      </c>
      <c r="C93" s="236" t="s">
        <v>562</v>
      </c>
      <c r="D93" s="18" t="s">
        <v>3</v>
      </c>
      <c r="E93" s="18" t="s">
        <v>155</v>
      </c>
      <c r="F93" s="18" t="s">
        <v>156</v>
      </c>
      <c r="G93" s="18">
        <v>1</v>
      </c>
      <c r="H93" s="18">
        <v>3.0000000000000001E-3</v>
      </c>
      <c r="I93" s="18">
        <f t="shared" si="3"/>
        <v>3.0000000000000001E-3</v>
      </c>
      <c r="J93" s="236" t="s">
        <v>935</v>
      </c>
      <c r="K93" s="299"/>
    </row>
    <row r="94" spans="1:11" ht="63">
      <c r="A94" s="298" t="s">
        <v>971</v>
      </c>
      <c r="B94" s="18" t="s">
        <v>3</v>
      </c>
      <c r="C94" s="245" t="s">
        <v>87</v>
      </c>
      <c r="D94" s="18" t="s">
        <v>3</v>
      </c>
      <c r="E94" s="18" t="s">
        <v>3</v>
      </c>
      <c r="F94" s="18" t="s">
        <v>88</v>
      </c>
      <c r="G94" s="18">
        <v>1</v>
      </c>
      <c r="H94" s="18">
        <v>0.01</v>
      </c>
      <c r="I94" s="18">
        <f t="shared" si="3"/>
        <v>0.01</v>
      </c>
      <c r="J94" s="245" t="s">
        <v>807</v>
      </c>
      <c r="K94" s="299"/>
    </row>
    <row r="95" spans="1:11" ht="31.5">
      <c r="A95" s="298" t="s">
        <v>972</v>
      </c>
      <c r="B95" s="18" t="s">
        <v>3</v>
      </c>
      <c r="C95" s="245" t="s">
        <v>973</v>
      </c>
      <c r="D95" s="18" t="s">
        <v>3</v>
      </c>
      <c r="E95" s="18" t="s">
        <v>3</v>
      </c>
      <c r="F95" s="18" t="s">
        <v>3</v>
      </c>
      <c r="G95" s="18">
        <v>1</v>
      </c>
      <c r="H95" s="18">
        <v>1.4500000000000001E-2</v>
      </c>
      <c r="I95" s="18">
        <f t="shared" si="3"/>
        <v>1.4500000000000001E-2</v>
      </c>
      <c r="J95" s="245" t="s">
        <v>935</v>
      </c>
      <c r="K95" s="299"/>
    </row>
    <row r="96" spans="1:11" ht="15.75">
      <c r="A96" s="298" t="s">
        <v>974</v>
      </c>
      <c r="B96" s="18" t="s">
        <v>3</v>
      </c>
      <c r="C96" s="245" t="s">
        <v>975</v>
      </c>
      <c r="D96" s="18" t="s">
        <v>3</v>
      </c>
      <c r="E96" s="18" t="s">
        <v>545</v>
      </c>
      <c r="F96" s="18" t="s">
        <v>3</v>
      </c>
      <c r="G96" s="18">
        <v>1</v>
      </c>
      <c r="H96" s="18">
        <v>3.3000000000000002E-2</v>
      </c>
      <c r="I96" s="18">
        <f t="shared" si="3"/>
        <v>3.3000000000000002E-2</v>
      </c>
      <c r="J96" s="245" t="s">
        <v>841</v>
      </c>
      <c r="K96" s="299"/>
    </row>
    <row r="97" spans="1:11" ht="31.5">
      <c r="A97" s="298" t="s">
        <v>976</v>
      </c>
      <c r="B97" s="18" t="s">
        <v>3</v>
      </c>
      <c r="C97" s="245" t="s">
        <v>310</v>
      </c>
      <c r="D97" s="18" t="s">
        <v>3</v>
      </c>
      <c r="E97" s="18" t="s">
        <v>977</v>
      </c>
      <c r="F97" s="18" t="s">
        <v>3</v>
      </c>
      <c r="G97" s="18">
        <v>1</v>
      </c>
      <c r="H97" s="18">
        <v>2.9999999999999997E-4</v>
      </c>
      <c r="I97" s="18">
        <f t="shared" si="3"/>
        <v>2.9999999999999997E-4</v>
      </c>
      <c r="J97" s="245" t="s">
        <v>935</v>
      </c>
      <c r="K97" s="299"/>
    </row>
    <row r="98" spans="1:11" ht="31.5">
      <c r="A98" s="298" t="s">
        <v>978</v>
      </c>
      <c r="B98" s="18" t="s">
        <v>3</v>
      </c>
      <c r="C98" s="245" t="s">
        <v>315</v>
      </c>
      <c r="D98" s="18" t="s">
        <v>3</v>
      </c>
      <c r="E98" s="18" t="s">
        <v>316</v>
      </c>
      <c r="F98" s="18" t="s">
        <v>3</v>
      </c>
      <c r="G98" s="18">
        <v>1</v>
      </c>
      <c r="H98" s="18">
        <v>1.2E-2</v>
      </c>
      <c r="I98" s="18">
        <f t="shared" si="3"/>
        <v>1.2E-2</v>
      </c>
      <c r="J98" s="245" t="s">
        <v>841</v>
      </c>
      <c r="K98" s="299"/>
    </row>
    <row r="99" spans="1:11" ht="31.5">
      <c r="A99" s="298" t="s">
        <v>979</v>
      </c>
      <c r="B99" s="18" t="s">
        <v>3</v>
      </c>
      <c r="C99" s="245" t="s">
        <v>315</v>
      </c>
      <c r="D99" s="18" t="s">
        <v>3</v>
      </c>
      <c r="E99" s="18" t="s">
        <v>317</v>
      </c>
      <c r="F99" s="18" t="s">
        <v>3</v>
      </c>
      <c r="G99" s="18">
        <v>1</v>
      </c>
      <c r="H99" s="18">
        <v>1.2E-2</v>
      </c>
      <c r="I99" s="18">
        <f t="shared" si="3"/>
        <v>1.2E-2</v>
      </c>
      <c r="J99" s="245" t="s">
        <v>841</v>
      </c>
      <c r="K99" s="299"/>
    </row>
    <row r="100" spans="1:11" ht="47.25">
      <c r="A100" s="298" t="s">
        <v>980</v>
      </c>
      <c r="B100" s="18" t="s">
        <v>3</v>
      </c>
      <c r="C100" s="245" t="s">
        <v>332</v>
      </c>
      <c r="D100" s="18" t="s">
        <v>3</v>
      </c>
      <c r="E100" s="18" t="s">
        <v>336</v>
      </c>
      <c r="F100" s="18" t="s">
        <v>3</v>
      </c>
      <c r="G100" s="18">
        <v>1</v>
      </c>
      <c r="H100" s="18">
        <v>0.01</v>
      </c>
      <c r="I100" s="18">
        <f t="shared" si="3"/>
        <v>0.01</v>
      </c>
      <c r="J100" s="245" t="s">
        <v>841</v>
      </c>
      <c r="K100" s="299"/>
    </row>
    <row r="101" spans="1:11" ht="31.5">
      <c r="A101" s="298" t="s">
        <v>981</v>
      </c>
      <c r="B101" s="18" t="s">
        <v>3</v>
      </c>
      <c r="C101" s="245" t="s">
        <v>333</v>
      </c>
      <c r="D101" s="18" t="s">
        <v>3</v>
      </c>
      <c r="E101" s="18" t="s">
        <v>336</v>
      </c>
      <c r="F101" s="18" t="s">
        <v>3</v>
      </c>
      <c r="G101" s="18">
        <v>1</v>
      </c>
      <c r="H101" s="18">
        <v>0.01</v>
      </c>
      <c r="I101" s="18">
        <f t="shared" si="3"/>
        <v>0.01</v>
      </c>
      <c r="J101" s="245" t="s">
        <v>841</v>
      </c>
      <c r="K101" s="299"/>
    </row>
    <row r="102" spans="1:11" ht="31.5">
      <c r="A102" s="298" t="s">
        <v>982</v>
      </c>
      <c r="B102" s="18" t="s">
        <v>3</v>
      </c>
      <c r="C102" s="245" t="s">
        <v>328</v>
      </c>
      <c r="D102" s="18" t="s">
        <v>3</v>
      </c>
      <c r="E102" s="18" t="s">
        <v>3</v>
      </c>
      <c r="F102" s="18" t="s">
        <v>3</v>
      </c>
      <c r="G102" s="18">
        <v>1</v>
      </c>
      <c r="H102" s="18">
        <v>5.0000000000000001E-4</v>
      </c>
      <c r="I102" s="18">
        <f t="shared" si="3"/>
        <v>5.0000000000000001E-4</v>
      </c>
      <c r="J102" s="245" t="s">
        <v>841</v>
      </c>
      <c r="K102" s="299"/>
    </row>
    <row r="103" spans="1:11" ht="47.25">
      <c r="A103" s="298" t="s">
        <v>983</v>
      </c>
      <c r="B103" s="18" t="s">
        <v>3</v>
      </c>
      <c r="C103" s="245" t="s">
        <v>493</v>
      </c>
      <c r="D103" s="18" t="s">
        <v>3</v>
      </c>
      <c r="E103" s="18" t="s">
        <v>495</v>
      </c>
      <c r="F103" s="18" t="s">
        <v>3</v>
      </c>
      <c r="G103" s="18">
        <v>1</v>
      </c>
      <c r="H103" s="18">
        <v>2E-3</v>
      </c>
      <c r="I103" s="18">
        <f t="shared" si="3"/>
        <v>2E-3</v>
      </c>
      <c r="J103" s="245" t="s">
        <v>841</v>
      </c>
      <c r="K103" s="299"/>
    </row>
    <row r="104" spans="1:11" ht="31.5">
      <c r="A104" s="298" t="s">
        <v>984</v>
      </c>
      <c r="B104" s="18" t="s">
        <v>3</v>
      </c>
      <c r="C104" s="245" t="s">
        <v>329</v>
      </c>
      <c r="D104" s="18" t="s">
        <v>3</v>
      </c>
      <c r="E104" s="18" t="s">
        <v>3</v>
      </c>
      <c r="F104" s="18" t="s">
        <v>3</v>
      </c>
      <c r="G104" s="18">
        <v>1</v>
      </c>
      <c r="H104" s="18">
        <v>0.02</v>
      </c>
      <c r="I104" s="18">
        <f t="shared" si="3"/>
        <v>0.02</v>
      </c>
      <c r="J104" s="245" t="s">
        <v>67</v>
      </c>
      <c r="K104" s="299"/>
    </row>
    <row r="105" spans="1:11" ht="15.75">
      <c r="A105" s="298" t="s">
        <v>985</v>
      </c>
      <c r="B105" s="18" t="s">
        <v>3</v>
      </c>
      <c r="C105" s="245" t="s">
        <v>323</v>
      </c>
      <c r="D105" s="18" t="s">
        <v>3</v>
      </c>
      <c r="E105" s="18" t="s">
        <v>3</v>
      </c>
      <c r="F105" s="18" t="s">
        <v>3</v>
      </c>
      <c r="G105" s="18">
        <v>1</v>
      </c>
      <c r="H105" s="18">
        <v>2E-3</v>
      </c>
      <c r="I105" s="18">
        <f t="shared" si="3"/>
        <v>2E-3</v>
      </c>
      <c r="J105" s="245" t="s">
        <v>841</v>
      </c>
      <c r="K105" s="299"/>
    </row>
    <row r="106" spans="1:11" ht="48" thickBot="1">
      <c r="A106" s="298" t="s">
        <v>986</v>
      </c>
      <c r="B106" s="287" t="s">
        <v>3</v>
      </c>
      <c r="C106" s="312" t="s">
        <v>987</v>
      </c>
      <c r="D106" s="287" t="s">
        <v>3</v>
      </c>
      <c r="E106" s="287" t="s">
        <v>3</v>
      </c>
      <c r="F106" s="287" t="s">
        <v>3</v>
      </c>
      <c r="G106" s="287">
        <v>1</v>
      </c>
      <c r="H106" s="287">
        <v>0.02</v>
      </c>
      <c r="I106" s="287">
        <f t="shared" si="3"/>
        <v>0.02</v>
      </c>
      <c r="J106" s="312" t="s">
        <v>807</v>
      </c>
      <c r="K106" s="303"/>
    </row>
    <row r="107" spans="1:11" ht="15.75">
      <c r="A107" s="293"/>
      <c r="B107" s="294"/>
      <c r="C107" s="294"/>
      <c r="D107" s="294"/>
      <c r="E107" s="294"/>
      <c r="F107" s="294"/>
      <c r="G107" s="294"/>
      <c r="H107" s="294"/>
      <c r="I107" s="294"/>
      <c r="J107" s="294"/>
      <c r="K107" s="294"/>
    </row>
    <row r="108" spans="1:11" ht="47.25">
      <c r="A108" s="293"/>
      <c r="B108" s="294"/>
      <c r="C108" s="294"/>
      <c r="D108" s="294"/>
      <c r="E108" s="294"/>
      <c r="F108" s="313" t="s">
        <v>577</v>
      </c>
      <c r="G108" s="294"/>
      <c r="H108" s="653" t="s">
        <v>988</v>
      </c>
      <c r="I108" s="653"/>
      <c r="J108" s="294"/>
      <c r="K108" s="294"/>
    </row>
    <row r="109" spans="1:11" ht="31.5">
      <c r="A109" s="293"/>
      <c r="B109" s="294"/>
      <c r="C109" s="294"/>
      <c r="D109" s="294"/>
      <c r="E109" s="294"/>
      <c r="F109" s="313" t="s">
        <v>989</v>
      </c>
      <c r="G109" s="294"/>
      <c r="H109" s="653" t="s">
        <v>990</v>
      </c>
      <c r="I109" s="653"/>
      <c r="J109" s="294"/>
      <c r="K109" s="294"/>
    </row>
    <row r="110" spans="1:11" ht="15.75">
      <c r="A110" s="293"/>
      <c r="B110" s="294"/>
      <c r="C110" s="294"/>
      <c r="D110" s="294"/>
      <c r="E110" s="294"/>
      <c r="F110" s="294"/>
      <c r="G110" s="294"/>
      <c r="H110" s="294"/>
      <c r="I110" s="294"/>
      <c r="J110" s="294"/>
      <c r="K110" s="294"/>
    </row>
    <row r="111" spans="1:11" ht="15.75">
      <c r="A111" s="293"/>
      <c r="B111" s="294"/>
      <c r="C111" s="294"/>
      <c r="D111" s="294"/>
      <c r="E111" s="294"/>
      <c r="F111" s="294"/>
      <c r="G111" s="294"/>
      <c r="H111" s="294"/>
      <c r="I111" s="294"/>
      <c r="J111" s="294"/>
      <c r="K111" s="294"/>
    </row>
  </sheetData>
  <mergeCells count="25">
    <mergeCell ref="A53:K53"/>
    <mergeCell ref="H108:I108"/>
    <mergeCell ref="H109:I109"/>
    <mergeCell ref="B24:K24"/>
    <mergeCell ref="B25:K25"/>
    <mergeCell ref="B35:K35"/>
    <mergeCell ref="B40:K40"/>
    <mergeCell ref="B41:K41"/>
    <mergeCell ref="A49:K49"/>
    <mergeCell ref="B22:K22"/>
    <mergeCell ref="K2:K3"/>
    <mergeCell ref="A4:K4"/>
    <mergeCell ref="A5:A6"/>
    <mergeCell ref="B5:B6"/>
    <mergeCell ref="C5:C6"/>
    <mergeCell ref="D5:F5"/>
    <mergeCell ref="G5:G6"/>
    <mergeCell ref="H5:I5"/>
    <mergeCell ref="J5:J6"/>
    <mergeCell ref="K5:K6"/>
    <mergeCell ref="A7:K7"/>
    <mergeCell ref="B8:K8"/>
    <mergeCell ref="B9:K9"/>
    <mergeCell ref="B16:K16"/>
    <mergeCell ref="B17:K17"/>
  </mergeCells>
  <conditionalFormatting sqref="B27">
    <cfRule type="duplicateValues" dxfId="127" priority="12"/>
  </conditionalFormatting>
  <conditionalFormatting sqref="C27">
    <cfRule type="duplicateValues" dxfId="126" priority="11"/>
  </conditionalFormatting>
  <conditionalFormatting sqref="C43">
    <cfRule type="duplicateValues" dxfId="125" priority="10"/>
  </conditionalFormatting>
  <conditionalFormatting sqref="C44">
    <cfRule type="duplicateValues" dxfId="124" priority="9"/>
  </conditionalFormatting>
  <conditionalFormatting sqref="B29">
    <cfRule type="duplicateValues" dxfId="123" priority="8"/>
  </conditionalFormatting>
  <conditionalFormatting sqref="C29">
    <cfRule type="duplicateValues" dxfId="122" priority="7"/>
  </conditionalFormatting>
  <conditionalFormatting sqref="B32">
    <cfRule type="duplicateValues" dxfId="121" priority="6"/>
  </conditionalFormatting>
  <conditionalFormatting sqref="C32">
    <cfRule type="duplicateValues" dxfId="120" priority="5"/>
  </conditionalFormatting>
  <conditionalFormatting sqref="B34">
    <cfRule type="duplicateValues" dxfId="119" priority="4"/>
  </conditionalFormatting>
  <conditionalFormatting sqref="C34">
    <cfRule type="duplicateValues" dxfId="118" priority="3"/>
  </conditionalFormatting>
  <conditionalFormatting sqref="C46">
    <cfRule type="duplicateValues" dxfId="117" priority="2"/>
  </conditionalFormatting>
  <conditionalFormatting sqref="C47:C48">
    <cfRule type="duplicateValues" dxfId="116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8" sqref="Q28"/>
    </sheetView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view="pageBreakPreview" topLeftCell="A55" zoomScale="115" zoomScaleNormal="100" zoomScaleSheetLayoutView="115" workbookViewId="0">
      <selection activeCell="E12" sqref="E12"/>
    </sheetView>
  </sheetViews>
  <sheetFormatPr defaultColWidth="9.140625" defaultRowHeight="15"/>
  <cols>
    <col min="1" max="1" width="7" style="249" customWidth="1"/>
    <col min="2" max="2" width="23" style="252" customWidth="1"/>
    <col min="3" max="4" width="12" style="268" customWidth="1"/>
    <col min="5" max="5" width="12" style="249" customWidth="1"/>
    <col min="6" max="6" width="18.140625" style="267" customWidth="1"/>
    <col min="7" max="7" width="16.7109375" style="249" customWidth="1"/>
    <col min="8" max="8" width="20.140625" style="249" bestFit="1" customWidth="1"/>
    <col min="9" max="9" width="14.5703125" style="249" customWidth="1"/>
    <col min="10" max="10" width="9.140625" style="249"/>
    <col min="11" max="12" width="9.28515625" style="249" bestFit="1" customWidth="1"/>
    <col min="13" max="13" width="9.140625" style="249"/>
    <col min="14" max="14" width="9.28515625" style="249" bestFit="1" customWidth="1"/>
    <col min="15" max="16384" width="9.140625" style="249"/>
  </cols>
  <sheetData>
    <row r="1" spans="1:9" ht="26.25">
      <c r="A1" s="786" t="s">
        <v>747</v>
      </c>
      <c r="B1" s="786"/>
      <c r="C1" s="786"/>
      <c r="D1" s="786"/>
      <c r="E1" s="786"/>
      <c r="F1" s="786"/>
      <c r="G1" s="786"/>
      <c r="H1" s="786"/>
      <c r="I1" s="786"/>
    </row>
    <row r="2" spans="1:9" ht="22.5" customHeight="1">
      <c r="A2" s="787" t="s">
        <v>709</v>
      </c>
      <c r="B2" s="787"/>
      <c r="C2" s="787"/>
      <c r="D2" s="787"/>
      <c r="E2" s="787"/>
      <c r="F2" s="787"/>
      <c r="G2" s="787"/>
      <c r="H2" s="787"/>
      <c r="I2" s="787"/>
    </row>
    <row r="3" spans="1:9" s="252" customFormat="1" ht="49.5" customHeight="1">
      <c r="A3" s="250" t="s">
        <v>17</v>
      </c>
      <c r="B3" s="250" t="s">
        <v>187</v>
      </c>
      <c r="C3" s="250" t="s">
        <v>683</v>
      </c>
      <c r="D3" s="250" t="s">
        <v>253</v>
      </c>
      <c r="E3" s="250" t="s">
        <v>684</v>
      </c>
      <c r="F3" s="251" t="s">
        <v>684</v>
      </c>
      <c r="G3" s="250" t="s">
        <v>685</v>
      </c>
      <c r="H3" s="250" t="s">
        <v>686</v>
      </c>
      <c r="I3" s="250" t="s">
        <v>687</v>
      </c>
    </row>
    <row r="4" spans="1:9" ht="30">
      <c r="A4" s="250">
        <v>1</v>
      </c>
      <c r="B4" s="253" t="s">
        <v>688</v>
      </c>
      <c r="C4" s="199">
        <f>'Дефицит основной'!I67</f>
        <v>8003.997333333331</v>
      </c>
      <c r="D4" s="254">
        <v>0</v>
      </c>
      <c r="E4" s="254">
        <v>1</v>
      </c>
      <c r="F4" s="255">
        <f>H4*E4</f>
        <v>434617.05519999983</v>
      </c>
      <c r="G4" s="207" t="s">
        <v>713</v>
      </c>
      <c r="H4" s="255">
        <f>'Дефицит основной'!J67</f>
        <v>434617.05519999983</v>
      </c>
      <c r="I4" s="3" t="s">
        <v>3</v>
      </c>
    </row>
    <row r="5" spans="1:9" ht="30">
      <c r="A5" s="250">
        <f>A4+1</f>
        <v>2</v>
      </c>
      <c r="B5" s="253" t="s">
        <v>689</v>
      </c>
      <c r="C5" s="199" t="e">
        <f>'Дефицит основной'!#REF!</f>
        <v>#REF!</v>
      </c>
      <c r="D5" s="254">
        <v>0</v>
      </c>
      <c r="E5" s="254">
        <v>1</v>
      </c>
      <c r="F5" s="255" t="e">
        <f>H5*E5</f>
        <v>#REF!</v>
      </c>
      <c r="G5" s="207" t="s">
        <v>713</v>
      </c>
      <c r="H5" s="255" t="e">
        <f>'Дефицит основной'!#REF!</f>
        <v>#REF!</v>
      </c>
      <c r="I5" s="3" t="s">
        <v>3</v>
      </c>
    </row>
    <row r="6" spans="1:9" ht="30">
      <c r="A6" s="250">
        <f t="shared" ref="A6:A42" si="0">A5+1</f>
        <v>3</v>
      </c>
      <c r="B6" s="179" t="s">
        <v>690</v>
      </c>
      <c r="C6" s="199" t="e">
        <f>'Дефицит основной'!#REF!</f>
        <v>#REF!</v>
      </c>
      <c r="D6" s="254">
        <v>0</v>
      </c>
      <c r="E6" s="254">
        <v>1</v>
      </c>
      <c r="F6" s="255" t="e">
        <f>H6*E6</f>
        <v>#REF!</v>
      </c>
      <c r="G6" s="207" t="s">
        <v>713</v>
      </c>
      <c r="H6" s="255" t="e">
        <f>'Дефицит основной'!#REF!</f>
        <v>#REF!</v>
      </c>
      <c r="I6" s="3" t="s">
        <v>3</v>
      </c>
    </row>
    <row r="7" spans="1:9" ht="30">
      <c r="A7" s="250">
        <f t="shared" si="0"/>
        <v>4</v>
      </c>
      <c r="B7" s="179" t="s">
        <v>714</v>
      </c>
      <c r="C7" s="199">
        <f>'Дефицит основной'!I111</f>
        <v>111.39999999999998</v>
      </c>
      <c r="D7" s="254">
        <v>0</v>
      </c>
      <c r="E7" s="254">
        <v>1</v>
      </c>
      <c r="F7" s="255">
        <f>H7*E7</f>
        <v>17712.599999999995</v>
      </c>
      <c r="G7" s="207" t="s">
        <v>713</v>
      </c>
      <c r="H7" s="255">
        <f>'Дефицит основной'!J111</f>
        <v>17712.599999999995</v>
      </c>
      <c r="I7" s="3" t="s">
        <v>3</v>
      </c>
    </row>
    <row r="8" spans="1:9" ht="30">
      <c r="A8" s="250">
        <f t="shared" si="0"/>
        <v>5</v>
      </c>
      <c r="B8" s="179" t="s">
        <v>715</v>
      </c>
      <c r="C8" s="199">
        <f>'Дефицит основной'!I114</f>
        <v>0</v>
      </c>
      <c r="D8" s="254">
        <v>0</v>
      </c>
      <c r="E8" s="254">
        <v>1</v>
      </c>
      <c r="F8" s="255">
        <f>H8*E8</f>
        <v>0</v>
      </c>
      <c r="G8" s="207" t="s">
        <v>713</v>
      </c>
      <c r="H8" s="255">
        <f>'Дефицит основной'!J114</f>
        <v>0</v>
      </c>
      <c r="I8" s="3" t="s">
        <v>3</v>
      </c>
    </row>
    <row r="9" spans="1:9">
      <c r="A9" s="250">
        <f t="shared" si="0"/>
        <v>6</v>
      </c>
      <c r="B9" s="256" t="s">
        <v>691</v>
      </c>
      <c r="C9" s="199" t="e">
        <f>'Дефицит основной'!#REF!</f>
        <v>#REF!</v>
      </c>
      <c r="D9" s="254">
        <v>0</v>
      </c>
      <c r="E9" s="254">
        <v>1</v>
      </c>
      <c r="F9" s="255" t="e">
        <f t="shared" ref="F9:F42" si="1">H9*E9</f>
        <v>#REF!</v>
      </c>
      <c r="G9" s="207" t="s">
        <v>713</v>
      </c>
      <c r="H9" s="255" t="e">
        <f>'Дефицит основной'!#REF!</f>
        <v>#REF!</v>
      </c>
      <c r="I9" s="3" t="s">
        <v>3</v>
      </c>
    </row>
    <row r="10" spans="1:9">
      <c r="A10" s="250">
        <f t="shared" si="0"/>
        <v>7</v>
      </c>
      <c r="B10" s="256" t="s">
        <v>692</v>
      </c>
      <c r="C10" s="199" t="e">
        <f>'Дефицит основной'!#REF!</f>
        <v>#REF!</v>
      </c>
      <c r="D10" s="254">
        <v>0</v>
      </c>
      <c r="E10" s="254">
        <v>1</v>
      </c>
      <c r="F10" s="255" t="e">
        <f t="shared" si="1"/>
        <v>#REF!</v>
      </c>
      <c r="G10" s="207" t="s">
        <v>713</v>
      </c>
      <c r="H10" s="255" t="e">
        <f>'Дефицит основной'!#REF!</f>
        <v>#REF!</v>
      </c>
      <c r="I10" s="3" t="s">
        <v>3</v>
      </c>
    </row>
    <row r="11" spans="1:9">
      <c r="A11" s="250">
        <f t="shared" si="0"/>
        <v>8</v>
      </c>
      <c r="B11" s="256" t="s">
        <v>716</v>
      </c>
      <c r="C11" s="199">
        <f>'Дефицит основной'!I137</f>
        <v>0</v>
      </c>
      <c r="D11" s="254">
        <v>0</v>
      </c>
      <c r="E11" s="254">
        <v>1</v>
      </c>
      <c r="F11" s="255">
        <f t="shared" si="1"/>
        <v>0</v>
      </c>
      <c r="G11" s="207" t="s">
        <v>713</v>
      </c>
      <c r="H11" s="255">
        <f>'Дефицит основной'!J137</f>
        <v>0</v>
      </c>
      <c r="I11" s="3" t="s">
        <v>3</v>
      </c>
    </row>
    <row r="12" spans="1:9">
      <c r="A12" s="250">
        <f t="shared" si="0"/>
        <v>9</v>
      </c>
      <c r="B12" s="256" t="s">
        <v>693</v>
      </c>
      <c r="C12" s="199">
        <f>'Дефицит основной'!I149</f>
        <v>1563.4409999999998</v>
      </c>
      <c r="D12" s="254">
        <v>0</v>
      </c>
      <c r="E12" s="254">
        <v>1</v>
      </c>
      <c r="F12" s="255">
        <f t="shared" si="1"/>
        <v>99731.901389999985</v>
      </c>
      <c r="G12" s="207" t="s">
        <v>713</v>
      </c>
      <c r="H12" s="255">
        <f>'Дефицит основной'!J149</f>
        <v>99731.901389999985</v>
      </c>
      <c r="I12" s="3" t="s">
        <v>3</v>
      </c>
    </row>
    <row r="13" spans="1:9" ht="30">
      <c r="A13" s="250">
        <f t="shared" si="0"/>
        <v>10</v>
      </c>
      <c r="B13" s="257" t="s">
        <v>694</v>
      </c>
      <c r="C13" s="199">
        <f>'Дефицит основной'!I171</f>
        <v>1580.7959999999998</v>
      </c>
      <c r="D13" s="254">
        <v>0</v>
      </c>
      <c r="E13" s="254">
        <v>1</v>
      </c>
      <c r="F13" s="255">
        <f t="shared" si="1"/>
        <v>235380.52439999999</v>
      </c>
      <c r="G13" s="207" t="s">
        <v>713</v>
      </c>
      <c r="H13" s="255">
        <f>'Дефицит основной'!J171</f>
        <v>235380.52439999999</v>
      </c>
      <c r="I13" s="3" t="s">
        <v>3</v>
      </c>
    </row>
    <row r="14" spans="1:9">
      <c r="A14" s="250">
        <f t="shared" si="0"/>
        <v>11</v>
      </c>
      <c r="B14" s="163" t="s">
        <v>717</v>
      </c>
      <c r="C14" s="199">
        <f>'Дефицит основной'!I221</f>
        <v>6.6600000000000019</v>
      </c>
      <c r="D14" s="254">
        <v>0</v>
      </c>
      <c r="E14" s="254">
        <v>1</v>
      </c>
      <c r="F14" s="255">
        <f t="shared" si="1"/>
        <v>2217.7800000000007</v>
      </c>
      <c r="G14" s="207" t="s">
        <v>713</v>
      </c>
      <c r="H14" s="255">
        <f>'Дефицит основной'!J221</f>
        <v>2217.7800000000007</v>
      </c>
      <c r="I14" s="3" t="s">
        <v>3</v>
      </c>
    </row>
    <row r="15" spans="1:9" ht="30">
      <c r="A15" s="250">
        <f t="shared" si="0"/>
        <v>12</v>
      </c>
      <c r="B15" s="163" t="s">
        <v>718</v>
      </c>
      <c r="C15" s="199">
        <f>'Дефицит основной'!I218</f>
        <v>0</v>
      </c>
      <c r="D15" s="254">
        <v>0</v>
      </c>
      <c r="E15" s="254">
        <v>1</v>
      </c>
      <c r="F15" s="255">
        <f t="shared" si="1"/>
        <v>0</v>
      </c>
      <c r="G15" s="207" t="s">
        <v>713</v>
      </c>
      <c r="H15" s="255">
        <f>'Дефицит основной'!J218</f>
        <v>0</v>
      </c>
      <c r="I15" s="3" t="s">
        <v>3</v>
      </c>
    </row>
    <row r="16" spans="1:9">
      <c r="A16" s="250">
        <f t="shared" si="0"/>
        <v>13</v>
      </c>
      <c r="B16" s="163" t="s">
        <v>10</v>
      </c>
      <c r="C16" s="199">
        <f>'Дефицит основной'!I219</f>
        <v>0</v>
      </c>
      <c r="D16" s="254">
        <v>0</v>
      </c>
      <c r="E16" s="254">
        <v>1</v>
      </c>
      <c r="F16" s="255">
        <f t="shared" si="1"/>
        <v>0</v>
      </c>
      <c r="G16" s="207" t="s">
        <v>713</v>
      </c>
      <c r="H16" s="255">
        <f>'Дефицит основной'!J219</f>
        <v>0</v>
      </c>
      <c r="I16" s="3" t="s">
        <v>3</v>
      </c>
    </row>
    <row r="17" spans="1:9">
      <c r="A17" s="250">
        <f t="shared" si="0"/>
        <v>14</v>
      </c>
      <c r="B17" s="163" t="s">
        <v>682</v>
      </c>
      <c r="C17" s="199">
        <f>'Дефицит основной'!I220</f>
        <v>0</v>
      </c>
      <c r="D17" s="254">
        <v>0</v>
      </c>
      <c r="E17" s="254">
        <v>1</v>
      </c>
      <c r="F17" s="255">
        <f t="shared" si="1"/>
        <v>0</v>
      </c>
      <c r="G17" s="207" t="s">
        <v>713</v>
      </c>
      <c r="H17" s="255">
        <f>'Дефицит основной'!J220</f>
        <v>0</v>
      </c>
      <c r="I17" s="3" t="s">
        <v>3</v>
      </c>
    </row>
    <row r="18" spans="1:9" ht="30">
      <c r="A18" s="250">
        <f t="shared" si="0"/>
        <v>15</v>
      </c>
      <c r="B18" s="257" t="s">
        <v>257</v>
      </c>
      <c r="C18" s="199">
        <f>'Дефицит основной'!I194</f>
        <v>6395</v>
      </c>
      <c r="D18" s="254">
        <v>0</v>
      </c>
      <c r="E18" s="254">
        <v>1</v>
      </c>
      <c r="F18" s="255">
        <f t="shared" si="1"/>
        <v>548691</v>
      </c>
      <c r="G18" s="207" t="s">
        <v>713</v>
      </c>
      <c r="H18" s="255">
        <f>'Дефицит основной'!J194</f>
        <v>548691</v>
      </c>
      <c r="I18" s="3" t="s">
        <v>3</v>
      </c>
    </row>
    <row r="19" spans="1:9">
      <c r="A19" s="250">
        <f t="shared" si="0"/>
        <v>16</v>
      </c>
      <c r="B19" s="257" t="s">
        <v>157</v>
      </c>
      <c r="C19" s="199">
        <f>'Дефицит основной'!I196</f>
        <v>21390</v>
      </c>
      <c r="D19" s="254">
        <v>0</v>
      </c>
      <c r="E19" s="254">
        <v>0.1</v>
      </c>
      <c r="F19" s="255">
        <f t="shared" si="1"/>
        <v>659881.5</v>
      </c>
      <c r="G19" s="207" t="s">
        <v>713</v>
      </c>
      <c r="H19" s="255">
        <f>'Дефицит основной'!J196</f>
        <v>6598815</v>
      </c>
      <c r="I19" s="3" t="s">
        <v>3</v>
      </c>
    </row>
    <row r="20" spans="1:9">
      <c r="A20" s="250">
        <f t="shared" si="0"/>
        <v>17</v>
      </c>
      <c r="B20" s="176" t="s">
        <v>143</v>
      </c>
      <c r="C20" s="199" t="e">
        <f>'Дефицит основной'!#REF!</f>
        <v>#REF!</v>
      </c>
      <c r="D20" s="254">
        <v>0</v>
      </c>
      <c r="E20" s="254">
        <v>1</v>
      </c>
      <c r="F20" s="255" t="e">
        <f t="shared" si="1"/>
        <v>#REF!</v>
      </c>
      <c r="G20" s="207" t="s">
        <v>713</v>
      </c>
      <c r="H20" s="255" t="e">
        <f>'Дефицит основной'!#REF!</f>
        <v>#REF!</v>
      </c>
      <c r="I20" s="3" t="s">
        <v>3</v>
      </c>
    </row>
    <row r="21" spans="1:9">
      <c r="A21" s="250">
        <f t="shared" si="0"/>
        <v>18</v>
      </c>
      <c r="B21" s="176" t="s">
        <v>144</v>
      </c>
      <c r="C21" s="199">
        <f>'Дефицит основной'!I204</f>
        <v>904</v>
      </c>
      <c r="D21" s="254">
        <v>0</v>
      </c>
      <c r="E21" s="254">
        <v>0.5</v>
      </c>
      <c r="F21" s="255">
        <f t="shared" si="1"/>
        <v>38284.400000000001</v>
      </c>
      <c r="G21" s="207" t="s">
        <v>713</v>
      </c>
      <c r="H21" s="255">
        <f>'Дефицит основной'!J204</f>
        <v>76568.800000000003</v>
      </c>
      <c r="I21" s="3" t="s">
        <v>3</v>
      </c>
    </row>
    <row r="22" spans="1:9" ht="30">
      <c r="A22" s="250">
        <f t="shared" si="0"/>
        <v>19</v>
      </c>
      <c r="B22" s="176" t="s">
        <v>487</v>
      </c>
      <c r="C22" s="199">
        <f>'Дефицит основной'!I205</f>
        <v>826.00000000000011</v>
      </c>
      <c r="D22" s="254">
        <v>0</v>
      </c>
      <c r="E22" s="254">
        <v>1</v>
      </c>
      <c r="F22" s="255">
        <f t="shared" si="1"/>
        <v>485688.00000000006</v>
      </c>
      <c r="G22" s="207" t="s">
        <v>713</v>
      </c>
      <c r="H22" s="255">
        <f>'Дефицит основной'!J205</f>
        <v>485688.00000000006</v>
      </c>
      <c r="I22" s="3" t="s">
        <v>3</v>
      </c>
    </row>
    <row r="23" spans="1:9" ht="30">
      <c r="A23" s="250">
        <f t="shared" si="0"/>
        <v>20</v>
      </c>
      <c r="B23" s="163" t="s">
        <v>50</v>
      </c>
      <c r="C23" s="199">
        <f>'Дефицит основной'!I225</f>
        <v>1469</v>
      </c>
      <c r="D23" s="254">
        <v>0</v>
      </c>
      <c r="E23" s="254">
        <v>1</v>
      </c>
      <c r="F23" s="255">
        <f t="shared" si="1"/>
        <v>41807.74</v>
      </c>
      <c r="G23" s="207" t="s">
        <v>713</v>
      </c>
      <c r="H23" s="255">
        <f>'Дефицит основной'!J225</f>
        <v>41807.74</v>
      </c>
      <c r="I23" s="3" t="s">
        <v>3</v>
      </c>
    </row>
    <row r="24" spans="1:9" ht="30">
      <c r="A24" s="250">
        <f t="shared" si="0"/>
        <v>21</v>
      </c>
      <c r="B24" s="163" t="s">
        <v>472</v>
      </c>
      <c r="C24" s="199" t="e">
        <f>'Дефицит основной'!#REF!</f>
        <v>#REF!</v>
      </c>
      <c r="D24" s="254">
        <v>0</v>
      </c>
      <c r="E24" s="254">
        <v>1</v>
      </c>
      <c r="F24" s="255" t="e">
        <f t="shared" si="1"/>
        <v>#REF!</v>
      </c>
      <c r="G24" s="207" t="s">
        <v>713</v>
      </c>
      <c r="H24" s="255" t="e">
        <f>'Дефицит основной'!#REF!</f>
        <v>#REF!</v>
      </c>
      <c r="I24" s="3" t="s">
        <v>3</v>
      </c>
    </row>
    <row r="25" spans="1:9">
      <c r="A25" s="250">
        <f t="shared" si="0"/>
        <v>22</v>
      </c>
      <c r="B25" s="257" t="s">
        <v>176</v>
      </c>
      <c r="C25" s="199" t="e">
        <f>'Дефицит основной'!#REF!</f>
        <v>#REF!</v>
      </c>
      <c r="D25" s="254">
        <v>0</v>
      </c>
      <c r="E25" s="254">
        <v>1</v>
      </c>
      <c r="F25" s="255" t="e">
        <f t="shared" si="1"/>
        <v>#REF!</v>
      </c>
      <c r="G25" s="207" t="s">
        <v>713</v>
      </c>
      <c r="H25" s="255" t="e">
        <f>'Дефицит основной'!#REF!</f>
        <v>#REF!</v>
      </c>
      <c r="I25" s="3" t="s">
        <v>3</v>
      </c>
    </row>
    <row r="26" spans="1:9">
      <c r="A26" s="250">
        <f t="shared" si="0"/>
        <v>23</v>
      </c>
      <c r="B26" s="257" t="s">
        <v>544</v>
      </c>
      <c r="C26" s="269">
        <f>'Дефицит основной'!I317</f>
        <v>193.66666666666669</v>
      </c>
      <c r="D26" s="254">
        <v>0</v>
      </c>
      <c r="E26" s="254">
        <v>0.33</v>
      </c>
      <c r="F26" s="255">
        <f t="shared" si="1"/>
        <v>25564.000000000004</v>
      </c>
      <c r="G26" s="207" t="s">
        <v>713</v>
      </c>
      <c r="H26" s="255">
        <f>'Дефицит основной'!J317</f>
        <v>77466.666666666672</v>
      </c>
      <c r="I26" s="3" t="s">
        <v>3</v>
      </c>
    </row>
    <row r="27" spans="1:9" ht="30">
      <c r="A27" s="250">
        <f t="shared" si="0"/>
        <v>24</v>
      </c>
      <c r="B27" s="257" t="s">
        <v>695</v>
      </c>
      <c r="C27" s="199" t="e">
        <f>'Дефицит основной'!#REF!</f>
        <v>#REF!</v>
      </c>
      <c r="D27" s="254">
        <v>0</v>
      </c>
      <c r="E27" s="254">
        <v>1</v>
      </c>
      <c r="F27" s="255" t="e">
        <f t="shared" si="1"/>
        <v>#REF!</v>
      </c>
      <c r="G27" s="207" t="s">
        <v>720</v>
      </c>
      <c r="H27" s="255" t="e">
        <f>'Дефицит основной'!#REF!</f>
        <v>#REF!</v>
      </c>
      <c r="I27" s="3" t="s">
        <v>3</v>
      </c>
    </row>
    <row r="28" spans="1:9" ht="30">
      <c r="A28" s="250">
        <f t="shared" si="0"/>
        <v>25</v>
      </c>
      <c r="B28" s="257" t="s">
        <v>696</v>
      </c>
      <c r="C28" s="199">
        <f>'Дефицит основной'!I209</f>
        <v>12216</v>
      </c>
      <c r="D28" s="254">
        <v>0</v>
      </c>
      <c r="E28" s="254">
        <v>1</v>
      </c>
      <c r="F28" s="255">
        <f t="shared" si="1"/>
        <v>21988.799999999999</v>
      </c>
      <c r="G28" s="207" t="s">
        <v>720</v>
      </c>
      <c r="H28" s="255">
        <f>'Дефицит основной'!J209</f>
        <v>21988.799999999999</v>
      </c>
      <c r="I28" s="3" t="s">
        <v>3</v>
      </c>
    </row>
    <row r="29" spans="1:9">
      <c r="A29" s="250">
        <f t="shared" si="0"/>
        <v>26</v>
      </c>
      <c r="B29" s="257" t="s">
        <v>239</v>
      </c>
      <c r="C29" s="199">
        <f>'Дефицит основной'!I229</f>
        <v>2300</v>
      </c>
      <c r="D29" s="254">
        <v>0</v>
      </c>
      <c r="E29" s="254">
        <v>1</v>
      </c>
      <c r="F29" s="255">
        <f t="shared" si="1"/>
        <v>52601</v>
      </c>
      <c r="G29" s="207" t="s">
        <v>720</v>
      </c>
      <c r="H29" s="255">
        <f>'Дефицит основной'!J229</f>
        <v>52601</v>
      </c>
      <c r="I29" s="3" t="s">
        <v>3</v>
      </c>
    </row>
    <row r="30" spans="1:9">
      <c r="A30" s="250">
        <f t="shared" si="0"/>
        <v>27</v>
      </c>
      <c r="B30" s="257" t="s">
        <v>243</v>
      </c>
      <c r="C30" s="199">
        <f>'Дефицит основной'!I240</f>
        <v>300</v>
      </c>
      <c r="D30" s="254">
        <v>0</v>
      </c>
      <c r="E30" s="254">
        <v>1</v>
      </c>
      <c r="F30" s="255">
        <f t="shared" si="1"/>
        <v>1830</v>
      </c>
      <c r="G30" s="207" t="s">
        <v>720</v>
      </c>
      <c r="H30" s="255">
        <f>'Дефицит основной'!J240</f>
        <v>1830</v>
      </c>
      <c r="I30" s="3" t="s">
        <v>3</v>
      </c>
    </row>
    <row r="31" spans="1:9">
      <c r="A31" s="250">
        <f t="shared" si="0"/>
        <v>28</v>
      </c>
      <c r="B31" s="262" t="s">
        <v>245</v>
      </c>
      <c r="C31" s="199">
        <f>'Дефицит основной'!I230</f>
        <v>5.9</v>
      </c>
      <c r="D31" s="254">
        <v>0</v>
      </c>
      <c r="E31" s="254">
        <v>1</v>
      </c>
      <c r="F31" s="255">
        <f t="shared" si="1"/>
        <v>2950</v>
      </c>
      <c r="G31" s="207" t="s">
        <v>720</v>
      </c>
      <c r="H31" s="255">
        <f>'Дефицит основной'!J230</f>
        <v>2950</v>
      </c>
      <c r="I31" s="3" t="s">
        <v>3</v>
      </c>
    </row>
    <row r="32" spans="1:9">
      <c r="A32" s="250">
        <f t="shared" si="0"/>
        <v>29</v>
      </c>
      <c r="B32" s="179" t="s">
        <v>697</v>
      </c>
      <c r="C32" s="3" t="s">
        <v>3</v>
      </c>
      <c r="D32" s="254">
        <v>0</v>
      </c>
      <c r="E32" s="254">
        <v>0.4</v>
      </c>
      <c r="F32" s="255">
        <f t="shared" si="1"/>
        <v>39163.599999999999</v>
      </c>
      <c r="G32" s="207" t="s">
        <v>720</v>
      </c>
      <c r="H32" s="255">
        <f>'Дефицит основной'!J371</f>
        <v>97909</v>
      </c>
      <c r="I32" s="3" t="s">
        <v>3</v>
      </c>
    </row>
    <row r="33" spans="1:9" ht="30">
      <c r="A33" s="250">
        <f t="shared" si="0"/>
        <v>30</v>
      </c>
      <c r="B33" s="178" t="s">
        <v>719</v>
      </c>
      <c r="C33" s="199">
        <f>'Дефицит основной'!I294</f>
        <v>1300</v>
      </c>
      <c r="D33" s="254">
        <v>0</v>
      </c>
      <c r="E33" s="254">
        <v>1</v>
      </c>
      <c r="F33" s="255">
        <f t="shared" si="1"/>
        <v>179400</v>
      </c>
      <c r="G33" s="207" t="s">
        <v>720</v>
      </c>
      <c r="H33" s="255">
        <f>'Дефицит основной'!J294</f>
        <v>179400</v>
      </c>
      <c r="I33" s="3" t="s">
        <v>3</v>
      </c>
    </row>
    <row r="34" spans="1:9">
      <c r="A34" s="250">
        <f t="shared" si="0"/>
        <v>31</v>
      </c>
      <c r="B34" s="181" t="s">
        <v>677</v>
      </c>
      <c r="C34" s="199">
        <f>'Дефицит основной'!I296</f>
        <v>0</v>
      </c>
      <c r="D34" s="254">
        <v>0</v>
      </c>
      <c r="E34" s="254">
        <v>1</v>
      </c>
      <c r="F34" s="255">
        <f t="shared" si="1"/>
        <v>0</v>
      </c>
      <c r="G34" s="207" t="s">
        <v>720</v>
      </c>
      <c r="H34" s="255">
        <f>'Дефицит основной'!J296</f>
        <v>0</v>
      </c>
      <c r="I34" s="3" t="s">
        <v>3</v>
      </c>
    </row>
    <row r="35" spans="1:9">
      <c r="A35" s="250">
        <f t="shared" si="0"/>
        <v>32</v>
      </c>
      <c r="B35" s="181" t="s">
        <v>488</v>
      </c>
      <c r="C35" s="199">
        <f>'Дефицит основной'!I297</f>
        <v>2904</v>
      </c>
      <c r="D35" s="254">
        <v>0</v>
      </c>
      <c r="E35" s="254">
        <v>1</v>
      </c>
      <c r="F35" s="255">
        <f t="shared" si="1"/>
        <v>641784</v>
      </c>
      <c r="G35" s="207" t="s">
        <v>720</v>
      </c>
      <c r="H35" s="255">
        <f>'Дефицит основной'!J297</f>
        <v>641784</v>
      </c>
      <c r="I35" s="3" t="s">
        <v>3</v>
      </c>
    </row>
    <row r="36" spans="1:9">
      <c r="A36" s="250">
        <f t="shared" si="0"/>
        <v>33</v>
      </c>
      <c r="B36" s="181" t="s">
        <v>169</v>
      </c>
      <c r="C36" s="73">
        <f>'Дефицит основной'!I299</f>
        <v>0</v>
      </c>
      <c r="D36" s="254">
        <v>0</v>
      </c>
      <c r="E36" s="254">
        <v>1</v>
      </c>
      <c r="F36" s="255">
        <f t="shared" si="1"/>
        <v>0</v>
      </c>
      <c r="G36" s="207" t="s">
        <v>720</v>
      </c>
      <c r="H36" s="255">
        <f>'Дефицит основной'!J299</f>
        <v>0</v>
      </c>
      <c r="I36" s="3" t="s">
        <v>3</v>
      </c>
    </row>
    <row r="37" spans="1:9">
      <c r="A37" s="250">
        <f t="shared" si="0"/>
        <v>34</v>
      </c>
      <c r="B37" s="181" t="s">
        <v>170</v>
      </c>
      <c r="C37" s="73">
        <f>'Дефицит основной'!I300</f>
        <v>14084</v>
      </c>
      <c r="D37" s="254">
        <v>0</v>
      </c>
      <c r="E37" s="254">
        <v>1</v>
      </c>
      <c r="F37" s="255">
        <f t="shared" si="1"/>
        <v>246470</v>
      </c>
      <c r="G37" s="207" t="s">
        <v>720</v>
      </c>
      <c r="H37" s="255">
        <f>'Дефицит основной'!J300</f>
        <v>246470</v>
      </c>
      <c r="I37" s="3" t="s">
        <v>3</v>
      </c>
    </row>
    <row r="38" spans="1:9">
      <c r="A38" s="250">
        <f t="shared" si="0"/>
        <v>35</v>
      </c>
      <c r="B38" s="181" t="s">
        <v>171</v>
      </c>
      <c r="C38" s="73">
        <f>'Дефицит основной'!I309</f>
        <v>0</v>
      </c>
      <c r="D38" s="254">
        <v>0</v>
      </c>
      <c r="E38" s="254">
        <v>1</v>
      </c>
      <c r="F38" s="255">
        <f t="shared" si="1"/>
        <v>0</v>
      </c>
      <c r="G38" s="207" t="s">
        <v>720</v>
      </c>
      <c r="H38" s="255">
        <f>'Дефицит основной'!J309</f>
        <v>0</v>
      </c>
      <c r="I38" s="3" t="s">
        <v>3</v>
      </c>
    </row>
    <row r="39" spans="1:9" ht="45">
      <c r="A39" s="250">
        <f t="shared" si="0"/>
        <v>36</v>
      </c>
      <c r="B39" s="257" t="s">
        <v>698</v>
      </c>
      <c r="C39" s="199">
        <f>'Дефицит основной'!I374</f>
        <v>0</v>
      </c>
      <c r="D39" s="254">
        <v>0</v>
      </c>
      <c r="E39" s="254">
        <v>1</v>
      </c>
      <c r="F39" s="255">
        <f t="shared" si="1"/>
        <v>0</v>
      </c>
      <c r="G39" s="207" t="s">
        <v>720</v>
      </c>
      <c r="H39" s="255">
        <f>'Дефицит основной'!J374</f>
        <v>0</v>
      </c>
      <c r="I39" s="3" t="s">
        <v>3</v>
      </c>
    </row>
    <row r="40" spans="1:9">
      <c r="A40" s="250">
        <f t="shared" si="0"/>
        <v>37</v>
      </c>
      <c r="B40" s="163" t="s">
        <v>312</v>
      </c>
      <c r="C40" s="199">
        <f>'Дефицит основной'!I381</f>
        <v>31.28</v>
      </c>
      <c r="D40" s="254">
        <v>0</v>
      </c>
      <c r="E40" s="254">
        <v>1</v>
      </c>
      <c r="F40" s="255">
        <f t="shared" si="1"/>
        <v>12386.880000000001</v>
      </c>
      <c r="G40" s="207" t="s">
        <v>720</v>
      </c>
      <c r="H40" s="255">
        <f>'Дефицит основной'!J381</f>
        <v>12386.880000000001</v>
      </c>
      <c r="I40" s="3" t="s">
        <v>3</v>
      </c>
    </row>
    <row r="41" spans="1:9" ht="30">
      <c r="A41" s="250">
        <f t="shared" si="0"/>
        <v>38</v>
      </c>
      <c r="B41" s="257" t="s">
        <v>699</v>
      </c>
      <c r="C41" s="269">
        <f>'Дефицит основной'!I383</f>
        <v>152.922</v>
      </c>
      <c r="D41" s="254">
        <v>0</v>
      </c>
      <c r="E41" s="254">
        <v>0.5</v>
      </c>
      <c r="F41" s="255">
        <f t="shared" si="1"/>
        <v>34407.449999999997</v>
      </c>
      <c r="G41" s="207" t="s">
        <v>720</v>
      </c>
      <c r="H41" s="255">
        <f>'Дефицит основной'!J383</f>
        <v>68814.899999999994</v>
      </c>
      <c r="I41" s="3" t="s">
        <v>3</v>
      </c>
    </row>
    <row r="42" spans="1:9">
      <c r="A42" s="250">
        <f t="shared" si="0"/>
        <v>39</v>
      </c>
      <c r="B42" s="263" t="s">
        <v>491</v>
      </c>
      <c r="C42" s="269">
        <f>'Дефицит основной'!I388</f>
        <v>21.033200000000001</v>
      </c>
      <c r="D42" s="254">
        <v>0</v>
      </c>
      <c r="E42" s="254">
        <v>0.5</v>
      </c>
      <c r="F42" s="255">
        <f t="shared" si="1"/>
        <v>41530.053400000004</v>
      </c>
      <c r="G42" s="207" t="s">
        <v>720</v>
      </c>
      <c r="H42" s="255">
        <f>'Дефицит основной'!J388</f>
        <v>83060.106800000009</v>
      </c>
      <c r="I42" s="3" t="s">
        <v>3</v>
      </c>
    </row>
    <row r="43" spans="1:9" ht="18.75">
      <c r="A43" s="252"/>
      <c r="B43" s="249"/>
      <c r="C43" s="264"/>
      <c r="D43" s="264"/>
      <c r="E43" s="788" t="s">
        <v>371</v>
      </c>
      <c r="F43" s="788"/>
      <c r="H43" s="265" t="e">
        <f>SUM(F4:F42)</f>
        <v>#REF!</v>
      </c>
    </row>
    <row r="44" spans="1:9" ht="20.25">
      <c r="A44" s="789" t="s">
        <v>710</v>
      </c>
      <c r="B44" s="789"/>
      <c r="C44" s="789"/>
      <c r="D44" s="789"/>
      <c r="E44" s="789"/>
      <c r="F44" s="789"/>
      <c r="G44" s="789"/>
      <c r="H44" s="789"/>
      <c r="I44" s="789"/>
    </row>
    <row r="45" spans="1:9" ht="54.75" customHeight="1">
      <c r="A45" s="250" t="s">
        <v>17</v>
      </c>
      <c r="B45" s="250" t="s">
        <v>187</v>
      </c>
      <c r="C45" s="250" t="s">
        <v>683</v>
      </c>
      <c r="D45" s="250" t="s">
        <v>253</v>
      </c>
      <c r="E45" s="250" t="s">
        <v>684</v>
      </c>
      <c r="F45" s="251" t="s">
        <v>684</v>
      </c>
      <c r="G45" s="250" t="s">
        <v>685</v>
      </c>
      <c r="H45" s="250" t="s">
        <v>686</v>
      </c>
      <c r="I45" s="250" t="s">
        <v>687</v>
      </c>
    </row>
    <row r="46" spans="1:9">
      <c r="A46" s="250">
        <v>1</v>
      </c>
      <c r="B46" s="176" t="s">
        <v>144</v>
      </c>
      <c r="C46" s="199">
        <f>C21</f>
        <v>904</v>
      </c>
      <c r="D46" s="254">
        <v>0.5</v>
      </c>
      <c r="E46" s="254">
        <v>0.5</v>
      </c>
      <c r="F46" s="255">
        <f t="shared" ref="F46:F63" si="2">H46*E46</f>
        <v>38284.400000000001</v>
      </c>
      <c r="G46" s="207" t="s">
        <v>721</v>
      </c>
      <c r="H46" s="255">
        <f>H21</f>
        <v>76568.800000000003</v>
      </c>
      <c r="I46" s="3" t="s">
        <v>3</v>
      </c>
    </row>
    <row r="47" spans="1:9">
      <c r="A47" s="250">
        <f>A46+1</f>
        <v>2</v>
      </c>
      <c r="B47" s="179" t="s">
        <v>157</v>
      </c>
      <c r="C47" s="258">
        <v>20000</v>
      </c>
      <c r="D47" s="259">
        <v>0.1</v>
      </c>
      <c r="E47" s="254">
        <v>0.9</v>
      </c>
      <c r="F47" s="260">
        <f t="shared" si="2"/>
        <v>5938933.5</v>
      </c>
      <c r="G47" s="207" t="s">
        <v>721</v>
      </c>
      <c r="H47" s="261">
        <f>'Дефицит основной'!J196</f>
        <v>6598815</v>
      </c>
      <c r="I47" s="3" t="s">
        <v>3</v>
      </c>
    </row>
    <row r="48" spans="1:9">
      <c r="A48" s="250">
        <f t="shared" ref="A48:A70" si="3">A47+1</f>
        <v>3</v>
      </c>
      <c r="B48" s="257" t="s">
        <v>180</v>
      </c>
      <c r="C48" s="270">
        <f>'Дефицит основной'!I396</f>
        <v>765.04000000000008</v>
      </c>
      <c r="D48" s="259">
        <v>0</v>
      </c>
      <c r="E48" s="254">
        <v>0.5</v>
      </c>
      <c r="F48" s="260">
        <f t="shared" si="2"/>
        <v>5232.8736000000008</v>
      </c>
      <c r="G48" s="207" t="s">
        <v>721</v>
      </c>
      <c r="H48" s="261">
        <f>'Дефицит основной'!J396</f>
        <v>10465.747200000002</v>
      </c>
      <c r="I48" s="3" t="s">
        <v>3</v>
      </c>
    </row>
    <row r="49" spans="1:9">
      <c r="A49" s="250">
        <f t="shared" si="3"/>
        <v>4</v>
      </c>
      <c r="B49" s="257" t="s">
        <v>104</v>
      </c>
      <c r="C49" s="270" t="e">
        <f>'Дефицит основной'!#REF!</f>
        <v>#REF!</v>
      </c>
      <c r="D49" s="259">
        <v>0</v>
      </c>
      <c r="E49" s="254">
        <v>0.5</v>
      </c>
      <c r="F49" s="260" t="e">
        <f t="shared" si="2"/>
        <v>#REF!</v>
      </c>
      <c r="G49" s="207" t="s">
        <v>721</v>
      </c>
      <c r="H49" s="261" t="e">
        <f>'Дефицит основной'!#REF!</f>
        <v>#REF!</v>
      </c>
      <c r="I49" s="3" t="s">
        <v>3</v>
      </c>
    </row>
    <row r="50" spans="1:9">
      <c r="A50" s="250">
        <f t="shared" si="3"/>
        <v>5</v>
      </c>
      <c r="B50" s="257" t="s">
        <v>321</v>
      </c>
      <c r="C50" s="270">
        <f>'Дефицит основной'!I397</f>
        <v>98.838999999999984</v>
      </c>
      <c r="D50" s="259">
        <v>0</v>
      </c>
      <c r="E50" s="254">
        <v>0.5</v>
      </c>
      <c r="F50" s="260">
        <f t="shared" si="2"/>
        <v>2234.2555949999996</v>
      </c>
      <c r="G50" s="207" t="s">
        <v>721</v>
      </c>
      <c r="H50" s="261">
        <f>'Дефицит основной'!J397</f>
        <v>4468.5111899999993</v>
      </c>
      <c r="I50" s="3" t="s">
        <v>3</v>
      </c>
    </row>
    <row r="51" spans="1:9">
      <c r="A51" s="250">
        <f t="shared" si="3"/>
        <v>6</v>
      </c>
      <c r="B51" s="257" t="s">
        <v>322</v>
      </c>
      <c r="C51" s="270">
        <f>'Дефицит основной'!I398</f>
        <v>0.90300000000000047</v>
      </c>
      <c r="D51" s="259">
        <v>0</v>
      </c>
      <c r="E51" s="254">
        <v>0.5</v>
      </c>
      <c r="F51" s="260">
        <f t="shared" si="2"/>
        <v>203.1750000000001</v>
      </c>
      <c r="G51" s="207" t="s">
        <v>721</v>
      </c>
      <c r="H51" s="261">
        <f>'Дефицит основной'!J398</f>
        <v>406.35000000000019</v>
      </c>
      <c r="I51" s="3" t="s">
        <v>3</v>
      </c>
    </row>
    <row r="52" spans="1:9">
      <c r="A52" s="250">
        <f t="shared" si="3"/>
        <v>7</v>
      </c>
      <c r="B52" s="257" t="s">
        <v>323</v>
      </c>
      <c r="C52" s="270">
        <f>'Дефицит основной'!I401</f>
        <v>0</v>
      </c>
      <c r="D52" s="259">
        <v>0</v>
      </c>
      <c r="E52" s="254">
        <v>0.5</v>
      </c>
      <c r="F52" s="260">
        <f t="shared" si="2"/>
        <v>0</v>
      </c>
      <c r="G52" s="207" t="s">
        <v>721</v>
      </c>
      <c r="H52" s="261">
        <f>'Дефицит основной'!J401</f>
        <v>0</v>
      </c>
      <c r="I52" s="3" t="s">
        <v>3</v>
      </c>
    </row>
    <row r="53" spans="1:9">
      <c r="A53" s="250">
        <f t="shared" si="3"/>
        <v>8</v>
      </c>
      <c r="B53" s="257" t="s">
        <v>337</v>
      </c>
      <c r="C53" s="270">
        <f>'Дефицит основной'!I403</f>
        <v>63.08</v>
      </c>
      <c r="D53" s="259">
        <v>0</v>
      </c>
      <c r="E53" s="254">
        <v>1</v>
      </c>
      <c r="F53" s="260">
        <f t="shared" si="2"/>
        <v>1450.84</v>
      </c>
      <c r="G53" s="207" t="s">
        <v>721</v>
      </c>
      <c r="H53" s="261">
        <f>'Дефицит основной'!J403</f>
        <v>1450.84</v>
      </c>
      <c r="I53" s="3" t="s">
        <v>3</v>
      </c>
    </row>
    <row r="54" spans="1:9">
      <c r="A54" s="250">
        <f t="shared" si="3"/>
        <v>9</v>
      </c>
      <c r="B54" s="257" t="s">
        <v>325</v>
      </c>
      <c r="C54" s="270">
        <f>'Дефицит основной'!I404</f>
        <v>2.2903000000000002</v>
      </c>
      <c r="D54" s="259">
        <v>0</v>
      </c>
      <c r="E54" s="254">
        <v>1</v>
      </c>
      <c r="F54" s="260">
        <f t="shared" si="2"/>
        <v>0</v>
      </c>
      <c r="G54" s="207" t="s">
        <v>721</v>
      </c>
      <c r="H54" s="261">
        <f>'Дефицит основной'!J404</f>
        <v>0</v>
      </c>
      <c r="I54" s="3" t="s">
        <v>3</v>
      </c>
    </row>
    <row r="55" spans="1:9" ht="30">
      <c r="A55" s="250">
        <f t="shared" si="3"/>
        <v>10</v>
      </c>
      <c r="B55" s="257" t="s">
        <v>332</v>
      </c>
      <c r="C55" s="270">
        <f>'Дефицит основной'!I405</f>
        <v>0</v>
      </c>
      <c r="D55" s="259">
        <v>0</v>
      </c>
      <c r="E55" s="259">
        <v>1</v>
      </c>
      <c r="F55" s="260">
        <f t="shared" si="2"/>
        <v>0</v>
      </c>
      <c r="G55" s="207" t="s">
        <v>721</v>
      </c>
      <c r="H55" s="261">
        <f>'Дефицит основной'!J405</f>
        <v>0</v>
      </c>
      <c r="I55" s="3" t="s">
        <v>3</v>
      </c>
    </row>
    <row r="56" spans="1:9">
      <c r="A56" s="250">
        <f t="shared" si="3"/>
        <v>11</v>
      </c>
      <c r="B56" s="257" t="s">
        <v>333</v>
      </c>
      <c r="C56" s="270">
        <f>'Дефицит основной'!I406</f>
        <v>26.53</v>
      </c>
      <c r="D56" s="259">
        <v>0</v>
      </c>
      <c r="E56" s="254">
        <v>1</v>
      </c>
      <c r="F56" s="260">
        <f t="shared" si="2"/>
        <v>583.66000000000008</v>
      </c>
      <c r="G56" s="207" t="s">
        <v>721</v>
      </c>
      <c r="H56" s="261">
        <f>'Дефицит основной'!J406</f>
        <v>583.66000000000008</v>
      </c>
      <c r="I56" s="3" t="s">
        <v>3</v>
      </c>
    </row>
    <row r="57" spans="1:9">
      <c r="A57" s="250">
        <f t="shared" si="3"/>
        <v>12</v>
      </c>
      <c r="B57" s="257" t="s">
        <v>327</v>
      </c>
      <c r="C57" s="270">
        <f>'Дефицит основной'!I409</f>
        <v>3.5265</v>
      </c>
      <c r="D57" s="259">
        <v>0</v>
      </c>
      <c r="E57" s="254">
        <v>1</v>
      </c>
      <c r="F57" s="260">
        <f t="shared" si="2"/>
        <v>0</v>
      </c>
      <c r="G57" s="207" t="s">
        <v>721</v>
      </c>
      <c r="H57" s="261">
        <f>'Дефицит основной'!J409</f>
        <v>0</v>
      </c>
      <c r="I57" s="3" t="s">
        <v>3</v>
      </c>
    </row>
    <row r="58" spans="1:9">
      <c r="A58" s="250">
        <f t="shared" si="3"/>
        <v>13</v>
      </c>
      <c r="B58" s="257" t="s">
        <v>328</v>
      </c>
      <c r="C58" s="270">
        <f>'Дефицит основной'!I410</f>
        <v>0</v>
      </c>
      <c r="D58" s="259">
        <v>0</v>
      </c>
      <c r="E58" s="254">
        <v>1</v>
      </c>
      <c r="F58" s="260">
        <f t="shared" si="2"/>
        <v>0</v>
      </c>
      <c r="G58" s="207" t="s">
        <v>721</v>
      </c>
      <c r="H58" s="261">
        <f>'Дефицит основной'!J410</f>
        <v>0</v>
      </c>
      <c r="I58" s="3" t="s">
        <v>3</v>
      </c>
    </row>
    <row r="59" spans="1:9">
      <c r="A59" s="250">
        <f t="shared" si="3"/>
        <v>14</v>
      </c>
      <c r="B59" s="257" t="s">
        <v>94</v>
      </c>
      <c r="C59" s="270">
        <f>'Дефицит основной'!I411</f>
        <v>126.16</v>
      </c>
      <c r="D59" s="259">
        <v>0</v>
      </c>
      <c r="E59" s="254">
        <v>0.5</v>
      </c>
      <c r="F59" s="260">
        <f t="shared" si="2"/>
        <v>1816.704</v>
      </c>
      <c r="G59" s="207" t="s">
        <v>721</v>
      </c>
      <c r="H59" s="261">
        <f>'Дефицит основной'!J411</f>
        <v>3633.4079999999999</v>
      </c>
      <c r="I59" s="3" t="s">
        <v>3</v>
      </c>
    </row>
    <row r="60" spans="1:9">
      <c r="A60" s="250">
        <f t="shared" si="3"/>
        <v>15</v>
      </c>
      <c r="B60" s="257" t="s">
        <v>329</v>
      </c>
      <c r="C60" s="270">
        <f>'Дефицит основной'!I412</f>
        <v>36.159999999999997</v>
      </c>
      <c r="D60" s="259">
        <v>0</v>
      </c>
      <c r="E60" s="254">
        <v>0.5</v>
      </c>
      <c r="F60" s="260">
        <f t="shared" si="2"/>
        <v>470.07999999999993</v>
      </c>
      <c r="G60" s="207" t="s">
        <v>721</v>
      </c>
      <c r="H60" s="261">
        <f>'Дефицит основной'!J412</f>
        <v>940.15999999999985</v>
      </c>
      <c r="I60" s="3" t="s">
        <v>3</v>
      </c>
    </row>
    <row r="61" spans="1:9">
      <c r="A61" s="250">
        <f t="shared" si="3"/>
        <v>16</v>
      </c>
      <c r="B61" s="178" t="s">
        <v>481</v>
      </c>
      <c r="C61" s="199" t="e">
        <f>'Дефицит основной'!#REF!</f>
        <v>#REF!</v>
      </c>
      <c r="D61" s="259">
        <v>0</v>
      </c>
      <c r="E61" s="254">
        <v>1</v>
      </c>
      <c r="F61" s="255" t="e">
        <f t="shared" si="2"/>
        <v>#REF!</v>
      </c>
      <c r="G61" s="207" t="s">
        <v>721</v>
      </c>
      <c r="H61" s="255" t="e">
        <f>'Дефицит основной'!#REF!</f>
        <v>#REF!</v>
      </c>
      <c r="I61" s="3" t="s">
        <v>3</v>
      </c>
    </row>
    <row r="62" spans="1:9" ht="30">
      <c r="A62" s="250">
        <f t="shared" si="3"/>
        <v>17</v>
      </c>
      <c r="B62" s="178" t="s">
        <v>274</v>
      </c>
      <c r="C62" s="269">
        <f>'Дефицит основной'!I315</f>
        <v>0</v>
      </c>
      <c r="D62" s="259">
        <v>0</v>
      </c>
      <c r="E62" s="254">
        <v>1</v>
      </c>
      <c r="F62" s="255">
        <f t="shared" si="2"/>
        <v>0</v>
      </c>
      <c r="G62" s="207" t="s">
        <v>721</v>
      </c>
      <c r="H62" s="255">
        <f>'Дефицит основной'!J315</f>
        <v>0</v>
      </c>
      <c r="I62" s="3" t="s">
        <v>3</v>
      </c>
    </row>
    <row r="63" spans="1:9">
      <c r="A63" s="250">
        <f t="shared" si="3"/>
        <v>18</v>
      </c>
      <c r="B63" s="257" t="s">
        <v>544</v>
      </c>
      <c r="C63" s="269">
        <f>C26</f>
        <v>193.66666666666669</v>
      </c>
      <c r="D63" s="259">
        <v>0.33</v>
      </c>
      <c r="E63" s="254">
        <v>0.33</v>
      </c>
      <c r="F63" s="255">
        <f t="shared" si="2"/>
        <v>25564.000000000004</v>
      </c>
      <c r="G63" s="207" t="s">
        <v>721</v>
      </c>
      <c r="H63" s="255">
        <f>H26</f>
        <v>77466.666666666672</v>
      </c>
      <c r="I63" s="3" t="s">
        <v>3</v>
      </c>
    </row>
    <row r="64" spans="1:9">
      <c r="A64" s="250">
        <f t="shared" si="3"/>
        <v>19</v>
      </c>
      <c r="B64" s="179" t="s">
        <v>697</v>
      </c>
      <c r="C64" s="3" t="s">
        <v>3</v>
      </c>
      <c r="D64" s="259">
        <v>0.4</v>
      </c>
      <c r="E64" s="254">
        <v>0.6</v>
      </c>
      <c r="F64" s="255">
        <f t="shared" ref="F64:F70" si="4">H64*E64</f>
        <v>58745.4</v>
      </c>
      <c r="G64" s="207" t="s">
        <v>721</v>
      </c>
      <c r="H64" s="255">
        <f>H32</f>
        <v>97909</v>
      </c>
      <c r="I64" s="3" t="s">
        <v>3</v>
      </c>
    </row>
    <row r="65" spans="1:9">
      <c r="A65" s="250">
        <f t="shared" si="3"/>
        <v>20</v>
      </c>
      <c r="B65" s="178" t="s">
        <v>310</v>
      </c>
      <c r="C65" s="3">
        <v>5</v>
      </c>
      <c r="D65" s="259">
        <v>0</v>
      </c>
      <c r="E65" s="254">
        <v>1</v>
      </c>
      <c r="F65" s="255">
        <f t="shared" si="4"/>
        <v>2500</v>
      </c>
      <c r="G65" s="207" t="s">
        <v>722</v>
      </c>
      <c r="H65" s="255">
        <v>2500</v>
      </c>
      <c r="I65" s="3" t="s">
        <v>3</v>
      </c>
    </row>
    <row r="66" spans="1:9" ht="30">
      <c r="A66" s="250">
        <f t="shared" si="3"/>
        <v>21</v>
      </c>
      <c r="B66" s="257" t="s">
        <v>699</v>
      </c>
      <c r="C66" s="269">
        <f>C41</f>
        <v>152.922</v>
      </c>
      <c r="D66" s="259">
        <v>0.5</v>
      </c>
      <c r="E66" s="254">
        <v>0.5</v>
      </c>
      <c r="F66" s="255">
        <f t="shared" si="4"/>
        <v>34407.449999999997</v>
      </c>
      <c r="G66" s="207" t="s">
        <v>722</v>
      </c>
      <c r="H66" s="255">
        <f>H41</f>
        <v>68814.899999999994</v>
      </c>
      <c r="I66" s="3" t="s">
        <v>3</v>
      </c>
    </row>
    <row r="67" spans="1:9">
      <c r="A67" s="250">
        <f t="shared" si="3"/>
        <v>22</v>
      </c>
      <c r="B67" s="257" t="s">
        <v>174</v>
      </c>
      <c r="C67" s="199">
        <f>'Дефицит основной'!I385</f>
        <v>1291.3900000000001</v>
      </c>
      <c r="D67" s="259">
        <v>0</v>
      </c>
      <c r="E67" s="254">
        <v>0.5</v>
      </c>
      <c r="F67" s="255">
        <f t="shared" si="4"/>
        <v>135595.95000000001</v>
      </c>
      <c r="G67" s="207" t="s">
        <v>722</v>
      </c>
      <c r="H67" s="255">
        <f>'Дефицит основной'!J385</f>
        <v>271191.90000000002</v>
      </c>
      <c r="I67" s="3" t="s">
        <v>3</v>
      </c>
    </row>
    <row r="68" spans="1:9">
      <c r="A68" s="250">
        <f t="shared" si="3"/>
        <v>23</v>
      </c>
      <c r="B68" s="790" t="s">
        <v>315</v>
      </c>
      <c r="C68" s="269">
        <f>'Дефицит основной'!I386</f>
        <v>78.835999999999999</v>
      </c>
      <c r="D68" s="259">
        <v>0</v>
      </c>
      <c r="E68" s="254">
        <v>1</v>
      </c>
      <c r="F68" s="255">
        <f t="shared" si="4"/>
        <v>2522.752</v>
      </c>
      <c r="G68" s="207" t="s">
        <v>722</v>
      </c>
      <c r="H68" s="255">
        <f>'Дефицит основной'!J386</f>
        <v>2522.752</v>
      </c>
      <c r="I68" s="3" t="s">
        <v>3</v>
      </c>
    </row>
    <row r="69" spans="1:9">
      <c r="A69" s="250">
        <f t="shared" si="3"/>
        <v>24</v>
      </c>
      <c r="B69" s="791"/>
      <c r="C69" s="269">
        <f>'Дефицит основной'!I387</f>
        <v>39.835999999999999</v>
      </c>
      <c r="D69" s="259">
        <v>0</v>
      </c>
      <c r="E69" s="254">
        <v>1</v>
      </c>
      <c r="F69" s="255">
        <f t="shared" si="4"/>
        <v>1234.9159999999999</v>
      </c>
      <c r="G69" s="207" t="s">
        <v>722</v>
      </c>
      <c r="H69" s="255">
        <f>'Дефицит основной'!J387</f>
        <v>1234.9159999999999</v>
      </c>
      <c r="I69" s="3" t="s">
        <v>3</v>
      </c>
    </row>
    <row r="70" spans="1:9">
      <c r="A70" s="250">
        <f t="shared" si="3"/>
        <v>25</v>
      </c>
      <c r="B70" s="263" t="s">
        <v>491</v>
      </c>
      <c r="C70" s="269">
        <f>C42</f>
        <v>21.033200000000001</v>
      </c>
      <c r="D70" s="259">
        <v>0</v>
      </c>
      <c r="E70" s="254">
        <v>0.5</v>
      </c>
      <c r="F70" s="255">
        <f t="shared" si="4"/>
        <v>41530.053400000004</v>
      </c>
      <c r="G70" s="207" t="s">
        <v>722</v>
      </c>
      <c r="H70" s="255">
        <f>H42</f>
        <v>83060.106800000009</v>
      </c>
      <c r="I70" s="3" t="s">
        <v>3</v>
      </c>
    </row>
    <row r="71" spans="1:9" ht="18.75">
      <c r="A71" s="252"/>
      <c r="B71" s="249"/>
      <c r="C71" s="264"/>
      <c r="D71" s="264"/>
      <c r="E71" s="788" t="s">
        <v>371</v>
      </c>
      <c r="F71" s="788"/>
      <c r="H71" s="265" t="e">
        <f>SUM(F46:F70)</f>
        <v>#REF!</v>
      </c>
    </row>
    <row r="72" spans="1:9" ht="20.25">
      <c r="A72" s="789" t="s">
        <v>711</v>
      </c>
      <c r="B72" s="789"/>
      <c r="C72" s="789"/>
      <c r="D72" s="789"/>
      <c r="E72" s="789"/>
      <c r="F72" s="789"/>
      <c r="G72" s="789"/>
      <c r="H72" s="789"/>
      <c r="I72" s="789"/>
    </row>
    <row r="73" spans="1:9" ht="28.5">
      <c r="A73" s="250" t="s">
        <v>17</v>
      </c>
      <c r="B73" s="250" t="s">
        <v>187</v>
      </c>
      <c r="C73" s="250" t="s">
        <v>683</v>
      </c>
      <c r="D73" s="250" t="s">
        <v>253</v>
      </c>
      <c r="E73" s="250" t="s">
        <v>684</v>
      </c>
      <c r="F73" s="251" t="s">
        <v>684</v>
      </c>
      <c r="G73" s="250" t="s">
        <v>685</v>
      </c>
      <c r="H73" s="250" t="s">
        <v>686</v>
      </c>
      <c r="I73" s="250" t="s">
        <v>687</v>
      </c>
    </row>
    <row r="74" spans="1:9">
      <c r="A74" s="250">
        <v>1</v>
      </c>
      <c r="B74" s="179" t="s">
        <v>307</v>
      </c>
      <c r="C74" s="270">
        <f>'Дефицит основной'!I197</f>
        <v>103</v>
      </c>
      <c r="D74" s="259">
        <v>0</v>
      </c>
      <c r="E74" s="259">
        <v>1</v>
      </c>
      <c r="F74" s="260">
        <f t="shared" ref="F74:F86" si="5">H74*E74</f>
        <v>610.27499999999998</v>
      </c>
      <c r="G74" s="258" t="s">
        <v>723</v>
      </c>
      <c r="H74" s="261">
        <f>'Дефицит основной'!J197</f>
        <v>610.27499999999998</v>
      </c>
      <c r="I74" s="3" t="s">
        <v>3</v>
      </c>
    </row>
    <row r="75" spans="1:9" ht="30">
      <c r="A75" s="250">
        <f>A74+1</f>
        <v>2</v>
      </c>
      <c r="B75" s="179" t="s">
        <v>700</v>
      </c>
      <c r="C75" s="258">
        <v>10</v>
      </c>
      <c r="D75" s="259">
        <v>0</v>
      </c>
      <c r="E75" s="254">
        <v>1</v>
      </c>
      <c r="F75" s="260">
        <f t="shared" si="5"/>
        <v>4150</v>
      </c>
      <c r="G75" s="258" t="s">
        <v>723</v>
      </c>
      <c r="H75" s="261">
        <v>4150</v>
      </c>
      <c r="I75" s="3" t="s">
        <v>3</v>
      </c>
    </row>
    <row r="76" spans="1:9">
      <c r="A76" s="250">
        <f t="shared" ref="A76:A86" si="6">A75+1</f>
        <v>3</v>
      </c>
      <c r="B76" s="257" t="s">
        <v>544</v>
      </c>
      <c r="C76" s="269">
        <f>C63</f>
        <v>193.66666666666669</v>
      </c>
      <c r="D76" s="259">
        <v>0.66</v>
      </c>
      <c r="E76" s="254">
        <v>0.34</v>
      </c>
      <c r="F76" s="255">
        <f t="shared" si="5"/>
        <v>26338.666666666672</v>
      </c>
      <c r="G76" s="258" t="s">
        <v>723</v>
      </c>
      <c r="H76" s="255">
        <f>H63</f>
        <v>77466.666666666672</v>
      </c>
      <c r="I76" s="3" t="s">
        <v>3</v>
      </c>
    </row>
    <row r="77" spans="1:9">
      <c r="A77" s="250">
        <f t="shared" si="6"/>
        <v>4</v>
      </c>
      <c r="B77" s="257" t="s">
        <v>174</v>
      </c>
      <c r="C77" s="199">
        <f>C67</f>
        <v>1291.3900000000001</v>
      </c>
      <c r="D77" s="259">
        <v>0.5</v>
      </c>
      <c r="E77" s="254">
        <v>0.5</v>
      </c>
      <c r="F77" s="255">
        <f t="shared" si="5"/>
        <v>135595.95000000001</v>
      </c>
      <c r="G77" s="258" t="s">
        <v>723</v>
      </c>
      <c r="H77" s="255">
        <f>H67</f>
        <v>271191.90000000002</v>
      </c>
      <c r="I77" s="3" t="s">
        <v>3</v>
      </c>
    </row>
    <row r="78" spans="1:9">
      <c r="A78" s="250">
        <f t="shared" si="6"/>
        <v>5</v>
      </c>
      <c r="B78" s="178" t="s">
        <v>276</v>
      </c>
      <c r="C78" s="270" t="e">
        <f>'Дефицит основной'!#REF!</f>
        <v>#REF!</v>
      </c>
      <c r="D78" s="259">
        <v>0</v>
      </c>
      <c r="E78" s="254">
        <v>1</v>
      </c>
      <c r="F78" s="260" t="e">
        <f t="shared" si="5"/>
        <v>#REF!</v>
      </c>
      <c r="G78" s="258" t="s">
        <v>723</v>
      </c>
      <c r="H78" s="261" t="e">
        <f>'Дефицит основной'!#REF!</f>
        <v>#REF!</v>
      </c>
      <c r="I78" s="3" t="s">
        <v>3</v>
      </c>
    </row>
    <row r="79" spans="1:9">
      <c r="A79" s="250">
        <f t="shared" si="6"/>
        <v>6</v>
      </c>
      <c r="B79" s="178" t="s">
        <v>278</v>
      </c>
      <c r="C79" s="270" t="e">
        <f>'Дефицит основной'!#REF!</f>
        <v>#REF!</v>
      </c>
      <c r="D79" s="259">
        <v>0</v>
      </c>
      <c r="E79" s="254">
        <v>1</v>
      </c>
      <c r="F79" s="260" t="e">
        <f t="shared" si="5"/>
        <v>#REF!</v>
      </c>
      <c r="G79" s="258" t="s">
        <v>723</v>
      </c>
      <c r="H79" s="261" t="e">
        <f>'Дефицит основной'!#REF!</f>
        <v>#REF!</v>
      </c>
      <c r="I79" s="3" t="s">
        <v>3</v>
      </c>
    </row>
    <row r="80" spans="1:9">
      <c r="A80" s="250">
        <f t="shared" si="6"/>
        <v>7</v>
      </c>
      <c r="B80" s="257" t="s">
        <v>180</v>
      </c>
      <c r="C80" s="270">
        <f>C48</f>
        <v>765.04000000000008</v>
      </c>
      <c r="D80" s="259">
        <v>0.5</v>
      </c>
      <c r="E80" s="254">
        <v>0.5</v>
      </c>
      <c r="F80" s="260">
        <f t="shared" si="5"/>
        <v>5232.8736000000008</v>
      </c>
      <c r="G80" s="258" t="s">
        <v>723</v>
      </c>
      <c r="H80" s="261">
        <f>H48</f>
        <v>10465.747200000002</v>
      </c>
      <c r="I80" s="3" t="s">
        <v>3</v>
      </c>
    </row>
    <row r="81" spans="1:9">
      <c r="A81" s="250">
        <f t="shared" si="6"/>
        <v>8</v>
      </c>
      <c r="B81" s="257" t="s">
        <v>104</v>
      </c>
      <c r="C81" s="270" t="e">
        <f>C49</f>
        <v>#REF!</v>
      </c>
      <c r="D81" s="259">
        <v>0.5</v>
      </c>
      <c r="E81" s="254">
        <v>0.5</v>
      </c>
      <c r="F81" s="260" t="e">
        <f t="shared" si="5"/>
        <v>#REF!</v>
      </c>
      <c r="G81" s="258" t="s">
        <v>723</v>
      </c>
      <c r="H81" s="261" t="e">
        <f>H49</f>
        <v>#REF!</v>
      </c>
      <c r="I81" s="3" t="s">
        <v>3</v>
      </c>
    </row>
    <row r="82" spans="1:9">
      <c r="A82" s="250">
        <f t="shared" si="6"/>
        <v>9</v>
      </c>
      <c r="B82" s="257" t="s">
        <v>321</v>
      </c>
      <c r="C82" s="270">
        <f>C50</f>
        <v>98.838999999999984</v>
      </c>
      <c r="D82" s="259">
        <v>0.5</v>
      </c>
      <c r="E82" s="254">
        <v>0.5</v>
      </c>
      <c r="F82" s="260">
        <f t="shared" si="5"/>
        <v>2234.2555949999996</v>
      </c>
      <c r="G82" s="258" t="s">
        <v>723</v>
      </c>
      <c r="H82" s="261">
        <f>H50</f>
        <v>4468.5111899999993</v>
      </c>
      <c r="I82" s="3" t="s">
        <v>3</v>
      </c>
    </row>
    <row r="83" spans="1:9">
      <c r="A83" s="250">
        <f t="shared" si="6"/>
        <v>10</v>
      </c>
      <c r="B83" s="257" t="s">
        <v>322</v>
      </c>
      <c r="C83" s="270">
        <f>C51</f>
        <v>0.90300000000000047</v>
      </c>
      <c r="D83" s="259">
        <v>0.5</v>
      </c>
      <c r="E83" s="254">
        <v>0.5</v>
      </c>
      <c r="F83" s="260">
        <f t="shared" si="5"/>
        <v>203.1750000000001</v>
      </c>
      <c r="G83" s="258" t="s">
        <v>723</v>
      </c>
      <c r="H83" s="261">
        <f>H51</f>
        <v>406.35000000000019</v>
      </c>
      <c r="I83" s="3" t="s">
        <v>3</v>
      </c>
    </row>
    <row r="84" spans="1:9">
      <c r="A84" s="250">
        <f t="shared" si="6"/>
        <v>11</v>
      </c>
      <c r="B84" s="257" t="s">
        <v>323</v>
      </c>
      <c r="C84" s="270">
        <f>C52</f>
        <v>0</v>
      </c>
      <c r="D84" s="259">
        <v>0.5</v>
      </c>
      <c r="E84" s="254">
        <v>0.5</v>
      </c>
      <c r="F84" s="260">
        <f t="shared" si="5"/>
        <v>0</v>
      </c>
      <c r="G84" s="258" t="s">
        <v>723</v>
      </c>
      <c r="H84" s="261">
        <f>H52</f>
        <v>0</v>
      </c>
      <c r="I84" s="3" t="s">
        <v>3</v>
      </c>
    </row>
    <row r="85" spans="1:9">
      <c r="A85" s="250">
        <f t="shared" si="6"/>
        <v>12</v>
      </c>
      <c r="B85" s="257" t="s">
        <v>94</v>
      </c>
      <c r="C85" s="270">
        <f>C59</f>
        <v>126.16</v>
      </c>
      <c r="D85" s="259">
        <v>0.5</v>
      </c>
      <c r="E85" s="254">
        <v>0.5</v>
      </c>
      <c r="F85" s="260">
        <f t="shared" si="5"/>
        <v>1816.704</v>
      </c>
      <c r="G85" s="258" t="s">
        <v>723</v>
      </c>
      <c r="H85" s="261">
        <f>H59</f>
        <v>3633.4079999999999</v>
      </c>
      <c r="I85" s="3" t="s">
        <v>3</v>
      </c>
    </row>
    <row r="86" spans="1:9">
      <c r="A86" s="250">
        <f t="shared" si="6"/>
        <v>13</v>
      </c>
      <c r="B86" s="257" t="s">
        <v>329</v>
      </c>
      <c r="C86" s="270">
        <f>C60</f>
        <v>36.159999999999997</v>
      </c>
      <c r="D86" s="259">
        <v>0.5</v>
      </c>
      <c r="E86" s="254">
        <v>0.5</v>
      </c>
      <c r="F86" s="260">
        <f t="shared" si="5"/>
        <v>470.07999999999993</v>
      </c>
      <c r="G86" s="258" t="s">
        <v>723</v>
      </c>
      <c r="H86" s="261">
        <f>H60</f>
        <v>940.15999999999985</v>
      </c>
      <c r="I86" s="3" t="s">
        <v>3</v>
      </c>
    </row>
    <row r="87" spans="1:9" ht="18.75">
      <c r="A87" s="252"/>
      <c r="B87" s="249"/>
      <c r="C87" s="264"/>
      <c r="D87" s="264"/>
      <c r="E87" s="788" t="s">
        <v>371</v>
      </c>
      <c r="F87" s="788"/>
      <c r="H87" s="265" t="e">
        <f>SUM(F74:F86)</f>
        <v>#REF!</v>
      </c>
      <c r="I87" s="3" t="s">
        <v>3</v>
      </c>
    </row>
    <row r="88" spans="1:9" ht="20.25">
      <c r="A88" s="789" t="s">
        <v>712</v>
      </c>
      <c r="B88" s="789"/>
      <c r="C88" s="789"/>
      <c r="D88" s="789"/>
      <c r="E88" s="789"/>
      <c r="F88" s="789"/>
      <c r="G88" s="789"/>
      <c r="H88" s="789"/>
      <c r="I88" s="789"/>
    </row>
    <row r="89" spans="1:9" ht="28.5">
      <c r="A89" s="250" t="s">
        <v>17</v>
      </c>
      <c r="B89" s="250" t="s">
        <v>187</v>
      </c>
      <c r="C89" s="250" t="s">
        <v>683</v>
      </c>
      <c r="D89" s="250" t="s">
        <v>253</v>
      </c>
      <c r="E89" s="250" t="s">
        <v>684</v>
      </c>
      <c r="F89" s="251" t="s">
        <v>684</v>
      </c>
      <c r="G89" s="250" t="s">
        <v>685</v>
      </c>
      <c r="H89" s="250" t="s">
        <v>686</v>
      </c>
      <c r="I89" s="250" t="s">
        <v>687</v>
      </c>
    </row>
    <row r="90" spans="1:9">
      <c r="A90" s="250">
        <v>1</v>
      </c>
      <c r="B90" s="178" t="s">
        <v>347</v>
      </c>
      <c r="C90" s="180">
        <v>21600</v>
      </c>
      <c r="D90" s="259">
        <v>0</v>
      </c>
      <c r="E90" s="259">
        <v>1</v>
      </c>
      <c r="F90" s="260">
        <f>H90*E90</f>
        <v>4651</v>
      </c>
      <c r="G90" s="207" t="s">
        <v>724</v>
      </c>
      <c r="H90" s="261">
        <v>4651</v>
      </c>
      <c r="I90" s="3" t="s">
        <v>3</v>
      </c>
    </row>
    <row r="91" spans="1:9" ht="18.75">
      <c r="A91" s="252"/>
      <c r="B91" s="249"/>
      <c r="C91" s="264"/>
      <c r="D91" s="264"/>
      <c r="E91" s="788" t="s">
        <v>371</v>
      </c>
      <c r="F91" s="788"/>
      <c r="H91" s="265">
        <f>SUM(F90:F90)</f>
        <v>4651</v>
      </c>
      <c r="I91" s="3" t="s">
        <v>3</v>
      </c>
    </row>
    <row r="92" spans="1:9" ht="20.25">
      <c r="A92" s="792" t="s">
        <v>701</v>
      </c>
      <c r="B92" s="792"/>
      <c r="C92" s="792"/>
      <c r="D92" s="792"/>
      <c r="E92" s="792"/>
      <c r="F92" s="792"/>
      <c r="G92" s="792"/>
      <c r="H92" s="792"/>
    </row>
    <row r="93" spans="1:9">
      <c r="A93" s="266" t="s">
        <v>17</v>
      </c>
      <c r="B93" s="784" t="s">
        <v>187</v>
      </c>
      <c r="C93" s="784"/>
      <c r="D93" s="784"/>
      <c r="E93" s="784"/>
      <c r="F93" s="784"/>
      <c r="G93" s="785" t="s">
        <v>370</v>
      </c>
      <c r="H93" s="785"/>
      <c r="I93" s="250" t="s">
        <v>687</v>
      </c>
    </row>
    <row r="94" spans="1:9">
      <c r="A94" s="38">
        <v>1</v>
      </c>
      <c r="B94" s="793" t="s">
        <v>702</v>
      </c>
      <c r="C94" s="793"/>
      <c r="D94" s="793"/>
      <c r="E94" s="793"/>
      <c r="F94" s="793"/>
      <c r="G94" s="794" t="e">
        <f>'Дефицит основной'!#REF!+'Дефицит основной'!J378+'Дефицит основной'!J379</f>
        <v>#REF!</v>
      </c>
      <c r="H94" s="794"/>
      <c r="I94" s="3" t="s">
        <v>3</v>
      </c>
    </row>
    <row r="95" spans="1:9">
      <c r="A95" s="38">
        <v>2</v>
      </c>
      <c r="B95" s="793" t="s">
        <v>703</v>
      </c>
      <c r="C95" s="793"/>
      <c r="D95" s="793"/>
      <c r="E95" s="793"/>
      <c r="F95" s="793"/>
      <c r="G95" s="794">
        <f>'Дефицит основной'!J391+'Дефицит основной'!J392</f>
        <v>630000</v>
      </c>
      <c r="H95" s="794"/>
      <c r="I95" s="3" t="s">
        <v>3</v>
      </c>
    </row>
    <row r="96" spans="1:9">
      <c r="A96" s="38">
        <v>3</v>
      </c>
      <c r="B96" s="793" t="s">
        <v>704</v>
      </c>
      <c r="C96" s="793"/>
      <c r="D96" s="793"/>
      <c r="E96" s="793"/>
      <c r="F96" s="793"/>
      <c r="G96" s="794">
        <f>'Дефицит основной'!D421+'Дефицит основной'!D422</f>
        <v>1224582.25</v>
      </c>
      <c r="H96" s="794"/>
      <c r="I96" s="3" t="s">
        <v>3</v>
      </c>
    </row>
    <row r="97" spans="1:9">
      <c r="A97" s="38">
        <v>4</v>
      </c>
      <c r="B97" s="793" t="s">
        <v>705</v>
      </c>
      <c r="C97" s="793"/>
      <c r="D97" s="793"/>
      <c r="E97" s="793"/>
      <c r="F97" s="793"/>
      <c r="G97" s="794" t="e">
        <f>'Дефицит основной'!D418+'Дефицит основной'!D420+'Дефицит основной'!#REF!+'Дефицит основной'!#REF!</f>
        <v>#REF!</v>
      </c>
      <c r="H97" s="794"/>
      <c r="I97" s="3" t="s">
        <v>3</v>
      </c>
    </row>
    <row r="98" spans="1:9" ht="18.75">
      <c r="A98" s="38"/>
      <c r="B98" s="793" t="s">
        <v>16</v>
      </c>
      <c r="C98" s="793"/>
      <c r="D98" s="793"/>
      <c r="E98" s="793"/>
      <c r="F98" s="793"/>
      <c r="G98" s="795" t="e">
        <f>SUM(G94:G97)</f>
        <v>#REF!</v>
      </c>
      <c r="H98" s="795"/>
      <c r="I98" s="3" t="s">
        <v>3</v>
      </c>
    </row>
    <row r="104" spans="1:9" ht="23.25">
      <c r="B104" s="249"/>
      <c r="C104" s="249"/>
      <c r="D104" s="249"/>
      <c r="F104" s="796" t="s">
        <v>16</v>
      </c>
      <c r="G104" s="796"/>
      <c r="H104" s="796" t="e">
        <f>H43+H71+H87+G98+H91</f>
        <v>#REF!</v>
      </c>
      <c r="I104" s="797"/>
    </row>
    <row r="108" spans="1:9">
      <c r="B108" s="249"/>
      <c r="C108" s="249"/>
      <c r="D108" s="249"/>
      <c r="F108" s="267" t="s">
        <v>706</v>
      </c>
      <c r="G108" s="249" t="s">
        <v>707</v>
      </c>
      <c r="H108" s="249" t="s">
        <v>708</v>
      </c>
    </row>
  </sheetData>
  <mergeCells count="25">
    <mergeCell ref="B97:F97"/>
    <mergeCell ref="G97:H97"/>
    <mergeCell ref="B98:F98"/>
    <mergeCell ref="G98:H98"/>
    <mergeCell ref="F104:G104"/>
    <mergeCell ref="H104:I104"/>
    <mergeCell ref="B94:F94"/>
    <mergeCell ref="G94:H94"/>
    <mergeCell ref="B95:F95"/>
    <mergeCell ref="G95:H95"/>
    <mergeCell ref="B96:F96"/>
    <mergeCell ref="G96:H96"/>
    <mergeCell ref="B93:F93"/>
    <mergeCell ref="G93:H93"/>
    <mergeCell ref="A1:I1"/>
    <mergeCell ref="A2:I2"/>
    <mergeCell ref="E43:F43"/>
    <mergeCell ref="A44:I44"/>
    <mergeCell ref="B68:B69"/>
    <mergeCell ref="E71:F71"/>
    <mergeCell ref="A72:I72"/>
    <mergeCell ref="E87:F87"/>
    <mergeCell ref="A88:I88"/>
    <mergeCell ref="E91:F91"/>
    <mergeCell ref="A92:H92"/>
  </mergeCells>
  <conditionalFormatting sqref="C4:C5 E4:E5 D90:E90 E47:E60 D47:D70 E78:E84 D74:D86 D4:D42">
    <cfRule type="cellIs" dxfId="115" priority="16" operator="lessThan">
      <formula>0</formula>
    </cfRule>
  </conditionalFormatting>
  <conditionalFormatting sqref="E74:E75">
    <cfRule type="cellIs" dxfId="114" priority="14" operator="lessThan">
      <formula>0</formula>
    </cfRule>
  </conditionalFormatting>
  <conditionalFormatting sqref="E85:E86">
    <cfRule type="cellIs" dxfId="113" priority="10" operator="lessThan">
      <formula>0</formula>
    </cfRule>
  </conditionalFormatting>
  <conditionalFormatting sqref="D46">
    <cfRule type="cellIs" dxfId="112" priority="1" operator="lessThan">
      <formula>0</formula>
    </cfRule>
  </conditionalFormatting>
  <pageMargins left="3.937007874015748E-2" right="3.937007874015748E-2" top="0.19685039370078741" bottom="0" header="0.11811023622047244" footer="0.11811023622047244"/>
  <pageSetup paperSize="9" scale="74" orientation="portrait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267"/>
  <sheetViews>
    <sheetView view="pageBreakPreview" topLeftCell="A40" zoomScaleNormal="130" zoomScaleSheetLayoutView="100" workbookViewId="0">
      <selection activeCell="G57" sqref="G57"/>
    </sheetView>
  </sheetViews>
  <sheetFormatPr defaultColWidth="9.140625" defaultRowHeight="15"/>
  <cols>
    <col min="1" max="1" width="20.85546875" style="52" customWidth="1"/>
    <col min="2" max="2" width="27.85546875" style="50" customWidth="1"/>
    <col min="3" max="3" width="23.42578125" style="195" customWidth="1"/>
    <col min="4" max="4" width="25.28515625" style="202" customWidth="1"/>
    <col min="5" max="5" width="28" style="195" customWidth="1"/>
    <col min="6" max="6" width="27" style="202" customWidth="1"/>
    <col min="7" max="7" width="25.5703125" style="202" customWidth="1"/>
    <col min="8" max="8" width="9.140625" style="50"/>
    <col min="9" max="9" width="9.7109375" style="50" bestFit="1" customWidth="1"/>
    <col min="10" max="16384" width="9.140625" style="50"/>
  </cols>
  <sheetData>
    <row r="2" spans="1:7" ht="14.45">
      <c r="A2"/>
    </row>
    <row r="8" spans="1:7" ht="23.25" customHeight="1">
      <c r="E8" s="800" t="s">
        <v>572</v>
      </c>
      <c r="F8" s="800"/>
      <c r="G8" s="800"/>
    </row>
    <row r="9" spans="1:7">
      <c r="E9" s="800"/>
      <c r="F9" s="800"/>
      <c r="G9" s="800"/>
    </row>
    <row r="10" spans="1:7">
      <c r="A10" s="606" t="s">
        <v>496</v>
      </c>
      <c r="B10" s="606"/>
      <c r="C10" s="606"/>
      <c r="D10" s="606"/>
    </row>
    <row r="11" spans="1:7">
      <c r="A11" s="606"/>
      <c r="B11" s="606"/>
      <c r="C11" s="606"/>
      <c r="D11" s="606"/>
    </row>
    <row r="12" spans="1:7" ht="19.5" thickBot="1">
      <c r="A12" s="612" t="s">
        <v>249</v>
      </c>
      <c r="B12" s="613"/>
      <c r="C12" s="613"/>
      <c r="D12" s="614"/>
    </row>
    <row r="13" spans="1:7">
      <c r="A13" s="53" t="s">
        <v>248</v>
      </c>
      <c r="B13" s="54">
        <v>900</v>
      </c>
      <c r="C13" s="196" t="s">
        <v>250</v>
      </c>
      <c r="D13" s="203"/>
    </row>
    <row r="14" spans="1:7" ht="31.5">
      <c r="A14" s="51" t="s">
        <v>13</v>
      </c>
      <c r="B14" s="49">
        <v>600</v>
      </c>
      <c r="C14" s="193" t="s">
        <v>251</v>
      </c>
      <c r="D14" s="204"/>
      <c r="F14" s="814"/>
      <c r="G14" s="211"/>
    </row>
    <row r="15" spans="1:7" ht="31.5">
      <c r="A15" s="51" t="s">
        <v>15</v>
      </c>
      <c r="B15" s="49">
        <v>1850</v>
      </c>
      <c r="C15" s="193" t="s">
        <v>1</v>
      </c>
      <c r="D15" s="204"/>
      <c r="F15" s="814"/>
      <c r="G15" s="211"/>
    </row>
    <row r="16" spans="1:7" ht="21">
      <c r="A16" s="51" t="s">
        <v>0</v>
      </c>
      <c r="B16" s="49"/>
      <c r="C16" s="193" t="s">
        <v>252</v>
      </c>
      <c r="D16" s="204"/>
      <c r="F16" s="210"/>
      <c r="G16" s="210"/>
    </row>
    <row r="17" spans="1:5">
      <c r="A17" s="51" t="s">
        <v>469</v>
      </c>
      <c r="B17" s="49">
        <v>9500</v>
      </c>
      <c r="C17" s="193" t="s">
        <v>470</v>
      </c>
      <c r="D17" s="204">
        <v>1000</v>
      </c>
    </row>
    <row r="18" spans="1:5">
      <c r="A18" s="51" t="s">
        <v>548</v>
      </c>
      <c r="B18" s="49"/>
      <c r="C18" s="193"/>
      <c r="D18" s="204"/>
    </row>
    <row r="19" spans="1:5">
      <c r="A19" s="815" t="s">
        <v>430</v>
      </c>
      <c r="B19" s="815"/>
      <c r="C19" s="815"/>
      <c r="D19" s="815"/>
    </row>
    <row r="20" spans="1:5" ht="17.25">
      <c r="A20" s="51" t="s">
        <v>431</v>
      </c>
      <c r="B20" s="49"/>
      <c r="C20" s="193" t="s">
        <v>433</v>
      </c>
      <c r="D20" s="204"/>
    </row>
    <row r="21" spans="1:5">
      <c r="A21" s="51" t="s">
        <v>432</v>
      </c>
      <c r="B21" s="49"/>
      <c r="C21" s="193" t="s">
        <v>502</v>
      </c>
      <c r="D21" s="204">
        <v>2500</v>
      </c>
    </row>
    <row r="22" spans="1:5">
      <c r="A22" s="50"/>
      <c r="C22" s="193" t="s">
        <v>503</v>
      </c>
      <c r="D22" s="204">
        <v>300</v>
      </c>
    </row>
    <row r="23" spans="1:5" ht="14.45">
      <c r="A23" s="50"/>
    </row>
    <row r="24" spans="1:5" ht="69.75">
      <c r="A24" s="224" t="s">
        <v>566</v>
      </c>
      <c r="B24" s="225" t="e">
        <f>C264</f>
        <v>#REF!</v>
      </c>
      <c r="C24" s="224" t="s">
        <v>567</v>
      </c>
      <c r="D24" s="225">
        <f>E264</f>
        <v>29499111.589999996</v>
      </c>
      <c r="E24" s="186"/>
    </row>
    <row r="25" spans="1:5" ht="14.45">
      <c r="A25" s="50"/>
    </row>
    <row r="26" spans="1:5" ht="14.45">
      <c r="A26" s="50"/>
    </row>
    <row r="27" spans="1:5" ht="14.45">
      <c r="A27" s="50"/>
    </row>
    <row r="28" spans="1:5">
      <c r="A28" s="50" t="s">
        <v>573</v>
      </c>
      <c r="B28" s="50" t="s">
        <v>574</v>
      </c>
      <c r="C28" s="195" t="s">
        <v>578</v>
      </c>
      <c r="D28" s="202" t="s">
        <v>579</v>
      </c>
    </row>
    <row r="29" spans="1:5" ht="14.45">
      <c r="A29" s="50"/>
    </row>
    <row r="31" spans="1:5">
      <c r="A31" s="36"/>
      <c r="B31" s="50" t="s">
        <v>575</v>
      </c>
      <c r="C31" s="195" t="s">
        <v>578</v>
      </c>
      <c r="D31" s="202" t="s">
        <v>580</v>
      </c>
    </row>
    <row r="32" spans="1:5" ht="14.45">
      <c r="A32" s="36"/>
    </row>
    <row r="33" spans="1:8" ht="14.45">
      <c r="A33" s="50"/>
    </row>
    <row r="34" spans="1:8">
      <c r="A34" s="50" t="s">
        <v>576</v>
      </c>
      <c r="B34" s="50" t="s">
        <v>577</v>
      </c>
      <c r="C34" s="195" t="s">
        <v>578</v>
      </c>
      <c r="D34" s="202" t="s">
        <v>581</v>
      </c>
    </row>
    <row r="35" spans="1:8" ht="14.45">
      <c r="A35" s="36"/>
    </row>
    <row r="36" spans="1:8" ht="14.45">
      <c r="A36" s="50"/>
    </row>
    <row r="37" spans="1:8" ht="14.45">
      <c r="A37" s="50"/>
    </row>
    <row r="38" spans="1:8" ht="14.45">
      <c r="A38" s="50"/>
    </row>
    <row r="39" spans="1:8" ht="14.45">
      <c r="A39" s="50"/>
    </row>
    <row r="40" spans="1:8" ht="14.45">
      <c r="A40" s="36"/>
    </row>
    <row r="41" spans="1:8" ht="14.45">
      <c r="A41" s="36"/>
    </row>
    <row r="42" spans="1:8" ht="14.45">
      <c r="A42" s="50"/>
    </row>
    <row r="43" spans="1:8" ht="14.45">
      <c r="A43" s="50"/>
    </row>
    <row r="44" spans="1:8" ht="14.45">
      <c r="A44" s="50"/>
    </row>
    <row r="46" spans="1:8" ht="19.5" customHeight="1">
      <c r="A46" s="798" t="s">
        <v>186</v>
      </c>
      <c r="B46" s="799"/>
      <c r="C46" s="799"/>
      <c r="D46" s="799"/>
      <c r="E46" s="799"/>
      <c r="F46" s="799"/>
      <c r="G46" s="803"/>
    </row>
    <row r="47" spans="1:8">
      <c r="A47" s="55" t="s">
        <v>187</v>
      </c>
      <c r="B47" s="56" t="s">
        <v>188</v>
      </c>
      <c r="C47" s="194" t="s">
        <v>255</v>
      </c>
      <c r="D47" s="205" t="s">
        <v>563</v>
      </c>
      <c r="E47" s="194" t="s">
        <v>564</v>
      </c>
      <c r="F47" s="215" t="s">
        <v>565</v>
      </c>
      <c r="G47" s="217" t="s">
        <v>568</v>
      </c>
    </row>
    <row r="48" spans="1:8" s="164" customFormat="1" ht="15.75">
      <c r="A48" s="163" t="s">
        <v>189</v>
      </c>
      <c r="B48" s="73" t="s">
        <v>190</v>
      </c>
      <c r="C48" s="172">
        <v>0</v>
      </c>
      <c r="D48" s="200">
        <v>0</v>
      </c>
      <c r="E48" s="172">
        <v>0</v>
      </c>
      <c r="F48" s="216">
        <v>0</v>
      </c>
      <c r="G48" s="219">
        <f t="shared" ref="G48:G54" si="0">MAX(F48-D48,)</f>
        <v>0</v>
      </c>
      <c r="H48" s="164">
        <v>36.799999999999997</v>
      </c>
    </row>
    <row r="49" spans="1:9" s="164" customFormat="1" ht="15.75">
      <c r="A49" s="188" t="s">
        <v>189</v>
      </c>
      <c r="B49" s="189" t="s">
        <v>499</v>
      </c>
      <c r="C49" s="172">
        <v>78005</v>
      </c>
      <c r="D49" s="200">
        <v>4295735.3499999996</v>
      </c>
      <c r="E49" s="172">
        <v>60610</v>
      </c>
      <c r="F49" s="216">
        <v>3340385</v>
      </c>
      <c r="G49" s="219">
        <f t="shared" si="0"/>
        <v>0</v>
      </c>
      <c r="H49" s="164">
        <v>49.06</v>
      </c>
    </row>
    <row r="50" spans="1:9" s="164" customFormat="1" ht="15.75">
      <c r="A50" s="163" t="s">
        <v>191</v>
      </c>
      <c r="B50" s="73" t="s">
        <v>192</v>
      </c>
      <c r="C50" s="172">
        <v>5254</v>
      </c>
      <c r="D50" s="200">
        <v>249039.6</v>
      </c>
      <c r="E50" s="172">
        <v>5313</v>
      </c>
      <c r="F50" s="216">
        <v>251304.9</v>
      </c>
      <c r="G50" s="219">
        <f t="shared" si="0"/>
        <v>2265.2999999999884</v>
      </c>
      <c r="H50" s="164">
        <v>73.59</v>
      </c>
      <c r="I50" s="171">
        <f>H50*11</f>
        <v>809.49</v>
      </c>
    </row>
    <row r="51" spans="1:9" s="164" customFormat="1" ht="15.75">
      <c r="A51" s="163" t="s">
        <v>191</v>
      </c>
      <c r="B51" s="73" t="s">
        <v>490</v>
      </c>
      <c r="C51" s="172">
        <v>290</v>
      </c>
      <c r="D51" s="200">
        <v>13804</v>
      </c>
      <c r="E51" s="172">
        <v>292</v>
      </c>
      <c r="F51" s="216">
        <v>13899.2</v>
      </c>
      <c r="G51" s="219">
        <f t="shared" si="0"/>
        <v>95.200000000000728</v>
      </c>
      <c r="H51" s="164">
        <v>142.19999999999999</v>
      </c>
      <c r="I51" s="164">
        <f>H51*3</f>
        <v>426.59999999999997</v>
      </c>
    </row>
    <row r="52" spans="1:9" s="164" customFormat="1" ht="15.75">
      <c r="A52" s="163" t="s">
        <v>191</v>
      </c>
      <c r="B52" s="73" t="s">
        <v>193</v>
      </c>
      <c r="C52" s="172" t="e">
        <f>(B16+D13+D14+D15+D16)*#REF!</f>
        <v>#REF!</v>
      </c>
      <c r="D52" s="200" t="e">
        <f>#REF!*#REF!</f>
        <v>#REF!</v>
      </c>
      <c r="E52" s="172">
        <v>0</v>
      </c>
      <c r="F52" s="216">
        <v>0</v>
      </c>
      <c r="G52" s="219" t="e">
        <f t="shared" si="0"/>
        <v>#REF!</v>
      </c>
      <c r="H52" s="164">
        <v>353.25</v>
      </c>
    </row>
    <row r="53" spans="1:9" s="164" customFormat="1" ht="45.75" thickBot="1">
      <c r="A53" s="163" t="s">
        <v>194</v>
      </c>
      <c r="B53" s="73" t="s">
        <v>195</v>
      </c>
      <c r="C53" s="172">
        <v>45</v>
      </c>
      <c r="D53" s="200">
        <v>142131.15</v>
      </c>
      <c r="E53" s="172">
        <v>45</v>
      </c>
      <c r="F53" s="216">
        <v>141975</v>
      </c>
      <c r="G53" s="219">
        <f t="shared" si="0"/>
        <v>0</v>
      </c>
    </row>
    <row r="54" spans="1:9" ht="34.5" customHeight="1" thickBot="1">
      <c r="A54" s="68"/>
      <c r="B54" s="58"/>
      <c r="C54" s="197" t="s">
        <v>566</v>
      </c>
      <c r="D54" s="206" t="e">
        <f>SUM(D48:D53)</f>
        <v>#REF!</v>
      </c>
      <c r="E54" s="198" t="s">
        <v>567</v>
      </c>
      <c r="F54" s="192">
        <f>SUM(F48:F53)</f>
        <v>3747564.1</v>
      </c>
      <c r="G54" s="220" t="e">
        <f t="shared" si="0"/>
        <v>#REF!</v>
      </c>
    </row>
    <row r="55" spans="1:9" ht="19.5" customHeight="1">
      <c r="A55" s="798" t="s">
        <v>196</v>
      </c>
      <c r="B55" s="799"/>
      <c r="C55" s="799"/>
      <c r="D55" s="799"/>
      <c r="E55" s="799"/>
      <c r="F55" s="799"/>
      <c r="G55" s="799"/>
    </row>
    <row r="56" spans="1:9" s="164" customFormat="1">
      <c r="A56" s="55" t="s">
        <v>187</v>
      </c>
      <c r="B56" s="56" t="s">
        <v>188</v>
      </c>
      <c r="C56" s="194" t="s">
        <v>255</v>
      </c>
      <c r="D56" s="205" t="s">
        <v>563</v>
      </c>
      <c r="E56" s="194" t="s">
        <v>564</v>
      </c>
      <c r="F56" s="215" t="s">
        <v>565</v>
      </c>
      <c r="G56" s="217" t="s">
        <v>568</v>
      </c>
    </row>
    <row r="57" spans="1:9" s="164" customFormat="1" ht="15.75">
      <c r="A57" s="163" t="s">
        <v>197</v>
      </c>
      <c r="B57" s="73" t="s">
        <v>198</v>
      </c>
      <c r="C57" s="172" t="e">
        <f>B15*'36М-ВС'!#REF!</f>
        <v>#REF!</v>
      </c>
      <c r="D57" s="200">
        <v>0</v>
      </c>
      <c r="E57" s="172">
        <v>0</v>
      </c>
      <c r="F57" s="200">
        <v>0</v>
      </c>
      <c r="G57" s="219">
        <f>MAX(F57-D57,)</f>
        <v>0</v>
      </c>
    </row>
    <row r="58" spans="1:9" s="164" customFormat="1" ht="16.5" thickBot="1">
      <c r="A58" s="163" t="s">
        <v>199</v>
      </c>
      <c r="B58" s="73" t="s">
        <v>200</v>
      </c>
      <c r="C58" s="172">
        <v>100</v>
      </c>
      <c r="D58" s="200">
        <v>78000</v>
      </c>
      <c r="E58" s="172">
        <v>110</v>
      </c>
      <c r="F58" s="200">
        <v>97900</v>
      </c>
      <c r="G58" s="219">
        <f>MAX(F58-D58,)</f>
        <v>19900</v>
      </c>
    </row>
    <row r="59" spans="1:9" ht="38.25" thickBot="1">
      <c r="A59" s="57"/>
      <c r="C59" s="197" t="s">
        <v>566</v>
      </c>
      <c r="D59" s="206">
        <f>SUM(D57:D58)</f>
        <v>78000</v>
      </c>
      <c r="E59" s="198" t="s">
        <v>567</v>
      </c>
      <c r="F59" s="192">
        <f>SUM(F57:F58)</f>
        <v>97900</v>
      </c>
      <c r="G59" s="220">
        <f>MAX(F59-D59,)</f>
        <v>19900</v>
      </c>
    </row>
    <row r="60" spans="1:9" ht="19.5" customHeight="1" thickBot="1">
      <c r="A60" s="592" t="s">
        <v>201</v>
      </c>
      <c r="B60" s="593"/>
      <c r="C60" s="593"/>
      <c r="D60" s="593"/>
      <c r="E60" s="593"/>
      <c r="F60" s="593"/>
      <c r="G60" s="212"/>
    </row>
    <row r="61" spans="1:9">
      <c r="A61" s="55" t="s">
        <v>187</v>
      </c>
      <c r="B61" s="56" t="s">
        <v>188</v>
      </c>
      <c r="C61" s="194" t="s">
        <v>255</v>
      </c>
      <c r="D61" s="205" t="s">
        <v>563</v>
      </c>
      <c r="E61" s="194" t="s">
        <v>564</v>
      </c>
      <c r="F61" s="215" t="s">
        <v>565</v>
      </c>
      <c r="G61" s="221" t="s">
        <v>568</v>
      </c>
    </row>
    <row r="62" spans="1:9" s="164" customFormat="1" ht="18.75">
      <c r="A62" s="175" t="s">
        <v>434</v>
      </c>
      <c r="B62" s="73" t="s">
        <v>435</v>
      </c>
      <c r="C62" s="222">
        <v>0</v>
      </c>
      <c r="D62" s="223">
        <v>0</v>
      </c>
      <c r="E62" s="222">
        <v>0</v>
      </c>
      <c r="F62" s="223">
        <v>0</v>
      </c>
      <c r="G62" s="220">
        <f t="shared" ref="G62:G77" si="1">MAX(F62-D62,)</f>
        <v>0</v>
      </c>
    </row>
    <row r="63" spans="1:9" s="164" customFormat="1" ht="18.75">
      <c r="A63" s="812" t="s">
        <v>202</v>
      </c>
      <c r="B63" s="73" t="s">
        <v>203</v>
      </c>
      <c r="C63" s="172">
        <v>7082</v>
      </c>
      <c r="D63" s="200">
        <v>577183</v>
      </c>
      <c r="E63" s="222">
        <v>7050</v>
      </c>
      <c r="F63" s="200">
        <v>569294.55000000005</v>
      </c>
      <c r="G63" s="220">
        <f t="shared" si="1"/>
        <v>0</v>
      </c>
      <c r="H63" s="164">
        <v>124.23</v>
      </c>
      <c r="I63" s="164">
        <f>H63*57</f>
        <v>7081.1100000000006</v>
      </c>
    </row>
    <row r="64" spans="1:9" s="164" customFormat="1" ht="18.75">
      <c r="A64" s="812"/>
      <c r="B64" s="73" t="s">
        <v>204</v>
      </c>
      <c r="C64" s="172">
        <v>340</v>
      </c>
      <c r="D64" s="200">
        <v>27710</v>
      </c>
      <c r="E64" s="222">
        <v>345</v>
      </c>
      <c r="F64" s="200">
        <v>27859.1</v>
      </c>
      <c r="G64" s="220">
        <f t="shared" si="1"/>
        <v>149.09999999999854</v>
      </c>
    </row>
    <row r="65" spans="1:12" s="164" customFormat="1" ht="18.75">
      <c r="A65" s="813"/>
      <c r="B65" s="73" t="s">
        <v>471</v>
      </c>
      <c r="C65" s="172">
        <v>7044</v>
      </c>
      <c r="D65" s="200">
        <v>521256</v>
      </c>
      <c r="E65" s="222">
        <v>6560</v>
      </c>
      <c r="F65" s="200">
        <v>540349</v>
      </c>
      <c r="G65" s="220">
        <f t="shared" si="1"/>
        <v>19093</v>
      </c>
      <c r="H65" s="164">
        <v>73.36</v>
      </c>
      <c r="I65" s="164">
        <f>48*H65</f>
        <v>3521.2799999999997</v>
      </c>
    </row>
    <row r="66" spans="1:12" s="164" customFormat="1" ht="18.75">
      <c r="A66" s="812"/>
      <c r="B66" s="73" t="s">
        <v>205</v>
      </c>
      <c r="C66" s="172">
        <v>0</v>
      </c>
      <c r="D66" s="200">
        <v>0</v>
      </c>
      <c r="E66" s="222">
        <v>0</v>
      </c>
      <c r="F66" s="200">
        <v>0</v>
      </c>
      <c r="G66" s="220">
        <f t="shared" si="1"/>
        <v>0</v>
      </c>
    </row>
    <row r="67" spans="1:12" s="164" customFormat="1" ht="18.75">
      <c r="A67" s="812"/>
      <c r="B67" s="73" t="s">
        <v>206</v>
      </c>
      <c r="C67" s="172">
        <v>567</v>
      </c>
      <c r="D67" s="200">
        <v>46210.5</v>
      </c>
      <c r="E67" s="222">
        <v>525</v>
      </c>
      <c r="F67" s="200">
        <v>42394.28</v>
      </c>
      <c r="G67" s="220">
        <f t="shared" si="1"/>
        <v>0</v>
      </c>
    </row>
    <row r="68" spans="1:12" s="164" customFormat="1" ht="18.75">
      <c r="A68" s="812"/>
      <c r="B68" s="73" t="s">
        <v>207</v>
      </c>
      <c r="C68" s="172">
        <v>56</v>
      </c>
      <c r="D68" s="200">
        <v>4144</v>
      </c>
      <c r="E68" s="222">
        <v>40</v>
      </c>
      <c r="F68" s="200">
        <v>3470.04</v>
      </c>
      <c r="G68" s="220">
        <f t="shared" si="1"/>
        <v>0</v>
      </c>
    </row>
    <row r="69" spans="1:12" s="164" customFormat="1" ht="18.75">
      <c r="A69" s="163" t="s">
        <v>208</v>
      </c>
      <c r="B69" s="73" t="s">
        <v>209</v>
      </c>
      <c r="C69" s="172">
        <v>0</v>
      </c>
      <c r="D69" s="200">
        <v>0</v>
      </c>
      <c r="E69" s="222">
        <v>0</v>
      </c>
      <c r="F69" s="200">
        <v>0</v>
      </c>
      <c r="G69" s="220">
        <f t="shared" si="1"/>
        <v>0</v>
      </c>
    </row>
    <row r="70" spans="1:12" s="164" customFormat="1" ht="18.75">
      <c r="A70" s="812" t="s">
        <v>210</v>
      </c>
      <c r="B70" s="73" t="s">
        <v>211</v>
      </c>
      <c r="C70" s="172">
        <v>4530</v>
      </c>
      <c r="D70" s="200">
        <v>208334.7</v>
      </c>
      <c r="E70" s="222">
        <v>4562</v>
      </c>
      <c r="F70" s="200">
        <v>211631.18</v>
      </c>
      <c r="G70" s="220">
        <f t="shared" si="1"/>
        <v>3296.4799999999814</v>
      </c>
      <c r="H70" s="164">
        <v>156.21</v>
      </c>
      <c r="I70" s="164">
        <v>2180</v>
      </c>
      <c r="J70" s="164">
        <f>0.63*I70</f>
        <v>1373.4</v>
      </c>
    </row>
    <row r="71" spans="1:12" s="164" customFormat="1" ht="18.75">
      <c r="A71" s="812"/>
      <c r="B71" s="73" t="s">
        <v>486</v>
      </c>
      <c r="C71" s="172">
        <v>6493</v>
      </c>
      <c r="D71" s="200">
        <v>297963.77</v>
      </c>
      <c r="E71" s="222">
        <v>6530</v>
      </c>
      <c r="F71" s="200">
        <v>296396.7</v>
      </c>
      <c r="G71" s="220">
        <f t="shared" si="1"/>
        <v>0</v>
      </c>
      <c r="H71" s="164">
        <v>115.95</v>
      </c>
      <c r="I71" s="164">
        <v>3540</v>
      </c>
      <c r="J71" s="164">
        <f>I71*0.845</f>
        <v>2991.2999999999997</v>
      </c>
    </row>
    <row r="72" spans="1:12" s="164" customFormat="1" ht="18.75">
      <c r="A72" s="812"/>
      <c r="B72" s="73" t="s">
        <v>212</v>
      </c>
      <c r="C72" s="172">
        <v>850</v>
      </c>
      <c r="D72" s="200">
        <v>37306.5</v>
      </c>
      <c r="E72" s="222">
        <v>908</v>
      </c>
      <c r="F72" s="200">
        <v>41214.120000000003</v>
      </c>
      <c r="G72" s="220">
        <f t="shared" si="1"/>
        <v>3907.6200000000026</v>
      </c>
    </row>
    <row r="73" spans="1:12" s="164" customFormat="1" ht="18.75">
      <c r="A73" s="812"/>
      <c r="B73" s="73" t="s">
        <v>213</v>
      </c>
      <c r="C73" s="172">
        <v>1815</v>
      </c>
      <c r="D73" s="200">
        <v>76956</v>
      </c>
      <c r="E73" s="222">
        <v>1806</v>
      </c>
      <c r="F73" s="200">
        <v>79825.2</v>
      </c>
      <c r="G73" s="220">
        <f t="shared" si="1"/>
        <v>2869.1999999999971</v>
      </c>
      <c r="H73" s="164">
        <v>16.64</v>
      </c>
      <c r="I73" s="164">
        <f>227*H73</f>
        <v>3777.28</v>
      </c>
    </row>
    <row r="74" spans="1:12" s="164" customFormat="1" ht="18.75">
      <c r="A74" s="812"/>
      <c r="B74" s="73" t="s">
        <v>214</v>
      </c>
      <c r="C74" s="172">
        <v>493</v>
      </c>
      <c r="D74" s="200">
        <v>19374.900000000001</v>
      </c>
      <c r="E74" s="222">
        <v>496</v>
      </c>
      <c r="F74" s="200">
        <v>21923.200000000001</v>
      </c>
      <c r="G74" s="220">
        <f t="shared" si="1"/>
        <v>2548.2999999999993</v>
      </c>
      <c r="H74" s="164">
        <v>29</v>
      </c>
      <c r="I74" s="164">
        <f>17*H74</f>
        <v>493</v>
      </c>
    </row>
    <row r="75" spans="1:12" s="164" customFormat="1" ht="18.75">
      <c r="A75" s="812"/>
      <c r="B75" s="73" t="s">
        <v>215</v>
      </c>
      <c r="C75" s="172">
        <v>0</v>
      </c>
      <c r="D75" s="200">
        <v>0</v>
      </c>
      <c r="E75" s="222">
        <v>0</v>
      </c>
      <c r="F75" s="200">
        <v>0</v>
      </c>
      <c r="G75" s="220">
        <f t="shared" si="1"/>
        <v>0</v>
      </c>
    </row>
    <row r="76" spans="1:12" s="164" customFormat="1" ht="31.5" thickBot="1">
      <c r="A76" s="163" t="s">
        <v>216</v>
      </c>
      <c r="B76" s="73" t="s">
        <v>213</v>
      </c>
      <c r="C76" s="172">
        <v>1184</v>
      </c>
      <c r="D76" s="200">
        <v>80867</v>
      </c>
      <c r="E76" s="222">
        <v>1182</v>
      </c>
      <c r="F76" s="200">
        <v>81912.600000000006</v>
      </c>
      <c r="G76" s="220">
        <f t="shared" si="1"/>
        <v>1045.6000000000058</v>
      </c>
    </row>
    <row r="77" spans="1:12" ht="48.75" customHeight="1" thickBot="1">
      <c r="A77" s="57"/>
      <c r="C77" s="197" t="s">
        <v>566</v>
      </c>
      <c r="D77" s="218">
        <f>SUM(D62:D76)</f>
        <v>1897306.3699999999</v>
      </c>
      <c r="E77" s="198" t="s">
        <v>567</v>
      </c>
      <c r="F77" s="192">
        <f>SUM(F62:F76)</f>
        <v>1916269.97</v>
      </c>
      <c r="G77" s="220">
        <f t="shared" si="1"/>
        <v>18963.600000000093</v>
      </c>
    </row>
    <row r="78" spans="1:12" ht="24" customHeight="1">
      <c r="A78" s="798" t="s">
        <v>217</v>
      </c>
      <c r="B78" s="799"/>
      <c r="C78" s="799"/>
      <c r="D78" s="799"/>
      <c r="E78" s="799"/>
      <c r="F78" s="799"/>
      <c r="G78" s="799"/>
      <c r="L78" s="50">
        <f>11500+600+300</f>
        <v>12400</v>
      </c>
    </row>
    <row r="79" spans="1:12">
      <c r="A79" s="55" t="s">
        <v>187</v>
      </c>
      <c r="B79" s="56" t="s">
        <v>188</v>
      </c>
      <c r="C79" s="194" t="s">
        <v>255</v>
      </c>
      <c r="D79" s="205" t="s">
        <v>563</v>
      </c>
      <c r="E79" s="194" t="s">
        <v>564</v>
      </c>
      <c r="F79" s="215" t="s">
        <v>565</v>
      </c>
      <c r="G79" s="221" t="s">
        <v>568</v>
      </c>
      <c r="L79" s="50">
        <f>80+90+14</f>
        <v>184</v>
      </c>
    </row>
    <row r="80" spans="1:12" s="164" customFormat="1" ht="18.75">
      <c r="A80" s="810" t="s">
        <v>557</v>
      </c>
      <c r="B80" s="73" t="s">
        <v>213</v>
      </c>
      <c r="C80" s="172">
        <v>842</v>
      </c>
      <c r="D80" s="200">
        <v>220604</v>
      </c>
      <c r="E80" s="172">
        <v>843.4</v>
      </c>
      <c r="F80" s="200">
        <v>248803</v>
      </c>
      <c r="G80" s="220">
        <f>MAX(F80-D80,)</f>
        <v>28199</v>
      </c>
      <c r="H80" s="164">
        <v>5.93</v>
      </c>
      <c r="I80" s="164">
        <f>C80-E80</f>
        <v>-1.3999999999999773</v>
      </c>
      <c r="J80" s="164">
        <f>142*H80</f>
        <v>842.06</v>
      </c>
      <c r="L80" s="164">
        <f>L79*24</f>
        <v>4416</v>
      </c>
    </row>
    <row r="81" spans="1:12" s="164" customFormat="1" ht="19.5" thickBot="1">
      <c r="A81" s="811"/>
      <c r="B81" s="73" t="s">
        <v>218</v>
      </c>
      <c r="C81" s="172">
        <v>0</v>
      </c>
      <c r="D81" s="200">
        <v>0</v>
      </c>
      <c r="E81" s="172">
        <v>0</v>
      </c>
      <c r="F81" s="200">
        <v>0</v>
      </c>
      <c r="G81" s="220">
        <f>MAX(F81-D81,)</f>
        <v>0</v>
      </c>
    </row>
    <row r="82" spans="1:12" ht="47.25" customHeight="1" thickBot="1">
      <c r="A82" s="67"/>
      <c r="C82" s="197" t="s">
        <v>566</v>
      </c>
      <c r="D82" s="218">
        <f>SUM(D80:D81)</f>
        <v>220604</v>
      </c>
      <c r="E82" s="198" t="s">
        <v>567</v>
      </c>
      <c r="F82" s="192">
        <f>SUM(F80:F81)</f>
        <v>248803</v>
      </c>
      <c r="G82" s="220">
        <f>MAX(F82-D82,)</f>
        <v>28199</v>
      </c>
      <c r="I82" s="50">
        <v>1365</v>
      </c>
    </row>
    <row r="83" spans="1:12" ht="24" customHeight="1">
      <c r="A83" s="804" t="s">
        <v>262</v>
      </c>
      <c r="B83" s="805"/>
      <c r="C83" s="805"/>
      <c r="D83" s="805"/>
      <c r="E83" s="805"/>
      <c r="F83" s="805"/>
      <c r="G83" s="805"/>
      <c r="I83" s="50">
        <v>1400</v>
      </c>
    </row>
    <row r="84" spans="1:12">
      <c r="A84" s="55" t="s">
        <v>187</v>
      </c>
      <c r="B84" s="56" t="s">
        <v>188</v>
      </c>
      <c r="C84" s="194" t="s">
        <v>255</v>
      </c>
      <c r="D84" s="205" t="s">
        <v>563</v>
      </c>
      <c r="E84" s="194" t="s">
        <v>564</v>
      </c>
      <c r="F84" s="215" t="s">
        <v>565</v>
      </c>
      <c r="G84" s="221" t="s">
        <v>568</v>
      </c>
      <c r="I84" s="50">
        <v>1465</v>
      </c>
    </row>
    <row r="85" spans="1:12" s="164" customFormat="1" ht="30.75">
      <c r="A85" s="176" t="s">
        <v>257</v>
      </c>
      <c r="B85" s="42" t="s">
        <v>61</v>
      </c>
      <c r="C85" s="47">
        <v>20000</v>
      </c>
      <c r="D85" s="200">
        <v>1165200</v>
      </c>
      <c r="E85" s="172">
        <v>10020</v>
      </c>
      <c r="F85" s="200">
        <v>483585</v>
      </c>
      <c r="G85" s="220">
        <f t="shared" ref="G85:G91" si="2">MAX(F85-D85,)</f>
        <v>0</v>
      </c>
      <c r="I85" s="164">
        <v>1440</v>
      </c>
    </row>
    <row r="86" spans="1:12" s="164" customFormat="1" ht="30.6" customHeight="1">
      <c r="A86" s="176" t="s">
        <v>258</v>
      </c>
      <c r="B86" s="42" t="s">
        <v>259</v>
      </c>
      <c r="C86" s="172">
        <v>60102</v>
      </c>
      <c r="D86" s="200">
        <v>1084841.1000000001</v>
      </c>
      <c r="E86" s="172">
        <v>60102</v>
      </c>
      <c r="F86" s="200">
        <v>1085081</v>
      </c>
      <c r="G86" s="220">
        <f t="shared" si="2"/>
        <v>239.89999999990687</v>
      </c>
      <c r="H86" s="164">
        <f>125*567</f>
        <v>70875</v>
      </c>
      <c r="I86" s="164">
        <v>1527</v>
      </c>
      <c r="J86" s="164">
        <f>15051+30051</f>
        <v>45102</v>
      </c>
    </row>
    <row r="87" spans="1:12" s="164" customFormat="1" ht="30.75">
      <c r="A87" s="176" t="s">
        <v>157</v>
      </c>
      <c r="B87" s="42" t="s">
        <v>158</v>
      </c>
      <c r="C87" s="47">
        <v>66000</v>
      </c>
      <c r="D87" s="200">
        <v>13728000</v>
      </c>
      <c r="E87" s="172">
        <v>73000</v>
      </c>
      <c r="F87" s="200">
        <v>14652000</v>
      </c>
      <c r="G87" s="220">
        <f t="shared" si="2"/>
        <v>924000</v>
      </c>
      <c r="I87" s="164">
        <v>1555</v>
      </c>
      <c r="J87" s="164">
        <f>H86-J86</f>
        <v>25773</v>
      </c>
      <c r="K87" s="164">
        <f>J87+30051</f>
        <v>55824</v>
      </c>
      <c r="L87" s="164">
        <f>30000/567</f>
        <v>52.910052910052912</v>
      </c>
    </row>
    <row r="88" spans="1:12" s="164" customFormat="1" ht="18.75">
      <c r="A88" s="176" t="s">
        <v>260</v>
      </c>
      <c r="B88" s="42"/>
      <c r="C88" s="47">
        <f>B16*0.075+D15*0.075</f>
        <v>0</v>
      </c>
      <c r="D88" s="200">
        <v>0</v>
      </c>
      <c r="E88" s="172">
        <v>0</v>
      </c>
      <c r="F88" s="200">
        <v>0</v>
      </c>
      <c r="G88" s="220">
        <f t="shared" si="2"/>
        <v>0</v>
      </c>
      <c r="I88" s="164">
        <v>1580</v>
      </c>
    </row>
    <row r="89" spans="1:12" s="164" customFormat="1" ht="18.75">
      <c r="A89" s="176" t="s">
        <v>307</v>
      </c>
      <c r="B89" s="42"/>
      <c r="C89" s="47">
        <v>0</v>
      </c>
      <c r="D89" s="200">
        <v>0</v>
      </c>
      <c r="E89" s="172">
        <v>0</v>
      </c>
      <c r="F89" s="200">
        <v>0</v>
      </c>
      <c r="G89" s="220">
        <f t="shared" si="2"/>
        <v>0</v>
      </c>
      <c r="I89" s="164">
        <v>1520</v>
      </c>
    </row>
    <row r="90" spans="1:12" s="164" customFormat="1" ht="31.5" thickBot="1">
      <c r="A90" s="176" t="s">
        <v>261</v>
      </c>
      <c r="B90" s="42" t="s">
        <v>73</v>
      </c>
      <c r="C90" s="47">
        <v>10</v>
      </c>
      <c r="D90" s="200">
        <v>3770</v>
      </c>
      <c r="E90" s="172">
        <v>10</v>
      </c>
      <c r="F90" s="200">
        <v>4150</v>
      </c>
      <c r="G90" s="220">
        <f t="shared" si="2"/>
        <v>380</v>
      </c>
      <c r="I90" s="164">
        <v>1605</v>
      </c>
    </row>
    <row r="91" spans="1:12" ht="38.25" thickBot="1">
      <c r="A91" s="65"/>
      <c r="B91" s="66"/>
      <c r="C91" s="197" t="s">
        <v>566</v>
      </c>
      <c r="D91" s="218">
        <f>SUM(D85:D90)</f>
        <v>15981811.1</v>
      </c>
      <c r="E91" s="198" t="s">
        <v>567</v>
      </c>
      <c r="F91" s="192">
        <f>SUM(F85:F90)</f>
        <v>16224816</v>
      </c>
      <c r="G91" s="220">
        <f t="shared" si="2"/>
        <v>243004.90000000037</v>
      </c>
      <c r="I91" s="50">
        <v>1660</v>
      </c>
    </row>
    <row r="92" spans="1:12" ht="19.5" customHeight="1" thickBot="1">
      <c r="A92" s="808" t="s">
        <v>263</v>
      </c>
      <c r="B92" s="809"/>
      <c r="C92" s="809"/>
      <c r="D92" s="809"/>
      <c r="E92" s="809"/>
      <c r="F92" s="809"/>
      <c r="G92" s="213"/>
      <c r="I92" s="50">
        <v>1805</v>
      </c>
    </row>
    <row r="93" spans="1:12">
      <c r="A93" s="55" t="s">
        <v>187</v>
      </c>
      <c r="B93" s="56" t="s">
        <v>188</v>
      </c>
      <c r="C93" s="194" t="s">
        <v>255</v>
      </c>
      <c r="D93" s="205" t="s">
        <v>563</v>
      </c>
      <c r="E93" s="194" t="s">
        <v>564</v>
      </c>
      <c r="F93" s="215" t="s">
        <v>565</v>
      </c>
      <c r="G93" s="221" t="s">
        <v>568</v>
      </c>
      <c r="I93" s="50">
        <f>2*1808</f>
        <v>3616</v>
      </c>
    </row>
    <row r="94" spans="1:12" s="164" customFormat="1" ht="18.75">
      <c r="A94" s="176" t="s">
        <v>143</v>
      </c>
      <c r="B94" s="42"/>
      <c r="C94" s="47">
        <v>60</v>
      </c>
      <c r="D94" s="200">
        <v>5247</v>
      </c>
      <c r="E94" s="172">
        <v>0</v>
      </c>
      <c r="F94" s="200">
        <v>0</v>
      </c>
      <c r="G94" s="220">
        <f>MAX(F94-D94,)</f>
        <v>0</v>
      </c>
      <c r="I94" s="164">
        <v>1818</v>
      </c>
    </row>
    <row r="95" spans="1:12" s="164" customFormat="1" ht="18.75">
      <c r="A95" s="176" t="s">
        <v>144</v>
      </c>
      <c r="B95" s="42"/>
      <c r="C95" s="47">
        <v>290</v>
      </c>
      <c r="D95" s="200">
        <v>20300</v>
      </c>
      <c r="E95" s="172">
        <v>290</v>
      </c>
      <c r="F95" s="200">
        <v>20735</v>
      </c>
      <c r="G95" s="220">
        <f>MAX(F95-D95,)</f>
        <v>435</v>
      </c>
      <c r="I95" s="164">
        <f>4*1821</f>
        <v>7284</v>
      </c>
    </row>
    <row r="96" spans="1:12" s="164" customFormat="1" ht="30.75">
      <c r="A96" s="176" t="s">
        <v>487</v>
      </c>
      <c r="B96" s="42"/>
      <c r="C96" s="47">
        <v>1100</v>
      </c>
      <c r="D96" s="200">
        <v>330000</v>
      </c>
      <c r="E96" s="172">
        <v>1100</v>
      </c>
      <c r="F96" s="200">
        <v>329940</v>
      </c>
      <c r="G96" s="220">
        <f>MAX(F96-D96,)</f>
        <v>0</v>
      </c>
      <c r="I96" s="164">
        <v>1855</v>
      </c>
    </row>
    <row r="97" spans="1:9" s="164" customFormat="1" ht="19.5" thickBot="1">
      <c r="A97" s="176" t="s">
        <v>561</v>
      </c>
      <c r="B97" s="42"/>
      <c r="C97" s="172">
        <v>0</v>
      </c>
      <c r="D97" s="200">
        <v>0</v>
      </c>
      <c r="E97" s="172">
        <v>20</v>
      </c>
      <c r="F97" s="200">
        <v>3010</v>
      </c>
      <c r="G97" s="220">
        <f>MAX(F97-D97,)</f>
        <v>3010</v>
      </c>
      <c r="I97" s="164">
        <f>150*560</f>
        <v>84000</v>
      </c>
    </row>
    <row r="98" spans="1:9" ht="38.25" thickBot="1">
      <c r="A98" s="65"/>
      <c r="B98" s="66"/>
      <c r="C98" s="197" t="s">
        <v>566</v>
      </c>
      <c r="D98" s="218">
        <f>SUM(D94:D97)</f>
        <v>355547</v>
      </c>
      <c r="E98" s="198" t="s">
        <v>567</v>
      </c>
      <c r="F98" s="192">
        <f>SUM(F94:F97)</f>
        <v>353685</v>
      </c>
      <c r="G98" s="220">
        <f>MAX(F98-D98,)</f>
        <v>0</v>
      </c>
    </row>
    <row r="99" spans="1:9" ht="19.5" customHeight="1" thickBot="1">
      <c r="A99" s="592" t="s">
        <v>219</v>
      </c>
      <c r="B99" s="593"/>
      <c r="C99" s="593"/>
      <c r="D99" s="593"/>
      <c r="E99" s="593"/>
      <c r="F99" s="593"/>
      <c r="G99" s="212"/>
    </row>
    <row r="100" spans="1:9">
      <c r="A100" s="55" t="s">
        <v>187</v>
      </c>
      <c r="B100" s="56" t="s">
        <v>188</v>
      </c>
      <c r="C100" s="194" t="s">
        <v>255</v>
      </c>
      <c r="D100" s="205" t="s">
        <v>563</v>
      </c>
      <c r="E100" s="194" t="s">
        <v>564</v>
      </c>
      <c r="F100" s="215" t="s">
        <v>565</v>
      </c>
      <c r="G100" s="221" t="s">
        <v>568</v>
      </c>
    </row>
    <row r="101" spans="1:9" s="164" customFormat="1" ht="18.75">
      <c r="A101" s="163" t="s">
        <v>220</v>
      </c>
      <c r="B101" s="73" t="s">
        <v>221</v>
      </c>
      <c r="C101" s="172">
        <v>326</v>
      </c>
      <c r="D101" s="200">
        <v>45372.68</v>
      </c>
      <c r="E101" s="172">
        <v>326.5</v>
      </c>
      <c r="F101" s="200">
        <v>45383.5</v>
      </c>
      <c r="G101" s="220">
        <f t="shared" ref="G101:G111" si="3">MAX(F101-D101,)</f>
        <v>10.819999999999709</v>
      </c>
    </row>
    <row r="102" spans="1:9" s="164" customFormat="1" ht="18.75">
      <c r="A102" s="163" t="s">
        <v>222</v>
      </c>
      <c r="B102" s="73" t="s">
        <v>221</v>
      </c>
      <c r="C102" s="172">
        <v>13.92</v>
      </c>
      <c r="D102" s="200">
        <v>1948.8</v>
      </c>
      <c r="E102" s="172">
        <v>13.2</v>
      </c>
      <c r="F102" s="200">
        <v>1834.8</v>
      </c>
      <c r="G102" s="220">
        <f t="shared" si="3"/>
        <v>0</v>
      </c>
      <c r="H102" s="164">
        <f>1.74*2</f>
        <v>3.48</v>
      </c>
      <c r="I102" s="164">
        <f>4*H102</f>
        <v>13.92</v>
      </c>
    </row>
    <row r="103" spans="1:9" s="164" customFormat="1" ht="18.75">
      <c r="A103" s="163" t="s">
        <v>223</v>
      </c>
      <c r="B103" s="73" t="s">
        <v>224</v>
      </c>
      <c r="C103" s="172">
        <v>7400</v>
      </c>
      <c r="D103" s="200">
        <v>6438</v>
      </c>
      <c r="E103" s="172">
        <v>7400</v>
      </c>
      <c r="F103" s="200">
        <v>6438</v>
      </c>
      <c r="G103" s="220">
        <f t="shared" si="3"/>
        <v>0</v>
      </c>
    </row>
    <row r="104" spans="1:9" s="164" customFormat="1" ht="18.75">
      <c r="A104" s="163" t="s">
        <v>225</v>
      </c>
      <c r="B104" s="73" t="s">
        <v>224</v>
      </c>
      <c r="C104" s="172">
        <v>8300</v>
      </c>
      <c r="D104" s="200">
        <v>8798</v>
      </c>
      <c r="E104" s="172">
        <v>8300</v>
      </c>
      <c r="F104" s="200">
        <v>8798</v>
      </c>
      <c r="G104" s="220">
        <f t="shared" si="3"/>
        <v>0</v>
      </c>
    </row>
    <row r="105" spans="1:9" s="164" customFormat="1" ht="18.75">
      <c r="A105" s="163" t="s">
        <v>226</v>
      </c>
      <c r="B105" s="73" t="s">
        <v>227</v>
      </c>
      <c r="C105" s="172">
        <v>900</v>
      </c>
      <c r="D105" s="200">
        <v>10620</v>
      </c>
      <c r="E105" s="172">
        <v>900</v>
      </c>
      <c r="F105" s="200">
        <v>9558</v>
      </c>
      <c r="G105" s="220">
        <f t="shared" si="3"/>
        <v>0</v>
      </c>
    </row>
    <row r="106" spans="1:9" s="164" customFormat="1" ht="18.75">
      <c r="A106" s="163" t="s">
        <v>228</v>
      </c>
      <c r="B106" s="73" t="s">
        <v>229</v>
      </c>
      <c r="C106" s="172">
        <v>0</v>
      </c>
      <c r="D106" s="200" t="e">
        <f>#REF!*'12М'!#REF!</f>
        <v>#REF!</v>
      </c>
      <c r="E106" s="172">
        <v>0</v>
      </c>
      <c r="F106" s="200">
        <v>0</v>
      </c>
      <c r="G106" s="220" t="e">
        <f t="shared" si="3"/>
        <v>#REF!</v>
      </c>
    </row>
    <row r="107" spans="1:9" s="164" customFormat="1" ht="30.75">
      <c r="A107" s="163" t="s">
        <v>230</v>
      </c>
      <c r="B107" s="73" t="s">
        <v>231</v>
      </c>
      <c r="C107" s="172">
        <v>0</v>
      </c>
      <c r="D107" s="200">
        <v>0</v>
      </c>
      <c r="E107" s="172">
        <v>0</v>
      </c>
      <c r="F107" s="200">
        <v>0</v>
      </c>
      <c r="G107" s="220">
        <f t="shared" si="3"/>
        <v>0</v>
      </c>
    </row>
    <row r="108" spans="1:9" s="164" customFormat="1" ht="18.75">
      <c r="A108" s="163" t="s">
        <v>137</v>
      </c>
      <c r="B108" s="73" t="s">
        <v>468</v>
      </c>
      <c r="C108" s="172">
        <v>0</v>
      </c>
      <c r="D108" s="200" t="e">
        <f>#REF!</f>
        <v>#REF!</v>
      </c>
      <c r="E108" s="172">
        <v>0</v>
      </c>
      <c r="F108" s="200">
        <v>0</v>
      </c>
      <c r="G108" s="220" t="e">
        <f t="shared" si="3"/>
        <v>#REF!</v>
      </c>
    </row>
    <row r="109" spans="1:9" s="164" customFormat="1" ht="18.75">
      <c r="A109" s="163" t="s">
        <v>10</v>
      </c>
      <c r="B109" s="73"/>
      <c r="C109" s="172">
        <v>40</v>
      </c>
      <c r="D109" s="200">
        <v>8661.6</v>
      </c>
      <c r="E109" s="172">
        <v>40</v>
      </c>
      <c r="F109" s="200">
        <v>9196</v>
      </c>
      <c r="G109" s="220">
        <f t="shared" si="3"/>
        <v>534.39999999999964</v>
      </c>
    </row>
    <row r="110" spans="1:9" s="164" customFormat="1" ht="31.5" thickBot="1">
      <c r="A110" s="163" t="s">
        <v>232</v>
      </c>
      <c r="B110" s="73"/>
      <c r="C110" s="172">
        <v>276</v>
      </c>
      <c r="D110" s="200">
        <v>5081.16</v>
      </c>
      <c r="E110" s="172">
        <v>276</v>
      </c>
      <c r="F110" s="200">
        <v>2878.68</v>
      </c>
      <c r="G110" s="220">
        <f t="shared" si="3"/>
        <v>0</v>
      </c>
    </row>
    <row r="111" spans="1:9" ht="38.25" thickBot="1">
      <c r="A111" s="57"/>
      <c r="B111" s="58"/>
      <c r="C111" s="197" t="s">
        <v>566</v>
      </c>
      <c r="D111" s="218" t="e">
        <f>SUM(D100:D110)</f>
        <v>#REF!</v>
      </c>
      <c r="E111" s="198" t="s">
        <v>567</v>
      </c>
      <c r="F111" s="192">
        <f>SUM(F100:F110)</f>
        <v>84086.98</v>
      </c>
      <c r="G111" s="220" t="e">
        <f t="shared" si="3"/>
        <v>#REF!</v>
      </c>
    </row>
    <row r="112" spans="1:9" ht="19.5" customHeight="1" thickBot="1">
      <c r="A112" s="592" t="s">
        <v>233</v>
      </c>
      <c r="B112" s="593"/>
      <c r="C112" s="593"/>
      <c r="D112" s="593"/>
      <c r="E112" s="593"/>
      <c r="F112" s="593"/>
      <c r="G112" s="212"/>
    </row>
    <row r="113" spans="1:11">
      <c r="A113" s="55" t="s">
        <v>187</v>
      </c>
      <c r="B113" s="56" t="s">
        <v>188</v>
      </c>
      <c r="C113" s="194" t="s">
        <v>255</v>
      </c>
      <c r="D113" s="205" t="s">
        <v>563</v>
      </c>
      <c r="E113" s="194" t="s">
        <v>564</v>
      </c>
      <c r="F113" s="215" t="s">
        <v>565</v>
      </c>
      <c r="G113" s="221" t="s">
        <v>568</v>
      </c>
    </row>
    <row r="114" spans="1:11" s="164" customFormat="1" ht="18.75">
      <c r="A114" s="163" t="s">
        <v>234</v>
      </c>
      <c r="B114" s="73"/>
      <c r="C114" s="172">
        <v>2000</v>
      </c>
      <c r="D114" s="200">
        <v>690000</v>
      </c>
      <c r="E114" s="172">
        <v>3000</v>
      </c>
      <c r="F114" s="200">
        <v>1185000</v>
      </c>
      <c r="G114" s="220">
        <f t="shared" ref="G114:G134" si="4">MAX(F114-D114,)</f>
        <v>495000</v>
      </c>
    </row>
    <row r="115" spans="1:11" s="164" customFormat="1" ht="18.75">
      <c r="A115" s="163" t="s">
        <v>235</v>
      </c>
      <c r="B115" s="73"/>
      <c r="C115" s="172">
        <v>0</v>
      </c>
      <c r="D115" s="200">
        <v>0</v>
      </c>
      <c r="E115" s="172">
        <v>0</v>
      </c>
      <c r="F115" s="200">
        <v>0</v>
      </c>
      <c r="G115" s="220">
        <f t="shared" si="4"/>
        <v>0</v>
      </c>
    </row>
    <row r="116" spans="1:11" s="164" customFormat="1" ht="18.75">
      <c r="A116" s="163" t="s">
        <v>480</v>
      </c>
      <c r="B116" s="73"/>
      <c r="C116" s="172">
        <v>0</v>
      </c>
      <c r="D116" s="200">
        <v>0</v>
      </c>
      <c r="E116" s="172">
        <v>0</v>
      </c>
      <c r="F116" s="200">
        <v>0</v>
      </c>
      <c r="G116" s="220">
        <f t="shared" si="4"/>
        <v>0</v>
      </c>
    </row>
    <row r="117" spans="1:11" s="164" customFormat="1" ht="18.75">
      <c r="A117" s="163" t="s">
        <v>176</v>
      </c>
      <c r="B117" s="73"/>
      <c r="C117" s="172">
        <v>7050</v>
      </c>
      <c r="D117" s="200">
        <v>171738</v>
      </c>
      <c r="E117" s="172">
        <v>7190</v>
      </c>
      <c r="F117" s="200">
        <v>196884.2</v>
      </c>
      <c r="G117" s="220">
        <f t="shared" si="4"/>
        <v>25146.200000000012</v>
      </c>
      <c r="H117" s="164">
        <f>235*30</f>
        <v>7050</v>
      </c>
    </row>
    <row r="118" spans="1:11" s="164" customFormat="1" ht="30.75">
      <c r="A118" s="163" t="s">
        <v>50</v>
      </c>
      <c r="B118" s="73"/>
      <c r="C118" s="172">
        <v>4000</v>
      </c>
      <c r="D118" s="200">
        <v>48800</v>
      </c>
      <c r="E118" s="172">
        <v>4000</v>
      </c>
      <c r="F118" s="200">
        <v>48800</v>
      </c>
      <c r="G118" s="220">
        <f t="shared" si="4"/>
        <v>0</v>
      </c>
    </row>
    <row r="119" spans="1:11" s="164" customFormat="1" ht="30.75">
      <c r="A119" s="163" t="s">
        <v>472</v>
      </c>
      <c r="B119" s="73"/>
      <c r="C119" s="172">
        <v>4000</v>
      </c>
      <c r="D119" s="200">
        <v>56800</v>
      </c>
      <c r="E119" s="172">
        <v>4000</v>
      </c>
      <c r="F119" s="200">
        <v>55320</v>
      </c>
      <c r="G119" s="220">
        <f t="shared" si="4"/>
        <v>0</v>
      </c>
    </row>
    <row r="120" spans="1:11" s="164" customFormat="1" ht="18.75">
      <c r="A120" s="163" t="s">
        <v>185</v>
      </c>
      <c r="B120" s="73"/>
      <c r="C120" s="172">
        <v>16</v>
      </c>
      <c r="D120" s="200">
        <v>1080.96</v>
      </c>
      <c r="E120" s="172">
        <v>16</v>
      </c>
      <c r="F120" s="200">
        <v>1008</v>
      </c>
      <c r="G120" s="220">
        <f t="shared" si="4"/>
        <v>0</v>
      </c>
    </row>
    <row r="121" spans="1:11" s="164" customFormat="1" ht="30.75">
      <c r="A121" s="163" t="s">
        <v>236</v>
      </c>
      <c r="B121" s="73"/>
      <c r="C121" s="172">
        <v>12000</v>
      </c>
      <c r="D121" s="200">
        <v>490680</v>
      </c>
      <c r="E121" s="172">
        <v>12000</v>
      </c>
      <c r="F121" s="200">
        <v>490785.6</v>
      </c>
      <c r="G121" s="220">
        <f t="shared" si="4"/>
        <v>105.59999999997672</v>
      </c>
    </row>
    <row r="122" spans="1:11" s="164" customFormat="1" ht="30.75">
      <c r="A122" s="163" t="s">
        <v>246</v>
      </c>
      <c r="B122" s="163" t="s">
        <v>247</v>
      </c>
      <c r="C122" s="172">
        <v>0</v>
      </c>
      <c r="D122" s="200">
        <v>0</v>
      </c>
      <c r="E122" s="172">
        <v>0</v>
      </c>
      <c r="F122" s="200">
        <v>0</v>
      </c>
      <c r="G122" s="220">
        <f t="shared" si="4"/>
        <v>0</v>
      </c>
    </row>
    <row r="123" spans="1:11" s="164" customFormat="1" ht="18.75">
      <c r="A123" s="163" t="s">
        <v>237</v>
      </c>
      <c r="B123" s="73" t="s">
        <v>238</v>
      </c>
      <c r="C123" s="172">
        <v>0</v>
      </c>
      <c r="D123" s="200">
        <v>0</v>
      </c>
      <c r="E123" s="172">
        <v>0</v>
      </c>
      <c r="F123" s="200">
        <v>0</v>
      </c>
      <c r="G123" s="220">
        <f t="shared" si="4"/>
        <v>0</v>
      </c>
    </row>
    <row r="124" spans="1:11" s="164" customFormat="1" ht="18.75">
      <c r="A124" s="163" t="s">
        <v>239</v>
      </c>
      <c r="B124" s="73"/>
      <c r="C124" s="172">
        <v>6800</v>
      </c>
      <c r="D124" s="200">
        <v>88128</v>
      </c>
      <c r="E124" s="172">
        <v>6780</v>
      </c>
      <c r="F124" s="200">
        <v>87868.800000000003</v>
      </c>
      <c r="G124" s="220">
        <f t="shared" si="4"/>
        <v>0</v>
      </c>
    </row>
    <row r="125" spans="1:11" s="164" customFormat="1" ht="18.75">
      <c r="A125" s="163" t="s">
        <v>240</v>
      </c>
      <c r="B125" s="73" t="s">
        <v>241</v>
      </c>
      <c r="C125" s="172">
        <v>0</v>
      </c>
      <c r="D125" s="200">
        <v>0</v>
      </c>
      <c r="E125" s="172">
        <v>0</v>
      </c>
      <c r="F125" s="200">
        <v>0</v>
      </c>
      <c r="G125" s="220">
        <f t="shared" si="4"/>
        <v>0</v>
      </c>
      <c r="J125" s="164">
        <f>48*18.05</f>
        <v>866.40000000000009</v>
      </c>
    </row>
    <row r="126" spans="1:11" s="164" customFormat="1" ht="18.75">
      <c r="A126" s="163" t="s">
        <v>242</v>
      </c>
      <c r="B126" s="73"/>
      <c r="C126" s="172">
        <v>0</v>
      </c>
      <c r="D126" s="200">
        <v>0</v>
      </c>
      <c r="E126" s="172">
        <v>0</v>
      </c>
      <c r="F126" s="200">
        <v>0</v>
      </c>
      <c r="G126" s="220">
        <f t="shared" si="4"/>
        <v>0</v>
      </c>
      <c r="J126" s="164">
        <f>40.9*100</f>
        <v>4090</v>
      </c>
      <c r="K126" s="164">
        <f>J126+J125</f>
        <v>4956.3999999999996</v>
      </c>
    </row>
    <row r="127" spans="1:11" s="164" customFormat="1" ht="18.75">
      <c r="A127" s="163" t="s">
        <v>243</v>
      </c>
      <c r="B127" s="73" t="s">
        <v>244</v>
      </c>
      <c r="C127" s="172">
        <v>7000</v>
      </c>
      <c r="D127" s="200">
        <v>59150</v>
      </c>
      <c r="E127" s="172">
        <v>7000</v>
      </c>
      <c r="F127" s="200">
        <v>59150</v>
      </c>
      <c r="G127" s="220">
        <f t="shared" si="4"/>
        <v>0</v>
      </c>
      <c r="K127" s="164">
        <f>K126/2</f>
        <v>2478.1999999999998</v>
      </c>
    </row>
    <row r="128" spans="1:11" s="164" customFormat="1" ht="18.75">
      <c r="A128" s="174" t="s">
        <v>245</v>
      </c>
      <c r="B128" s="158" t="s">
        <v>256</v>
      </c>
      <c r="C128" s="177">
        <v>11</v>
      </c>
      <c r="D128" s="201">
        <v>4620</v>
      </c>
      <c r="E128" s="177">
        <v>11</v>
      </c>
      <c r="F128" s="201">
        <v>5000</v>
      </c>
      <c r="G128" s="220">
        <f t="shared" si="4"/>
        <v>380</v>
      </c>
    </row>
    <row r="129" spans="1:7" s="164" customFormat="1" ht="18.75">
      <c r="A129" s="163" t="s">
        <v>117</v>
      </c>
      <c r="B129" s="73"/>
      <c r="C129" s="172">
        <v>6800</v>
      </c>
      <c r="D129" s="201">
        <v>13600</v>
      </c>
      <c r="E129" s="172">
        <v>6800</v>
      </c>
      <c r="F129" s="200">
        <v>15640</v>
      </c>
      <c r="G129" s="220">
        <f t="shared" si="4"/>
        <v>2040</v>
      </c>
    </row>
    <row r="130" spans="1:7" s="164" customFormat="1" ht="18.75">
      <c r="A130" s="163" t="s">
        <v>119</v>
      </c>
      <c r="B130" s="73"/>
      <c r="C130" s="172">
        <v>6800</v>
      </c>
      <c r="D130" s="201">
        <v>6800</v>
      </c>
      <c r="E130" s="172">
        <v>6800</v>
      </c>
      <c r="F130" s="200">
        <v>4760</v>
      </c>
      <c r="G130" s="220">
        <f t="shared" si="4"/>
        <v>0</v>
      </c>
    </row>
    <row r="131" spans="1:7" s="164" customFormat="1" ht="18.75">
      <c r="A131" s="163" t="s">
        <v>465</v>
      </c>
      <c r="B131" s="73"/>
      <c r="C131" s="172">
        <v>2400</v>
      </c>
      <c r="D131" s="201">
        <v>2400</v>
      </c>
      <c r="E131" s="172">
        <v>2400</v>
      </c>
      <c r="F131" s="200">
        <v>792</v>
      </c>
      <c r="G131" s="220">
        <f t="shared" si="4"/>
        <v>0</v>
      </c>
    </row>
    <row r="132" spans="1:7" s="164" customFormat="1" ht="18.75">
      <c r="A132" s="163" t="s">
        <v>446</v>
      </c>
      <c r="B132" s="73"/>
      <c r="C132" s="172">
        <v>0</v>
      </c>
      <c r="D132" s="201">
        <v>0</v>
      </c>
      <c r="E132" s="172">
        <v>0</v>
      </c>
      <c r="F132" s="200">
        <v>0</v>
      </c>
      <c r="G132" s="220">
        <f t="shared" si="4"/>
        <v>0</v>
      </c>
    </row>
    <row r="133" spans="1:7" s="164" customFormat="1" ht="31.5" thickBot="1">
      <c r="A133" s="163" t="s">
        <v>466</v>
      </c>
      <c r="B133" s="73"/>
      <c r="C133" s="172">
        <v>6200</v>
      </c>
      <c r="D133" s="200">
        <v>172360</v>
      </c>
      <c r="E133" s="172">
        <v>6200</v>
      </c>
      <c r="F133" s="200">
        <v>143775</v>
      </c>
      <c r="G133" s="220">
        <f t="shared" si="4"/>
        <v>0</v>
      </c>
    </row>
    <row r="134" spans="1:7" ht="38.25" thickBot="1">
      <c r="A134" s="159"/>
      <c r="C134" s="197" t="s">
        <v>566</v>
      </c>
      <c r="D134" s="218">
        <f>SUM(D114:D133)</f>
        <v>1806156.96</v>
      </c>
      <c r="E134" s="198" t="s">
        <v>567</v>
      </c>
      <c r="F134" s="192">
        <f>SUM(F114:F133)</f>
        <v>2294783.5999999996</v>
      </c>
      <c r="G134" s="220">
        <f t="shared" si="4"/>
        <v>488626.63999999966</v>
      </c>
    </row>
    <row r="135" spans="1:7" ht="19.5" thickBot="1">
      <c r="A135" s="801" t="s">
        <v>264</v>
      </c>
      <c r="B135" s="802"/>
      <c r="C135" s="802"/>
      <c r="D135" s="802"/>
      <c r="E135" s="802"/>
      <c r="F135" s="802"/>
      <c r="G135" s="214"/>
    </row>
    <row r="136" spans="1:7">
      <c r="A136" s="55" t="s">
        <v>187</v>
      </c>
      <c r="B136" s="56" t="s">
        <v>188</v>
      </c>
      <c r="C136" s="194" t="s">
        <v>255</v>
      </c>
      <c r="D136" s="205" t="s">
        <v>563</v>
      </c>
      <c r="E136" s="194" t="s">
        <v>564</v>
      </c>
      <c r="F136" s="215" t="s">
        <v>565</v>
      </c>
      <c r="G136" s="221" t="s">
        <v>568</v>
      </c>
    </row>
    <row r="137" spans="1:7" s="164" customFormat="1" ht="18.75">
      <c r="A137" s="178" t="s">
        <v>167</v>
      </c>
      <c r="B137" s="179" t="s">
        <v>265</v>
      </c>
      <c r="C137" s="199">
        <v>1000</v>
      </c>
      <c r="D137" s="207">
        <v>26280</v>
      </c>
      <c r="E137" s="172">
        <v>0</v>
      </c>
      <c r="F137" s="200">
        <v>0</v>
      </c>
      <c r="G137" s="220">
        <f t="shared" ref="G137:G147" si="5">MAX(F137-D137,)</f>
        <v>0</v>
      </c>
    </row>
    <row r="138" spans="1:7" s="164" customFormat="1" ht="18.75">
      <c r="A138" s="181" t="s">
        <v>168</v>
      </c>
      <c r="B138" s="179" t="s">
        <v>266</v>
      </c>
      <c r="C138" s="199">
        <v>0</v>
      </c>
      <c r="D138" s="207">
        <v>0</v>
      </c>
      <c r="E138" s="172">
        <v>0</v>
      </c>
      <c r="F138" s="200">
        <v>0</v>
      </c>
      <c r="G138" s="220">
        <f t="shared" si="5"/>
        <v>0</v>
      </c>
    </row>
    <row r="139" spans="1:7" s="164" customFormat="1" ht="18.75">
      <c r="A139" s="181" t="s">
        <v>146</v>
      </c>
      <c r="B139" s="179" t="s">
        <v>267</v>
      </c>
      <c r="C139" s="199">
        <v>0</v>
      </c>
      <c r="D139" s="207">
        <v>0</v>
      </c>
      <c r="E139" s="172">
        <v>0</v>
      </c>
      <c r="F139" s="200">
        <v>0</v>
      </c>
      <c r="G139" s="220">
        <f t="shared" si="5"/>
        <v>0</v>
      </c>
    </row>
    <row r="140" spans="1:7" s="164" customFormat="1" ht="18.75">
      <c r="A140" s="181" t="s">
        <v>161</v>
      </c>
      <c r="B140" s="179" t="s">
        <v>268</v>
      </c>
      <c r="C140" s="199">
        <v>0</v>
      </c>
      <c r="D140" s="207">
        <v>0</v>
      </c>
      <c r="E140" s="172">
        <v>0</v>
      </c>
      <c r="F140" s="200">
        <v>0</v>
      </c>
      <c r="G140" s="220">
        <f t="shared" si="5"/>
        <v>0</v>
      </c>
    </row>
    <row r="141" spans="1:7" s="164" customFormat="1" ht="18.75">
      <c r="A141" s="181" t="s">
        <v>147</v>
      </c>
      <c r="B141" s="179" t="s">
        <v>14</v>
      </c>
      <c r="C141" s="199">
        <v>0</v>
      </c>
      <c r="D141" s="207">
        <v>0</v>
      </c>
      <c r="E141" s="172">
        <v>0</v>
      </c>
      <c r="F141" s="200">
        <v>0</v>
      </c>
      <c r="G141" s="220">
        <f t="shared" si="5"/>
        <v>0</v>
      </c>
    </row>
    <row r="142" spans="1:7" s="164" customFormat="1" ht="18.75">
      <c r="A142" s="181" t="s">
        <v>549</v>
      </c>
      <c r="B142" s="179" t="s">
        <v>547</v>
      </c>
      <c r="C142" s="199">
        <v>500</v>
      </c>
      <c r="D142" s="207">
        <v>26200</v>
      </c>
      <c r="E142" s="172">
        <v>1000</v>
      </c>
      <c r="F142" s="200">
        <v>51102</v>
      </c>
      <c r="G142" s="220">
        <f t="shared" si="5"/>
        <v>24902</v>
      </c>
    </row>
    <row r="143" spans="1:7" s="164" customFormat="1" ht="18.75">
      <c r="A143" s="181" t="s">
        <v>488</v>
      </c>
      <c r="B143" s="179" t="s">
        <v>556</v>
      </c>
      <c r="C143" s="199">
        <v>6600</v>
      </c>
      <c r="D143" s="207">
        <v>345840</v>
      </c>
      <c r="E143" s="172">
        <v>10000</v>
      </c>
      <c r="F143" s="200">
        <v>395372</v>
      </c>
      <c r="G143" s="220">
        <f t="shared" si="5"/>
        <v>49532</v>
      </c>
    </row>
    <row r="144" spans="1:7" s="164" customFormat="1" ht="18.75">
      <c r="A144" s="181" t="s">
        <v>169</v>
      </c>
      <c r="B144" s="179" t="s">
        <v>269</v>
      </c>
      <c r="C144" s="3">
        <v>6300</v>
      </c>
      <c r="D144" s="207">
        <v>13923</v>
      </c>
      <c r="E144" s="172">
        <v>6300</v>
      </c>
      <c r="F144" s="200">
        <v>10836</v>
      </c>
      <c r="G144" s="220">
        <f t="shared" si="5"/>
        <v>0</v>
      </c>
    </row>
    <row r="145" spans="1:7" s="164" customFormat="1" ht="18.75">
      <c r="A145" s="181" t="s">
        <v>170</v>
      </c>
      <c r="B145" s="179" t="s">
        <v>270</v>
      </c>
      <c r="C145" s="3">
        <v>21700</v>
      </c>
      <c r="D145" s="207">
        <v>86583</v>
      </c>
      <c r="E145" s="172">
        <v>6720</v>
      </c>
      <c r="F145" s="200">
        <v>20996.400000000001</v>
      </c>
      <c r="G145" s="220">
        <f t="shared" si="5"/>
        <v>0</v>
      </c>
    </row>
    <row r="146" spans="1:7" s="164" customFormat="1" ht="31.5" thickBot="1">
      <c r="A146" s="181" t="s">
        <v>171</v>
      </c>
      <c r="B146" s="179" t="s">
        <v>271</v>
      </c>
      <c r="C146" s="199">
        <v>1018</v>
      </c>
      <c r="D146" s="207">
        <v>21889.15</v>
      </c>
      <c r="E146" s="172">
        <v>0</v>
      </c>
      <c r="F146" s="200">
        <v>0</v>
      </c>
      <c r="G146" s="220">
        <f t="shared" si="5"/>
        <v>0</v>
      </c>
    </row>
    <row r="147" spans="1:7" ht="38.25" thickBot="1">
      <c r="A147" s="64"/>
      <c r="B147" s="61"/>
      <c r="C147" s="197" t="s">
        <v>566</v>
      </c>
      <c r="D147" s="218">
        <f>SUM(D137:D146)</f>
        <v>520715.15</v>
      </c>
      <c r="E147" s="198" t="s">
        <v>567</v>
      </c>
      <c r="F147" s="192">
        <f>SUM(F137:F146)</f>
        <v>478306.4</v>
      </c>
      <c r="G147" s="220">
        <f t="shared" si="5"/>
        <v>0</v>
      </c>
    </row>
    <row r="148" spans="1:7" ht="19.5" thickBot="1">
      <c r="A148" s="801" t="s">
        <v>272</v>
      </c>
      <c r="B148" s="802"/>
      <c r="C148" s="802"/>
      <c r="D148" s="802"/>
      <c r="E148" s="802"/>
      <c r="F148" s="802"/>
      <c r="G148" s="214"/>
    </row>
    <row r="149" spans="1:7">
      <c r="A149" s="55" t="s">
        <v>187</v>
      </c>
      <c r="B149" s="56" t="s">
        <v>188</v>
      </c>
      <c r="C149" s="194" t="s">
        <v>255</v>
      </c>
      <c r="D149" s="205" t="s">
        <v>563</v>
      </c>
      <c r="E149" s="194" t="s">
        <v>564</v>
      </c>
      <c r="F149" s="215" t="s">
        <v>565</v>
      </c>
      <c r="G149" s="221" t="s">
        <v>568</v>
      </c>
    </row>
    <row r="150" spans="1:7" s="164" customFormat="1" ht="18.75">
      <c r="A150" s="178" t="s">
        <v>172</v>
      </c>
      <c r="B150" s="179" t="s">
        <v>273</v>
      </c>
      <c r="C150" s="199">
        <v>1190</v>
      </c>
      <c r="D150" s="207">
        <v>35807.1</v>
      </c>
      <c r="E150" s="172">
        <v>1190</v>
      </c>
      <c r="F150" s="200">
        <v>37211.199999999997</v>
      </c>
      <c r="G150" s="220">
        <f t="shared" ref="G150:G158" si="6">MAX(F150-D150,)</f>
        <v>1404.0999999999985</v>
      </c>
    </row>
    <row r="151" spans="1:7" s="164" customFormat="1" ht="45.75">
      <c r="A151" s="178" t="s">
        <v>481</v>
      </c>
      <c r="B151" s="179" t="s">
        <v>483</v>
      </c>
      <c r="C151" s="199">
        <v>33</v>
      </c>
      <c r="D151" s="207">
        <v>6105</v>
      </c>
      <c r="E151" s="172">
        <v>36</v>
      </c>
      <c r="F151" s="200">
        <v>6480</v>
      </c>
      <c r="G151" s="220">
        <f t="shared" si="6"/>
        <v>375</v>
      </c>
    </row>
    <row r="152" spans="1:7" s="164" customFormat="1" ht="18.75">
      <c r="A152" s="178" t="s">
        <v>173</v>
      </c>
      <c r="B152" s="179"/>
      <c r="C152" s="199">
        <v>166</v>
      </c>
      <c r="D152" s="207">
        <v>42310.080000000002</v>
      </c>
      <c r="E152" s="172">
        <v>166</v>
      </c>
      <c r="F152" s="200">
        <v>39078</v>
      </c>
      <c r="G152" s="220">
        <f t="shared" si="6"/>
        <v>0</v>
      </c>
    </row>
    <row r="153" spans="1:7" s="164" customFormat="1" ht="30.75">
      <c r="A153" s="178" t="s">
        <v>274</v>
      </c>
      <c r="B153" s="179" t="s">
        <v>275</v>
      </c>
      <c r="C153" s="199">
        <v>32</v>
      </c>
      <c r="D153" s="207">
        <v>15456</v>
      </c>
      <c r="E153" s="172">
        <v>32</v>
      </c>
      <c r="F153" s="200">
        <v>16381</v>
      </c>
      <c r="G153" s="220">
        <f t="shared" si="6"/>
        <v>925</v>
      </c>
    </row>
    <row r="154" spans="1:7" s="164" customFormat="1" ht="30.75">
      <c r="A154" s="178" t="s">
        <v>276</v>
      </c>
      <c r="B154" s="179" t="s">
        <v>277</v>
      </c>
      <c r="C154" s="199">
        <v>65</v>
      </c>
      <c r="D154" s="207">
        <v>997.1</v>
      </c>
      <c r="E154" s="172">
        <v>0</v>
      </c>
      <c r="F154" s="200">
        <v>0</v>
      </c>
      <c r="G154" s="220">
        <f t="shared" si="6"/>
        <v>0</v>
      </c>
    </row>
    <row r="155" spans="1:7" s="164" customFormat="1" ht="18.75">
      <c r="A155" s="178" t="s">
        <v>278</v>
      </c>
      <c r="B155" s="179" t="s">
        <v>279</v>
      </c>
      <c r="C155" s="199">
        <v>22</v>
      </c>
      <c r="D155" s="207">
        <v>1349.92</v>
      </c>
      <c r="E155" s="172">
        <v>0</v>
      </c>
      <c r="F155" s="200">
        <v>0</v>
      </c>
      <c r="G155" s="220">
        <f t="shared" si="6"/>
        <v>0</v>
      </c>
    </row>
    <row r="156" spans="1:7" s="164" customFormat="1" ht="30.75">
      <c r="A156" s="178" t="s">
        <v>347</v>
      </c>
      <c r="B156" s="182" t="s">
        <v>348</v>
      </c>
      <c r="C156" s="199">
        <v>21600</v>
      </c>
      <c r="D156" s="207">
        <v>4799.6499999999996</v>
      </c>
      <c r="E156" s="172">
        <v>21600</v>
      </c>
      <c r="F156" s="200">
        <v>4650</v>
      </c>
      <c r="G156" s="220">
        <f t="shared" si="6"/>
        <v>0</v>
      </c>
    </row>
    <row r="157" spans="1:7" s="164" customFormat="1" ht="19.5" thickBot="1">
      <c r="A157" s="163" t="s">
        <v>544</v>
      </c>
      <c r="B157" s="73" t="s">
        <v>545</v>
      </c>
      <c r="C157" s="172">
        <v>388</v>
      </c>
      <c r="D157" s="200">
        <v>62080</v>
      </c>
      <c r="E157" s="172">
        <v>300</v>
      </c>
      <c r="F157" s="200">
        <v>51000</v>
      </c>
      <c r="G157" s="220">
        <f t="shared" si="6"/>
        <v>0</v>
      </c>
    </row>
    <row r="158" spans="1:7" ht="38.25" thickBot="1">
      <c r="A158" s="60"/>
      <c r="B158" s="61"/>
      <c r="C158" s="197" t="s">
        <v>566</v>
      </c>
      <c r="D158" s="218">
        <f>SUM(D150:D157)</f>
        <v>168904.84999999998</v>
      </c>
      <c r="E158" s="198" t="s">
        <v>567</v>
      </c>
      <c r="F158" s="192">
        <f>SUM(F150:F157)</f>
        <v>154800.20000000001</v>
      </c>
      <c r="G158" s="220">
        <f t="shared" si="6"/>
        <v>0</v>
      </c>
    </row>
    <row r="159" spans="1:7" ht="19.5" thickBot="1">
      <c r="A159" s="801" t="s">
        <v>280</v>
      </c>
      <c r="B159" s="802"/>
      <c r="C159" s="802"/>
      <c r="D159" s="802"/>
      <c r="E159" s="802"/>
      <c r="F159" s="802"/>
      <c r="G159" s="214"/>
    </row>
    <row r="160" spans="1:7">
      <c r="A160" s="55" t="s">
        <v>187</v>
      </c>
      <c r="B160" s="56" t="s">
        <v>188</v>
      </c>
      <c r="C160" s="194" t="s">
        <v>255</v>
      </c>
      <c r="D160" s="205" t="s">
        <v>563</v>
      </c>
      <c r="E160" s="194" t="s">
        <v>564</v>
      </c>
      <c r="F160" s="215" t="s">
        <v>565</v>
      </c>
      <c r="G160" s="221" t="s">
        <v>568</v>
      </c>
    </row>
    <row r="161" spans="1:7" s="164" customFormat="1" ht="18.75">
      <c r="A161" s="178" t="s">
        <v>281</v>
      </c>
      <c r="B161" s="179"/>
      <c r="C161" s="199">
        <v>103</v>
      </c>
      <c r="D161" s="207">
        <v>432.6</v>
      </c>
      <c r="E161" s="43">
        <v>0</v>
      </c>
      <c r="F161" s="200">
        <v>0</v>
      </c>
      <c r="G161" s="220">
        <f t="shared" ref="G161:G198" si="7">MAX(F161-D161,)</f>
        <v>0</v>
      </c>
    </row>
    <row r="162" spans="1:7" s="164" customFormat="1" ht="30.75">
      <c r="A162" s="178" t="s">
        <v>282</v>
      </c>
      <c r="B162" s="179"/>
      <c r="C162" s="199">
        <v>0</v>
      </c>
      <c r="D162" s="207">
        <v>0</v>
      </c>
      <c r="E162" s="43">
        <v>0</v>
      </c>
      <c r="F162" s="200">
        <v>0</v>
      </c>
      <c r="G162" s="220">
        <f t="shared" si="7"/>
        <v>0</v>
      </c>
    </row>
    <row r="163" spans="1:7" s="164" customFormat="1" ht="30.75">
      <c r="A163" s="178" t="s">
        <v>505</v>
      </c>
      <c r="B163" s="179"/>
      <c r="C163" s="199">
        <v>900</v>
      </c>
      <c r="D163" s="207">
        <v>2799</v>
      </c>
      <c r="E163" s="43">
        <v>1000</v>
      </c>
      <c r="F163" s="200">
        <v>2280</v>
      </c>
      <c r="G163" s="220">
        <f t="shared" si="7"/>
        <v>0</v>
      </c>
    </row>
    <row r="164" spans="1:7" s="164" customFormat="1" ht="18.75">
      <c r="A164" s="178" t="s">
        <v>283</v>
      </c>
      <c r="B164" s="179"/>
      <c r="C164" s="199">
        <v>482</v>
      </c>
      <c r="D164" s="207">
        <v>2024.4</v>
      </c>
      <c r="E164" s="43">
        <v>500</v>
      </c>
      <c r="F164" s="200">
        <v>2100</v>
      </c>
      <c r="G164" s="220">
        <f t="shared" si="7"/>
        <v>75.599999999999909</v>
      </c>
    </row>
    <row r="165" spans="1:7" s="164" customFormat="1" ht="30.75">
      <c r="A165" s="178" t="s">
        <v>284</v>
      </c>
      <c r="B165" s="179"/>
      <c r="C165" s="199">
        <v>455</v>
      </c>
      <c r="D165" s="207">
        <v>1092</v>
      </c>
      <c r="E165" s="43">
        <v>500</v>
      </c>
      <c r="F165" s="200">
        <v>1170</v>
      </c>
      <c r="G165" s="220">
        <f t="shared" si="7"/>
        <v>78</v>
      </c>
    </row>
    <row r="166" spans="1:7" s="164" customFormat="1" ht="30.75">
      <c r="A166" s="178" t="s">
        <v>285</v>
      </c>
      <c r="B166" s="179"/>
      <c r="C166" s="199">
        <v>600</v>
      </c>
      <c r="D166" s="207">
        <v>1848</v>
      </c>
      <c r="E166" s="43">
        <v>600</v>
      </c>
      <c r="F166" s="200">
        <v>1410</v>
      </c>
      <c r="G166" s="220">
        <f t="shared" si="7"/>
        <v>0</v>
      </c>
    </row>
    <row r="167" spans="1:7" s="164" customFormat="1" ht="18.75">
      <c r="A167" s="178" t="s">
        <v>286</v>
      </c>
      <c r="B167" s="179"/>
      <c r="C167" s="199">
        <v>1388</v>
      </c>
      <c r="D167" s="207">
        <v>5829.6</v>
      </c>
      <c r="E167" s="43">
        <v>500</v>
      </c>
      <c r="F167" s="200">
        <v>2435</v>
      </c>
      <c r="G167" s="220">
        <f t="shared" si="7"/>
        <v>0</v>
      </c>
    </row>
    <row r="168" spans="1:7" s="164" customFormat="1" ht="30.75">
      <c r="A168" s="178" t="s">
        <v>287</v>
      </c>
      <c r="B168" s="179"/>
      <c r="C168" s="199">
        <v>1350</v>
      </c>
      <c r="D168" s="207">
        <v>3240</v>
      </c>
      <c r="E168" s="43">
        <v>400</v>
      </c>
      <c r="F168" s="200">
        <v>736</v>
      </c>
      <c r="G168" s="220">
        <f t="shared" si="7"/>
        <v>0</v>
      </c>
    </row>
    <row r="169" spans="1:7" s="164" customFormat="1" ht="30.75">
      <c r="A169" s="178" t="s">
        <v>506</v>
      </c>
      <c r="B169" s="179"/>
      <c r="C169" s="199">
        <v>1850</v>
      </c>
      <c r="D169" s="207">
        <v>5753.5</v>
      </c>
      <c r="E169" s="43">
        <v>1000</v>
      </c>
      <c r="F169" s="200">
        <v>2280</v>
      </c>
      <c r="G169" s="220">
        <f t="shared" si="7"/>
        <v>0</v>
      </c>
    </row>
    <row r="170" spans="1:7" s="164" customFormat="1" ht="18.75">
      <c r="A170" s="178" t="s">
        <v>288</v>
      </c>
      <c r="B170" s="179"/>
      <c r="C170" s="199">
        <v>0</v>
      </c>
      <c r="D170" s="207">
        <v>0</v>
      </c>
      <c r="E170" s="43">
        <v>0</v>
      </c>
      <c r="F170" s="43">
        <v>0</v>
      </c>
      <c r="G170" s="220">
        <f t="shared" si="7"/>
        <v>0</v>
      </c>
    </row>
    <row r="171" spans="1:7" s="164" customFormat="1" ht="30.75">
      <c r="A171" s="178" t="s">
        <v>289</v>
      </c>
      <c r="B171" s="179"/>
      <c r="C171" s="199">
        <v>0</v>
      </c>
      <c r="D171" s="207">
        <v>0</v>
      </c>
      <c r="E171" s="43">
        <v>0</v>
      </c>
      <c r="F171" s="43">
        <v>0</v>
      </c>
      <c r="G171" s="220">
        <f t="shared" si="7"/>
        <v>0</v>
      </c>
    </row>
    <row r="172" spans="1:7" s="164" customFormat="1" ht="30.75">
      <c r="A172" s="178" t="s">
        <v>290</v>
      </c>
      <c r="B172" s="179"/>
      <c r="C172" s="199">
        <v>0</v>
      </c>
      <c r="D172" s="207">
        <v>0</v>
      </c>
      <c r="E172" s="43">
        <v>0</v>
      </c>
      <c r="F172" s="43">
        <v>0</v>
      </c>
      <c r="G172" s="220">
        <f t="shared" si="7"/>
        <v>0</v>
      </c>
    </row>
    <row r="173" spans="1:7" s="164" customFormat="1" ht="18.75">
      <c r="A173" s="178" t="s">
        <v>12</v>
      </c>
      <c r="B173" s="179"/>
      <c r="C173" s="199">
        <v>0</v>
      </c>
      <c r="D173" s="207">
        <v>0</v>
      </c>
      <c r="E173" s="43">
        <v>0</v>
      </c>
      <c r="F173" s="43">
        <v>0</v>
      </c>
      <c r="G173" s="220">
        <f t="shared" si="7"/>
        <v>0</v>
      </c>
    </row>
    <row r="174" spans="1:7" s="164" customFormat="1" ht="30.75">
      <c r="A174" s="178" t="s">
        <v>291</v>
      </c>
      <c r="B174" s="179"/>
      <c r="C174" s="199">
        <v>0</v>
      </c>
      <c r="D174" s="207">
        <v>0</v>
      </c>
      <c r="E174" s="43">
        <v>0</v>
      </c>
      <c r="F174" s="43">
        <v>0</v>
      </c>
      <c r="G174" s="220">
        <f t="shared" si="7"/>
        <v>0</v>
      </c>
    </row>
    <row r="175" spans="1:7" s="164" customFormat="1" ht="18.75">
      <c r="A175" s="178" t="s">
        <v>292</v>
      </c>
      <c r="B175" s="179"/>
      <c r="C175" s="199">
        <v>0</v>
      </c>
      <c r="D175" s="207">
        <v>0</v>
      </c>
      <c r="E175" s="43">
        <v>0</v>
      </c>
      <c r="F175" s="43">
        <v>0</v>
      </c>
      <c r="G175" s="220">
        <f t="shared" si="7"/>
        <v>0</v>
      </c>
    </row>
    <row r="176" spans="1:7" s="164" customFormat="1" ht="30.75">
      <c r="A176" s="178" t="s">
        <v>293</v>
      </c>
      <c r="B176" s="179"/>
      <c r="C176" s="199">
        <v>0</v>
      </c>
      <c r="D176" s="207">
        <v>0</v>
      </c>
      <c r="E176" s="43">
        <v>0</v>
      </c>
      <c r="F176" s="43">
        <v>0</v>
      </c>
      <c r="G176" s="220">
        <f t="shared" si="7"/>
        <v>0</v>
      </c>
    </row>
    <row r="177" spans="1:7" s="164" customFormat="1" ht="30.75">
      <c r="A177" s="178" t="s">
        <v>294</v>
      </c>
      <c r="B177" s="179"/>
      <c r="C177" s="199">
        <v>0</v>
      </c>
      <c r="D177" s="207">
        <v>0</v>
      </c>
      <c r="E177" s="43">
        <v>0</v>
      </c>
      <c r="F177" s="43">
        <v>0</v>
      </c>
      <c r="G177" s="220">
        <f t="shared" si="7"/>
        <v>0</v>
      </c>
    </row>
    <row r="178" spans="1:7" s="164" customFormat="1" ht="18.75">
      <c r="A178" s="178" t="s">
        <v>295</v>
      </c>
      <c r="B178" s="179"/>
      <c r="C178" s="199">
        <v>0</v>
      </c>
      <c r="D178" s="207">
        <v>0</v>
      </c>
      <c r="E178" s="43">
        <v>0</v>
      </c>
      <c r="F178" s="43">
        <v>0</v>
      </c>
      <c r="G178" s="220">
        <f t="shared" si="7"/>
        <v>0</v>
      </c>
    </row>
    <row r="179" spans="1:7" s="164" customFormat="1" ht="30.75">
      <c r="A179" s="178" t="s">
        <v>296</v>
      </c>
      <c r="B179" s="179"/>
      <c r="C179" s="199">
        <v>0</v>
      </c>
      <c r="D179" s="207">
        <v>0</v>
      </c>
      <c r="E179" s="43">
        <v>0</v>
      </c>
      <c r="F179" s="43">
        <v>0</v>
      </c>
      <c r="G179" s="220">
        <f t="shared" si="7"/>
        <v>0</v>
      </c>
    </row>
    <row r="180" spans="1:7" s="164" customFormat="1" ht="30.75">
      <c r="A180" s="178" t="s">
        <v>297</v>
      </c>
      <c r="B180" s="179"/>
      <c r="C180" s="199">
        <v>0</v>
      </c>
      <c r="D180" s="207">
        <v>0</v>
      </c>
      <c r="E180" s="43">
        <v>0</v>
      </c>
      <c r="F180" s="43">
        <v>0</v>
      </c>
      <c r="G180" s="220">
        <f t="shared" si="7"/>
        <v>0</v>
      </c>
    </row>
    <row r="181" spans="1:7" s="164" customFormat="1" ht="30.75">
      <c r="A181" s="178" t="s">
        <v>298</v>
      </c>
      <c r="B181" s="179"/>
      <c r="C181" s="199">
        <v>0</v>
      </c>
      <c r="D181" s="207">
        <v>0</v>
      </c>
      <c r="E181" s="43">
        <v>0</v>
      </c>
      <c r="F181" s="43">
        <v>0</v>
      </c>
      <c r="G181" s="220">
        <f t="shared" si="7"/>
        <v>0</v>
      </c>
    </row>
    <row r="182" spans="1:7" s="164" customFormat="1" ht="30.75">
      <c r="A182" s="178" t="s">
        <v>299</v>
      </c>
      <c r="B182" s="179"/>
      <c r="C182" s="199">
        <f>C181</f>
        <v>0</v>
      </c>
      <c r="D182" s="207">
        <v>0</v>
      </c>
      <c r="E182" s="43">
        <v>0</v>
      </c>
      <c r="F182" s="43">
        <v>0</v>
      </c>
      <c r="G182" s="220">
        <f t="shared" si="7"/>
        <v>0</v>
      </c>
    </row>
    <row r="183" spans="1:7" s="164" customFormat="1" ht="18.75">
      <c r="A183" s="178" t="s">
        <v>300</v>
      </c>
      <c r="B183" s="179"/>
      <c r="C183" s="199">
        <f>D15</f>
        <v>0</v>
      </c>
      <c r="D183" s="207">
        <v>0</v>
      </c>
      <c r="E183" s="43">
        <v>0</v>
      </c>
      <c r="F183" s="43">
        <v>0</v>
      </c>
      <c r="G183" s="220">
        <f t="shared" si="7"/>
        <v>0</v>
      </c>
    </row>
    <row r="184" spans="1:7" s="164" customFormat="1" ht="30.75">
      <c r="A184" s="178" t="s">
        <v>301</v>
      </c>
      <c r="B184" s="179"/>
      <c r="C184" s="199">
        <f>C183</f>
        <v>0</v>
      </c>
      <c r="D184" s="207">
        <v>0</v>
      </c>
      <c r="E184" s="43">
        <v>0</v>
      </c>
      <c r="F184" s="43">
        <v>0</v>
      </c>
      <c r="G184" s="220">
        <f t="shared" si="7"/>
        <v>0</v>
      </c>
    </row>
    <row r="185" spans="1:7" s="164" customFormat="1" ht="30.75">
      <c r="A185" s="178" t="s">
        <v>302</v>
      </c>
      <c r="B185" s="179"/>
      <c r="C185" s="199">
        <f>C184</f>
        <v>0</v>
      </c>
      <c r="D185" s="207">
        <v>0</v>
      </c>
      <c r="E185" s="43">
        <v>0</v>
      </c>
      <c r="F185" s="43">
        <v>0</v>
      </c>
      <c r="G185" s="220">
        <f t="shared" si="7"/>
        <v>0</v>
      </c>
    </row>
    <row r="186" spans="1:7" s="164" customFormat="1" ht="18.75">
      <c r="A186" s="178" t="s">
        <v>303</v>
      </c>
      <c r="B186" s="179"/>
      <c r="C186" s="199">
        <f>D16</f>
        <v>0</v>
      </c>
      <c r="D186" s="207">
        <v>0</v>
      </c>
      <c r="E186" s="43">
        <v>0</v>
      </c>
      <c r="F186" s="43">
        <v>0</v>
      </c>
      <c r="G186" s="220">
        <f t="shared" si="7"/>
        <v>0</v>
      </c>
    </row>
    <row r="187" spans="1:7" s="164" customFormat="1" ht="30.75">
      <c r="A187" s="178" t="s">
        <v>304</v>
      </c>
      <c r="B187" s="179"/>
      <c r="C187" s="199">
        <f>C186</f>
        <v>0</v>
      </c>
      <c r="D187" s="207">
        <v>0</v>
      </c>
      <c r="E187" s="43">
        <v>0</v>
      </c>
      <c r="F187" s="43">
        <v>0</v>
      </c>
      <c r="G187" s="220">
        <f t="shared" si="7"/>
        <v>0</v>
      </c>
    </row>
    <row r="188" spans="1:7" s="164" customFormat="1" ht="30.75">
      <c r="A188" s="178" t="s">
        <v>305</v>
      </c>
      <c r="B188" s="179"/>
      <c r="C188" s="199">
        <f>C187</f>
        <v>0</v>
      </c>
      <c r="D188" s="207">
        <v>0</v>
      </c>
      <c r="E188" s="43">
        <v>0</v>
      </c>
      <c r="F188" s="43">
        <v>0</v>
      </c>
      <c r="G188" s="220">
        <f t="shared" si="7"/>
        <v>0</v>
      </c>
    </row>
    <row r="189" spans="1:7" s="164" customFormat="1" ht="18.75">
      <c r="A189" s="178" t="s">
        <v>306</v>
      </c>
      <c r="B189" s="179"/>
      <c r="C189" s="199">
        <f>D16</f>
        <v>0</v>
      </c>
      <c r="D189" s="207">
        <v>0</v>
      </c>
      <c r="E189" s="43">
        <v>0</v>
      </c>
      <c r="F189" s="43">
        <v>0</v>
      </c>
      <c r="G189" s="220">
        <f t="shared" si="7"/>
        <v>0</v>
      </c>
    </row>
    <row r="190" spans="1:7" s="164" customFormat="1" ht="18.75">
      <c r="A190" s="178" t="s">
        <v>473</v>
      </c>
      <c r="B190" s="179"/>
      <c r="C190" s="199">
        <v>7880</v>
      </c>
      <c r="D190" s="207">
        <v>46728.4</v>
      </c>
      <c r="E190" s="43">
        <v>2200</v>
      </c>
      <c r="F190" s="43">
        <f>8228+17930</f>
        <v>26158</v>
      </c>
      <c r="G190" s="220">
        <f t="shared" si="7"/>
        <v>0</v>
      </c>
    </row>
    <row r="191" spans="1:7" s="164" customFormat="1" ht="30.75">
      <c r="A191" s="178" t="s">
        <v>474</v>
      </c>
      <c r="B191" s="179"/>
      <c r="C191" s="199">
        <v>7262</v>
      </c>
      <c r="D191" s="207">
        <v>17428.8</v>
      </c>
      <c r="E191" s="43">
        <v>2500</v>
      </c>
      <c r="F191" s="43">
        <v>5435</v>
      </c>
      <c r="G191" s="220">
        <f t="shared" si="7"/>
        <v>0</v>
      </c>
    </row>
    <row r="192" spans="1:7" s="164" customFormat="1" ht="30.75">
      <c r="A192" s="178" t="s">
        <v>475</v>
      </c>
      <c r="B192" s="179"/>
      <c r="C192" s="199">
        <v>8184</v>
      </c>
      <c r="D192" s="207">
        <v>25452.240000000002</v>
      </c>
      <c r="E192" s="43">
        <v>2500</v>
      </c>
      <c r="F192" s="43">
        <f>5325+7520</f>
        <v>12845</v>
      </c>
      <c r="G192" s="220">
        <f t="shared" si="7"/>
        <v>0</v>
      </c>
    </row>
    <row r="193" spans="1:9" s="164" customFormat="1" ht="18.75">
      <c r="A193" s="178" t="s">
        <v>476</v>
      </c>
      <c r="B193" s="179"/>
      <c r="C193" s="199">
        <v>7522</v>
      </c>
      <c r="D193" s="207">
        <v>6694.58</v>
      </c>
      <c r="E193" s="43">
        <v>3000</v>
      </c>
      <c r="F193" s="43">
        <f>2250+1680</f>
        <v>3930</v>
      </c>
      <c r="G193" s="220">
        <f t="shared" si="7"/>
        <v>0</v>
      </c>
    </row>
    <row r="194" spans="1:9" s="164" customFormat="1" ht="18.75">
      <c r="A194" s="178" t="s">
        <v>477</v>
      </c>
      <c r="B194" s="179"/>
      <c r="C194" s="199">
        <v>890</v>
      </c>
      <c r="D194" s="207">
        <v>5277.7</v>
      </c>
      <c r="E194" s="43">
        <v>0</v>
      </c>
      <c r="F194" s="43">
        <v>0</v>
      </c>
      <c r="G194" s="220">
        <f t="shared" si="7"/>
        <v>0</v>
      </c>
    </row>
    <row r="195" spans="1:9" s="164" customFormat="1" ht="30.75">
      <c r="A195" s="178" t="s">
        <v>478</v>
      </c>
      <c r="B195" s="179"/>
      <c r="C195" s="199">
        <v>920</v>
      </c>
      <c r="D195" s="207">
        <v>2631.2</v>
      </c>
      <c r="E195" s="43">
        <v>1435</v>
      </c>
      <c r="F195" s="43">
        <v>1148</v>
      </c>
      <c r="G195" s="220">
        <f t="shared" si="7"/>
        <v>0</v>
      </c>
    </row>
    <row r="196" spans="1:9" s="164" customFormat="1" ht="30.75">
      <c r="A196" s="178" t="s">
        <v>479</v>
      </c>
      <c r="B196" s="179"/>
      <c r="C196" s="199">
        <v>732</v>
      </c>
      <c r="D196" s="207">
        <v>2276.52</v>
      </c>
      <c r="E196" s="43">
        <v>1000</v>
      </c>
      <c r="F196" s="43">
        <v>3100</v>
      </c>
      <c r="G196" s="220">
        <f t="shared" si="7"/>
        <v>823.48</v>
      </c>
    </row>
    <row r="197" spans="1:9" s="164" customFormat="1" ht="19.5" thickBot="1">
      <c r="A197" s="178" t="s">
        <v>507</v>
      </c>
      <c r="B197" s="179"/>
      <c r="C197" s="199">
        <v>916</v>
      </c>
      <c r="D197" s="207">
        <v>2848.76</v>
      </c>
      <c r="E197" s="43">
        <v>1200</v>
      </c>
      <c r="F197" s="43">
        <v>720</v>
      </c>
      <c r="G197" s="220">
        <f t="shared" si="7"/>
        <v>0</v>
      </c>
    </row>
    <row r="198" spans="1:9" ht="38.25" thickBot="1">
      <c r="A198" s="60"/>
      <c r="B198" s="61"/>
      <c r="C198" s="197" t="s">
        <v>566</v>
      </c>
      <c r="D198" s="218">
        <f>SUM(D161:D197)</f>
        <v>132357.30000000002</v>
      </c>
      <c r="E198" s="198" t="s">
        <v>567</v>
      </c>
      <c r="F198" s="192">
        <f>SUM(F161:F197)</f>
        <v>65747</v>
      </c>
      <c r="G198" s="220">
        <f t="shared" si="7"/>
        <v>0</v>
      </c>
    </row>
    <row r="199" spans="1:9" ht="19.5" customHeight="1" thickBot="1">
      <c r="A199" s="801" t="s">
        <v>313</v>
      </c>
      <c r="B199" s="802"/>
      <c r="C199" s="802"/>
      <c r="D199" s="802"/>
      <c r="E199" s="802"/>
      <c r="F199" s="802"/>
      <c r="G199" s="214"/>
    </row>
    <row r="200" spans="1:9">
      <c r="A200" s="55" t="s">
        <v>187</v>
      </c>
      <c r="B200" s="56" t="s">
        <v>188</v>
      </c>
      <c r="C200" s="194" t="s">
        <v>255</v>
      </c>
      <c r="D200" s="205" t="s">
        <v>563</v>
      </c>
      <c r="E200" s="194" t="s">
        <v>564</v>
      </c>
      <c r="F200" s="215" t="s">
        <v>565</v>
      </c>
      <c r="G200" s="221" t="s">
        <v>568</v>
      </c>
    </row>
    <row r="201" spans="1:9" s="164" customFormat="1" ht="30.75">
      <c r="A201" s="163" t="s">
        <v>308</v>
      </c>
      <c r="B201" s="163" t="s">
        <v>504</v>
      </c>
      <c r="C201" s="172">
        <v>90</v>
      </c>
      <c r="D201" s="200">
        <v>39600</v>
      </c>
      <c r="E201" s="172">
        <v>54</v>
      </c>
      <c r="F201" s="200">
        <v>23760</v>
      </c>
      <c r="G201" s="220">
        <f t="shared" ref="G201:G218" si="8">MAX(F201-D201,)</f>
        <v>0</v>
      </c>
    </row>
    <row r="202" spans="1:9" s="164" customFormat="1" ht="18.75">
      <c r="A202" s="163" t="s">
        <v>308</v>
      </c>
      <c r="B202" s="178" t="s">
        <v>489</v>
      </c>
      <c r="C202" s="172">
        <v>40</v>
      </c>
      <c r="D202" s="200">
        <v>9320</v>
      </c>
      <c r="E202" s="172">
        <v>20</v>
      </c>
      <c r="F202" s="200">
        <v>4600</v>
      </c>
      <c r="G202" s="220">
        <f t="shared" si="8"/>
        <v>0</v>
      </c>
    </row>
    <row r="203" spans="1:9" s="164" customFormat="1" ht="18.75">
      <c r="A203" s="163" t="s">
        <v>562</v>
      </c>
      <c r="B203" s="178" t="s">
        <v>546</v>
      </c>
      <c r="C203" s="172">
        <v>60</v>
      </c>
      <c r="D203" s="200">
        <v>12600</v>
      </c>
      <c r="E203" s="172">
        <v>40</v>
      </c>
      <c r="F203" s="200">
        <v>8404</v>
      </c>
      <c r="G203" s="220">
        <f t="shared" si="8"/>
        <v>0</v>
      </c>
    </row>
    <row r="204" spans="1:9" s="164" customFormat="1" ht="18.75">
      <c r="A204" s="163" t="s">
        <v>331</v>
      </c>
      <c r="B204" s="73"/>
      <c r="C204" s="172">
        <v>0</v>
      </c>
      <c r="D204" s="200">
        <v>0</v>
      </c>
      <c r="E204" s="172">
        <v>0</v>
      </c>
      <c r="F204" s="200">
        <v>0</v>
      </c>
      <c r="G204" s="220">
        <f t="shared" si="8"/>
        <v>0</v>
      </c>
    </row>
    <row r="205" spans="1:9" s="164" customFormat="1" ht="18.75">
      <c r="A205" s="163" t="s">
        <v>309</v>
      </c>
      <c r="B205" s="73"/>
      <c r="C205" s="172">
        <v>6244</v>
      </c>
      <c r="D205" s="200">
        <v>74490.92</v>
      </c>
      <c r="E205" s="172">
        <v>892</v>
      </c>
      <c r="F205" s="200">
        <v>10642</v>
      </c>
      <c r="G205" s="220">
        <f t="shared" si="8"/>
        <v>0</v>
      </c>
      <c r="H205" s="164" t="e">
        <f>#REF!/223</f>
        <v>#REF!</v>
      </c>
      <c r="I205" s="164" t="e">
        <f>H205*3600</f>
        <v>#REF!</v>
      </c>
    </row>
    <row r="206" spans="1:9" s="164" customFormat="1" ht="18.75">
      <c r="A206" s="163" t="s">
        <v>310</v>
      </c>
      <c r="B206" s="73"/>
      <c r="C206" s="172">
        <v>5</v>
      </c>
      <c r="D206" s="200">
        <v>2500</v>
      </c>
      <c r="E206" s="172">
        <v>5</v>
      </c>
      <c r="F206" s="200">
        <v>2500</v>
      </c>
      <c r="G206" s="220">
        <f t="shared" si="8"/>
        <v>0</v>
      </c>
    </row>
    <row r="207" spans="1:9" s="164" customFormat="1" ht="30.75">
      <c r="A207" s="163" t="s">
        <v>508</v>
      </c>
      <c r="B207" s="73"/>
      <c r="C207" s="172">
        <v>145</v>
      </c>
      <c r="D207" s="200">
        <v>87000</v>
      </c>
      <c r="E207" s="172">
        <v>23</v>
      </c>
      <c r="F207" s="200">
        <v>13800</v>
      </c>
      <c r="G207" s="220">
        <f t="shared" si="8"/>
        <v>0</v>
      </c>
    </row>
    <row r="208" spans="1:9" s="164" customFormat="1" ht="45.75">
      <c r="A208" s="163" t="s">
        <v>509</v>
      </c>
      <c r="B208" s="73"/>
      <c r="C208" s="172">
        <v>133</v>
      </c>
      <c r="D208" s="200">
        <v>125419</v>
      </c>
      <c r="E208" s="172">
        <v>98</v>
      </c>
      <c r="F208" s="200">
        <v>90650</v>
      </c>
      <c r="G208" s="220">
        <f t="shared" si="8"/>
        <v>0</v>
      </c>
    </row>
    <row r="209" spans="1:8" s="164" customFormat="1" ht="18.75">
      <c r="A209" s="163" t="s">
        <v>312</v>
      </c>
      <c r="B209" s="73"/>
      <c r="C209" s="172">
        <v>0</v>
      </c>
      <c r="D209" s="200">
        <v>0</v>
      </c>
      <c r="E209" s="172">
        <v>220</v>
      </c>
      <c r="F209" s="200">
        <v>48840</v>
      </c>
      <c r="G209" s="220">
        <f t="shared" si="8"/>
        <v>48840</v>
      </c>
    </row>
    <row r="210" spans="1:8" s="164" customFormat="1" ht="30.75">
      <c r="A210" s="163" t="s">
        <v>334</v>
      </c>
      <c r="B210" s="163" t="s">
        <v>482</v>
      </c>
      <c r="C210" s="172">
        <v>168</v>
      </c>
      <c r="D210" s="200">
        <v>50400</v>
      </c>
      <c r="E210" s="172">
        <v>168</v>
      </c>
      <c r="F210" s="200">
        <v>50400</v>
      </c>
      <c r="G210" s="220">
        <f t="shared" si="8"/>
        <v>0</v>
      </c>
      <c r="H210" s="164">
        <f>14*12</f>
        <v>168</v>
      </c>
    </row>
    <row r="211" spans="1:8" s="164" customFormat="1" ht="18.75">
      <c r="A211" s="163" t="s">
        <v>335</v>
      </c>
      <c r="B211" s="73"/>
      <c r="C211" s="172">
        <v>0</v>
      </c>
      <c r="D211" s="200">
        <v>0</v>
      </c>
      <c r="E211" s="172">
        <v>0</v>
      </c>
      <c r="F211" s="200">
        <v>0</v>
      </c>
      <c r="G211" s="220">
        <f t="shared" si="8"/>
        <v>0</v>
      </c>
    </row>
    <row r="212" spans="1:8" s="164" customFormat="1" ht="30.75">
      <c r="A212" s="163" t="s">
        <v>174</v>
      </c>
      <c r="B212" s="73" t="s">
        <v>314</v>
      </c>
      <c r="C212" s="172">
        <v>234</v>
      </c>
      <c r="D212" s="200">
        <v>368550</v>
      </c>
      <c r="E212" s="172">
        <v>194</v>
      </c>
      <c r="F212" s="200">
        <v>304620</v>
      </c>
      <c r="G212" s="220">
        <f t="shared" si="8"/>
        <v>0</v>
      </c>
    </row>
    <row r="213" spans="1:8" s="164" customFormat="1" ht="18.75">
      <c r="A213" s="806" t="s">
        <v>315</v>
      </c>
      <c r="B213" s="73" t="s">
        <v>316</v>
      </c>
      <c r="C213" s="172">
        <v>95</v>
      </c>
      <c r="D213" s="200">
        <v>1850</v>
      </c>
      <c r="E213" s="172">
        <v>0</v>
      </c>
      <c r="F213" s="200">
        <v>0</v>
      </c>
      <c r="G213" s="220">
        <f t="shared" si="8"/>
        <v>0</v>
      </c>
    </row>
    <row r="214" spans="1:8" s="164" customFormat="1" ht="18.75">
      <c r="A214" s="807"/>
      <c r="B214" s="73" t="s">
        <v>317</v>
      </c>
      <c r="C214" s="172">
        <v>95</v>
      </c>
      <c r="D214" s="200">
        <v>1850</v>
      </c>
      <c r="E214" s="172">
        <v>0</v>
      </c>
      <c r="F214" s="200">
        <v>0</v>
      </c>
      <c r="G214" s="220">
        <f t="shared" si="8"/>
        <v>0</v>
      </c>
    </row>
    <row r="215" spans="1:8" s="164" customFormat="1" ht="18.75">
      <c r="A215" s="190" t="s">
        <v>491</v>
      </c>
      <c r="B215" s="73" t="s">
        <v>492</v>
      </c>
      <c r="C215" s="172">
        <v>68</v>
      </c>
      <c r="D215" s="200">
        <v>194140</v>
      </c>
      <c r="E215" s="172">
        <v>68</v>
      </c>
      <c r="F215" s="200">
        <v>194820</v>
      </c>
      <c r="G215" s="220">
        <f t="shared" si="8"/>
        <v>680</v>
      </c>
    </row>
    <row r="216" spans="1:8" s="164" customFormat="1" ht="30.75">
      <c r="A216" s="163" t="s">
        <v>318</v>
      </c>
      <c r="B216" s="73"/>
      <c r="C216" s="43" t="s">
        <v>3</v>
      </c>
      <c r="D216" s="208">
        <v>193438.15</v>
      </c>
      <c r="E216" s="43" t="s">
        <v>3</v>
      </c>
      <c r="F216" s="208">
        <v>35580</v>
      </c>
      <c r="G216" s="220">
        <f t="shared" si="8"/>
        <v>0</v>
      </c>
    </row>
    <row r="217" spans="1:8" s="164" customFormat="1" ht="19.5" thickBot="1">
      <c r="A217" s="163" t="s">
        <v>319</v>
      </c>
      <c r="B217" s="73"/>
      <c r="C217" s="43" t="s">
        <v>3</v>
      </c>
      <c r="D217" s="208">
        <v>415401.14</v>
      </c>
      <c r="E217" s="43" t="s">
        <v>3</v>
      </c>
      <c r="F217" s="208">
        <v>182424</v>
      </c>
      <c r="G217" s="220">
        <f t="shared" si="8"/>
        <v>0</v>
      </c>
    </row>
    <row r="218" spans="1:8" ht="38.25" thickBot="1">
      <c r="A218" s="57"/>
      <c r="B218" s="58"/>
      <c r="C218" s="197" t="s">
        <v>566</v>
      </c>
      <c r="D218" s="218">
        <f>SUM(D201:D217)</f>
        <v>1576559.21</v>
      </c>
      <c r="E218" s="198" t="s">
        <v>567</v>
      </c>
      <c r="F218" s="192">
        <f>SUM(F201:F217)</f>
        <v>971040</v>
      </c>
      <c r="G218" s="220">
        <f t="shared" si="8"/>
        <v>0</v>
      </c>
    </row>
    <row r="219" spans="1:8" ht="19.5" customHeight="1" thickBot="1">
      <c r="A219" s="801" t="s">
        <v>320</v>
      </c>
      <c r="B219" s="802"/>
      <c r="C219" s="802"/>
      <c r="D219" s="802"/>
      <c r="E219" s="802"/>
      <c r="F219" s="802"/>
      <c r="G219" s="214"/>
    </row>
    <row r="220" spans="1:8">
      <c r="A220" s="55" t="s">
        <v>187</v>
      </c>
      <c r="B220" s="56" t="s">
        <v>188</v>
      </c>
      <c r="C220" s="194" t="s">
        <v>255</v>
      </c>
      <c r="D220" s="205" t="s">
        <v>563</v>
      </c>
      <c r="E220" s="194" t="s">
        <v>564</v>
      </c>
      <c r="F220" s="215" t="s">
        <v>565</v>
      </c>
      <c r="G220" s="221" t="s">
        <v>568</v>
      </c>
    </row>
    <row r="221" spans="1:8" s="164" customFormat="1" ht="18.75">
      <c r="A221" s="163" t="s">
        <v>180</v>
      </c>
      <c r="B221" s="73"/>
      <c r="C221" s="172">
        <v>900</v>
      </c>
      <c r="D221" s="200">
        <v>7830</v>
      </c>
      <c r="E221" s="172">
        <v>400</v>
      </c>
      <c r="F221" s="200">
        <f t="shared" ref="F221:F228" si="9">D221/C221*E221</f>
        <v>3479.9999999999995</v>
      </c>
      <c r="G221" s="220">
        <f t="shared" ref="G221:G238" si="10">MAX(F221-D221,)</f>
        <v>0</v>
      </c>
    </row>
    <row r="222" spans="1:8" s="164" customFormat="1" ht="18.75">
      <c r="A222" s="163" t="s">
        <v>104</v>
      </c>
      <c r="B222" s="73"/>
      <c r="C222" s="172">
        <v>160</v>
      </c>
      <c r="D222" s="200">
        <v>3427.2</v>
      </c>
      <c r="E222" s="172">
        <v>120</v>
      </c>
      <c r="F222" s="200">
        <f t="shared" si="9"/>
        <v>2570.3999999999996</v>
      </c>
      <c r="G222" s="220">
        <f t="shared" si="10"/>
        <v>0</v>
      </c>
    </row>
    <row r="223" spans="1:8" s="164" customFormat="1" ht="18.75">
      <c r="A223" s="163" t="s">
        <v>321</v>
      </c>
      <c r="B223" s="73"/>
      <c r="C223" s="172">
        <v>65</v>
      </c>
      <c r="D223" s="200">
        <v>4935.45</v>
      </c>
      <c r="E223" s="172">
        <v>40</v>
      </c>
      <c r="F223" s="200">
        <f t="shared" si="9"/>
        <v>3037.2</v>
      </c>
      <c r="G223" s="220">
        <f t="shared" si="10"/>
        <v>0</v>
      </c>
    </row>
    <row r="224" spans="1:8" s="164" customFormat="1" ht="30.75">
      <c r="A224" s="163" t="s">
        <v>322</v>
      </c>
      <c r="B224" s="73" t="s">
        <v>351</v>
      </c>
      <c r="C224" s="172">
        <v>65</v>
      </c>
      <c r="D224" s="200">
        <v>1248.6500000000001</v>
      </c>
      <c r="E224" s="172">
        <v>0</v>
      </c>
      <c r="F224" s="200">
        <f t="shared" si="9"/>
        <v>0</v>
      </c>
      <c r="G224" s="220">
        <f t="shared" si="10"/>
        <v>0</v>
      </c>
    </row>
    <row r="225" spans="1:9" s="164" customFormat="1" ht="18.75">
      <c r="A225" s="163" t="s">
        <v>323</v>
      </c>
      <c r="B225" s="73"/>
      <c r="C225" s="172">
        <v>25</v>
      </c>
      <c r="D225" s="200">
        <v>855.5</v>
      </c>
      <c r="E225" s="172">
        <v>20</v>
      </c>
      <c r="F225" s="200">
        <f t="shared" si="9"/>
        <v>684.4</v>
      </c>
      <c r="G225" s="220">
        <f t="shared" si="10"/>
        <v>0</v>
      </c>
    </row>
    <row r="226" spans="1:9" s="164" customFormat="1" ht="18.75">
      <c r="A226" s="163" t="s">
        <v>324</v>
      </c>
      <c r="B226" s="73"/>
      <c r="C226" s="172">
        <v>36</v>
      </c>
      <c r="D226" s="200">
        <v>12159</v>
      </c>
      <c r="E226" s="172">
        <v>20</v>
      </c>
      <c r="F226" s="200">
        <f t="shared" si="9"/>
        <v>6755</v>
      </c>
      <c r="G226" s="220">
        <f t="shared" si="10"/>
        <v>0</v>
      </c>
    </row>
    <row r="227" spans="1:9" s="164" customFormat="1" ht="18.75">
      <c r="A227" s="163" t="s">
        <v>337</v>
      </c>
      <c r="B227" s="73" t="s">
        <v>338</v>
      </c>
      <c r="C227" s="172">
        <v>277</v>
      </c>
      <c r="D227" s="200">
        <v>5540</v>
      </c>
      <c r="E227" s="172">
        <v>200</v>
      </c>
      <c r="F227" s="200">
        <f t="shared" si="9"/>
        <v>4000</v>
      </c>
      <c r="G227" s="220">
        <f t="shared" si="10"/>
        <v>0</v>
      </c>
    </row>
    <row r="228" spans="1:9" s="164" customFormat="1" ht="30.75">
      <c r="A228" s="163" t="s">
        <v>325</v>
      </c>
      <c r="B228" s="73"/>
      <c r="C228" s="172">
        <v>22</v>
      </c>
      <c r="D228" s="200">
        <v>2388.3200000000002</v>
      </c>
      <c r="E228" s="172">
        <v>0</v>
      </c>
      <c r="F228" s="200">
        <f t="shared" si="9"/>
        <v>0</v>
      </c>
      <c r="G228" s="220">
        <f t="shared" si="10"/>
        <v>0</v>
      </c>
    </row>
    <row r="229" spans="1:9" s="164" customFormat="1" ht="30.75">
      <c r="A229" s="163" t="s">
        <v>332</v>
      </c>
      <c r="B229" s="73" t="s">
        <v>336</v>
      </c>
      <c r="C229" s="172">
        <v>0</v>
      </c>
      <c r="D229" s="200">
        <v>0</v>
      </c>
      <c r="E229" s="172">
        <v>0</v>
      </c>
      <c r="F229" s="200">
        <v>0</v>
      </c>
      <c r="G229" s="220">
        <f t="shared" si="10"/>
        <v>0</v>
      </c>
    </row>
    <row r="230" spans="1:9" s="164" customFormat="1" ht="18.75">
      <c r="A230" s="163" t="s">
        <v>333</v>
      </c>
      <c r="B230" s="73" t="s">
        <v>336</v>
      </c>
      <c r="C230" s="172">
        <v>0</v>
      </c>
      <c r="D230" s="200">
        <v>0</v>
      </c>
      <c r="E230" s="172">
        <v>0</v>
      </c>
      <c r="F230" s="200">
        <v>0</v>
      </c>
      <c r="G230" s="220">
        <f t="shared" si="10"/>
        <v>0</v>
      </c>
    </row>
    <row r="231" spans="1:9" s="164" customFormat="1" ht="30.75">
      <c r="A231" s="163" t="s">
        <v>493</v>
      </c>
      <c r="B231" s="73" t="s">
        <v>495</v>
      </c>
      <c r="C231" s="172">
        <v>12</v>
      </c>
      <c r="D231" s="200">
        <v>5400</v>
      </c>
      <c r="E231" s="172">
        <v>12</v>
      </c>
      <c r="F231" s="200">
        <f>D231/C231*E231</f>
        <v>5400</v>
      </c>
      <c r="G231" s="220">
        <f t="shared" si="10"/>
        <v>0</v>
      </c>
      <c r="I231" s="183"/>
    </row>
    <row r="232" spans="1:9" s="164" customFormat="1" ht="18.75">
      <c r="A232" s="163" t="s">
        <v>326</v>
      </c>
      <c r="B232" s="73"/>
      <c r="C232" s="172">
        <v>10</v>
      </c>
      <c r="D232" s="200">
        <v>601.79999999999995</v>
      </c>
      <c r="E232" s="172">
        <v>0</v>
      </c>
      <c r="F232" s="200">
        <f>D232/C232*E232</f>
        <v>0</v>
      </c>
      <c r="G232" s="220">
        <f t="shared" si="10"/>
        <v>0</v>
      </c>
    </row>
    <row r="233" spans="1:9" s="164" customFormat="1" ht="30.75">
      <c r="A233" s="163" t="s">
        <v>327</v>
      </c>
      <c r="B233" s="73"/>
      <c r="C233" s="172">
        <v>6</v>
      </c>
      <c r="D233" s="200">
        <v>371.7</v>
      </c>
      <c r="E233" s="172">
        <v>0</v>
      </c>
      <c r="F233" s="200">
        <f>D233/C233*E233</f>
        <v>0</v>
      </c>
      <c r="G233" s="220">
        <f t="shared" si="10"/>
        <v>0</v>
      </c>
    </row>
    <row r="234" spans="1:9" s="164" customFormat="1" ht="18.75">
      <c r="A234" s="163" t="s">
        <v>328</v>
      </c>
      <c r="B234" s="73"/>
      <c r="C234" s="172">
        <v>6</v>
      </c>
      <c r="D234" s="200">
        <v>318</v>
      </c>
      <c r="E234" s="172">
        <v>0</v>
      </c>
      <c r="F234" s="200">
        <f>D234/C234*E234</f>
        <v>0</v>
      </c>
      <c r="G234" s="220">
        <f t="shared" si="10"/>
        <v>0</v>
      </c>
    </row>
    <row r="235" spans="1:9" s="164" customFormat="1" ht="18.75">
      <c r="A235" s="163" t="s">
        <v>94</v>
      </c>
      <c r="B235" s="73"/>
      <c r="C235" s="172">
        <v>277</v>
      </c>
      <c r="D235" s="200">
        <v>9141</v>
      </c>
      <c r="E235" s="172">
        <v>70</v>
      </c>
      <c r="F235" s="200">
        <v>2011</v>
      </c>
      <c r="G235" s="220">
        <f t="shared" si="10"/>
        <v>0</v>
      </c>
    </row>
    <row r="236" spans="1:9" s="164" customFormat="1" ht="18.75">
      <c r="A236" s="163" t="s">
        <v>329</v>
      </c>
      <c r="B236" s="73"/>
      <c r="C236" s="172">
        <v>277</v>
      </c>
      <c r="D236" s="200">
        <v>11201.88</v>
      </c>
      <c r="E236" s="172">
        <v>60</v>
      </c>
      <c r="F236" s="200">
        <v>1077</v>
      </c>
      <c r="G236" s="220">
        <f t="shared" si="10"/>
        <v>0</v>
      </c>
    </row>
    <row r="237" spans="1:9" s="164" customFormat="1" ht="19.5" thickBot="1">
      <c r="A237" s="163" t="s">
        <v>330</v>
      </c>
      <c r="B237" s="73"/>
      <c r="C237" s="172">
        <v>0</v>
      </c>
      <c r="D237" s="200">
        <v>15000</v>
      </c>
      <c r="E237" s="172">
        <v>0</v>
      </c>
      <c r="F237" s="200">
        <v>6000</v>
      </c>
      <c r="G237" s="220">
        <f t="shared" si="10"/>
        <v>0</v>
      </c>
    </row>
    <row r="238" spans="1:9" ht="38.25" thickBot="1">
      <c r="C238" s="197" t="s">
        <v>566</v>
      </c>
      <c r="D238" s="218">
        <f>SUM(D236:D237)</f>
        <v>26201.879999999997</v>
      </c>
      <c r="E238" s="198" t="s">
        <v>567</v>
      </c>
      <c r="F238" s="192">
        <f>SUM(F236:F237)</f>
        <v>7077</v>
      </c>
      <c r="G238" s="220">
        <f t="shared" si="10"/>
        <v>0</v>
      </c>
    </row>
    <row r="239" spans="1:9" ht="19.5" customHeight="1">
      <c r="A239" s="798" t="s">
        <v>339</v>
      </c>
      <c r="B239" s="799"/>
      <c r="C239" s="799"/>
      <c r="D239" s="799"/>
      <c r="E239" s="799"/>
    </row>
    <row r="240" spans="1:9" ht="30">
      <c r="A240" s="194" t="s">
        <v>187</v>
      </c>
      <c r="B240" s="194" t="s">
        <v>342</v>
      </c>
      <c r="C240" s="205" t="s">
        <v>563</v>
      </c>
      <c r="D240" s="217" t="s">
        <v>565</v>
      </c>
      <c r="E240" s="217" t="s">
        <v>568</v>
      </c>
    </row>
    <row r="241" spans="1:7" s="164" customFormat="1" ht="30.75">
      <c r="A241" s="222" t="s">
        <v>542</v>
      </c>
      <c r="B241" s="222" t="s">
        <v>8</v>
      </c>
      <c r="C241" s="223">
        <v>321590.59999999998</v>
      </c>
      <c r="D241" s="200">
        <v>115000</v>
      </c>
      <c r="E241" s="220">
        <f t="shared" ref="E241:E252" si="11">MAX(D241-C241,)</f>
        <v>0</v>
      </c>
      <c r="F241" s="209"/>
      <c r="G241" s="209"/>
    </row>
    <row r="242" spans="1:7" s="164" customFormat="1" ht="18.75">
      <c r="A242" s="222"/>
      <c r="B242" s="222" t="s">
        <v>543</v>
      </c>
      <c r="C242" s="223">
        <v>124707</v>
      </c>
      <c r="D242" s="200">
        <v>140892</v>
      </c>
      <c r="E242" s="220">
        <f t="shared" si="11"/>
        <v>16185</v>
      </c>
      <c r="F242" s="209"/>
      <c r="G242" s="209"/>
    </row>
    <row r="243" spans="1:7" s="164" customFormat="1" ht="18.75">
      <c r="A243" s="222"/>
      <c r="B243" s="4" t="s">
        <v>554</v>
      </c>
      <c r="C243" s="223">
        <v>18352</v>
      </c>
      <c r="D243" s="200">
        <v>8150</v>
      </c>
      <c r="E243" s="220">
        <f t="shared" si="11"/>
        <v>0</v>
      </c>
      <c r="F243" s="209"/>
      <c r="G243" s="209"/>
    </row>
    <row r="244" spans="1:7" s="164" customFormat="1" ht="18.75">
      <c r="A244" s="222"/>
      <c r="B244" s="4" t="s">
        <v>555</v>
      </c>
      <c r="C244" s="223">
        <v>52652.5</v>
      </c>
      <c r="D244" s="200">
        <v>25675</v>
      </c>
      <c r="E244" s="220">
        <f t="shared" si="11"/>
        <v>0</v>
      </c>
      <c r="F244" s="209"/>
      <c r="G244" s="209"/>
    </row>
    <row r="245" spans="1:7" s="164" customFormat="1" ht="18.75">
      <c r="A245" s="222"/>
      <c r="B245" s="4" t="s">
        <v>551</v>
      </c>
      <c r="C245" s="223">
        <v>1450</v>
      </c>
      <c r="D245" s="200">
        <v>0</v>
      </c>
      <c r="E245" s="220">
        <f t="shared" si="11"/>
        <v>0</v>
      </c>
      <c r="F245" s="209"/>
      <c r="G245" s="209"/>
    </row>
    <row r="246" spans="1:7" s="164" customFormat="1" ht="18.75">
      <c r="A246" s="222"/>
      <c r="B246" s="4" t="s">
        <v>552</v>
      </c>
      <c r="C246" s="223">
        <v>1200</v>
      </c>
      <c r="D246" s="200">
        <v>0</v>
      </c>
      <c r="E246" s="220">
        <f t="shared" si="11"/>
        <v>0</v>
      </c>
      <c r="F246" s="209"/>
      <c r="G246" s="209"/>
    </row>
    <row r="247" spans="1:7" s="164" customFormat="1" ht="18.75">
      <c r="A247" s="222"/>
      <c r="B247" s="4" t="s">
        <v>553</v>
      </c>
      <c r="C247" s="223">
        <v>9000</v>
      </c>
      <c r="D247" s="200">
        <v>18000</v>
      </c>
      <c r="E247" s="220">
        <f t="shared" si="11"/>
        <v>9000</v>
      </c>
      <c r="F247" s="209"/>
      <c r="G247" s="209"/>
    </row>
    <row r="248" spans="1:7" s="164" customFormat="1" ht="18.75">
      <c r="A248" s="229" t="s">
        <v>570</v>
      </c>
      <c r="B248" s="230" t="s">
        <v>500</v>
      </c>
      <c r="C248" s="223">
        <v>401693</v>
      </c>
      <c r="D248" s="200">
        <v>349314</v>
      </c>
      <c r="E248" s="220">
        <f t="shared" si="11"/>
        <v>0</v>
      </c>
      <c r="F248" s="209"/>
      <c r="G248" s="209"/>
    </row>
    <row r="249" spans="1:7" s="164" customFormat="1" ht="18.75">
      <c r="A249" s="229" t="s">
        <v>571</v>
      </c>
      <c r="B249" s="230" t="s">
        <v>500</v>
      </c>
      <c r="C249" s="223">
        <v>1234670.3400000001</v>
      </c>
      <c r="D249" s="200">
        <v>1234670.3400000001</v>
      </c>
      <c r="E249" s="220">
        <f t="shared" si="11"/>
        <v>0</v>
      </c>
      <c r="F249" s="209"/>
      <c r="G249" s="209"/>
    </row>
    <row r="250" spans="1:7" s="164" customFormat="1" ht="18.75">
      <c r="A250" s="163" t="s">
        <v>340</v>
      </c>
      <c r="B250" s="73" t="s">
        <v>344</v>
      </c>
      <c r="C250" s="200">
        <v>1131085</v>
      </c>
      <c r="D250" s="200">
        <v>714523</v>
      </c>
      <c r="E250" s="220">
        <f t="shared" si="11"/>
        <v>0</v>
      </c>
      <c r="F250" s="209"/>
      <c r="G250" s="209"/>
    </row>
    <row r="251" spans="1:7" s="164" customFormat="1" ht="18.75">
      <c r="A251" s="163" t="s">
        <v>559</v>
      </c>
      <c r="B251" s="73" t="s">
        <v>345</v>
      </c>
      <c r="C251" s="200">
        <v>292650.63</v>
      </c>
      <c r="D251" s="200">
        <v>189108</v>
      </c>
      <c r="E251" s="220">
        <f t="shared" si="11"/>
        <v>0</v>
      </c>
      <c r="F251" s="209"/>
      <c r="G251" s="209"/>
    </row>
    <row r="252" spans="1:7" s="164" customFormat="1" ht="18.75">
      <c r="A252" s="163" t="s">
        <v>341</v>
      </c>
      <c r="B252" s="73" t="s">
        <v>346</v>
      </c>
      <c r="C252" s="200">
        <v>132000</v>
      </c>
      <c r="D252" s="200">
        <v>58900</v>
      </c>
      <c r="E252" s="220">
        <f t="shared" si="11"/>
        <v>0</v>
      </c>
      <c r="F252" s="209"/>
      <c r="G252" s="209"/>
    </row>
    <row r="253" spans="1:7" ht="19.5" thickBot="1">
      <c r="A253" s="50"/>
      <c r="B253" s="228" t="s">
        <v>16</v>
      </c>
      <c r="C253" s="191">
        <f>SUM(C241:C252)</f>
        <v>3721051.07</v>
      </c>
      <c r="D253" s="191">
        <f>SUM(D241:D252)</f>
        <v>2854232.34</v>
      </c>
      <c r="E253" s="220">
        <f>MAX(D253-C253,)</f>
        <v>0</v>
      </c>
    </row>
    <row r="254" spans="1:7">
      <c r="A254" s="50"/>
    </row>
    <row r="257" spans="1:7">
      <c r="A257" s="50"/>
      <c r="E257" s="37"/>
    </row>
    <row r="258" spans="1:7">
      <c r="A258" s="50"/>
      <c r="E258" s="37"/>
    </row>
    <row r="259" spans="1:7">
      <c r="A259" s="50"/>
    </row>
    <row r="260" spans="1:7">
      <c r="A260" s="50"/>
    </row>
    <row r="261" spans="1:7">
      <c r="A261" s="50"/>
      <c r="E261" s="37"/>
    </row>
    <row r="262" spans="1:7">
      <c r="A262" s="50"/>
    </row>
    <row r="263" spans="1:7">
      <c r="A263" s="50"/>
    </row>
    <row r="264" spans="1:7" ht="46.5">
      <c r="A264" s="50"/>
      <c r="B264" s="224" t="s">
        <v>566</v>
      </c>
      <c r="C264" s="225" t="e">
        <f>D54+D59+D77+D82+D91+D98+D111+D134+D147+D158+D198+D218+D238+C253</f>
        <v>#REF!</v>
      </c>
      <c r="D264" s="224" t="s">
        <v>567</v>
      </c>
      <c r="E264" s="225">
        <f>F54+F59+F77+F82+F91+F98+F111+F134+F147+F158+F198+F218+F238+D253</f>
        <v>29499111.589999996</v>
      </c>
      <c r="F264" s="226" t="s">
        <v>569</v>
      </c>
      <c r="G264" s="227" t="e">
        <f>MAX(E264-C264,)</f>
        <v>#REF!</v>
      </c>
    </row>
    <row r="265" spans="1:7">
      <c r="A265" s="50"/>
    </row>
    <row r="266" spans="1:7">
      <c r="A266" s="50"/>
      <c r="E266" s="37"/>
    </row>
    <row r="267" spans="1:7">
      <c r="A267" s="50"/>
      <c r="E267" s="37"/>
    </row>
  </sheetData>
  <mergeCells count="23">
    <mergeCell ref="A70:A75"/>
    <mergeCell ref="A63:A68"/>
    <mergeCell ref="A60:F60"/>
    <mergeCell ref="A10:D11"/>
    <mergeCell ref="A12:D12"/>
    <mergeCell ref="F14:F15"/>
    <mergeCell ref="A19:D19"/>
    <mergeCell ref="A239:E239"/>
    <mergeCell ref="E8:G9"/>
    <mergeCell ref="A219:F219"/>
    <mergeCell ref="A46:G46"/>
    <mergeCell ref="A55:G55"/>
    <mergeCell ref="A78:G78"/>
    <mergeCell ref="A83:G83"/>
    <mergeCell ref="A159:F159"/>
    <mergeCell ref="A199:F199"/>
    <mergeCell ref="A213:A214"/>
    <mergeCell ref="A112:F112"/>
    <mergeCell ref="A135:F135"/>
    <mergeCell ref="A148:F148"/>
    <mergeCell ref="A92:F92"/>
    <mergeCell ref="A99:F99"/>
    <mergeCell ref="A80:A81"/>
  </mergeCells>
  <conditionalFormatting sqref="E49">
    <cfRule type="cellIs" dxfId="111" priority="132" operator="lessThan">
      <formula>$C$49</formula>
    </cfRule>
  </conditionalFormatting>
  <conditionalFormatting sqref="E50">
    <cfRule type="cellIs" dxfId="110" priority="131" operator="lessThan">
      <formula>$C$50</formula>
    </cfRule>
  </conditionalFormatting>
  <conditionalFormatting sqref="E51">
    <cfRule type="cellIs" dxfId="109" priority="130" operator="lessThan">
      <formula>$C$51</formula>
    </cfRule>
  </conditionalFormatting>
  <conditionalFormatting sqref="E52">
    <cfRule type="cellIs" dxfId="108" priority="129" operator="lessThan">
      <formula>$C$52</formula>
    </cfRule>
  </conditionalFormatting>
  <conditionalFormatting sqref="E53">
    <cfRule type="cellIs" dxfId="107" priority="128" operator="lessThan">
      <formula>$C$53</formula>
    </cfRule>
  </conditionalFormatting>
  <conditionalFormatting sqref="F49">
    <cfRule type="cellIs" dxfId="106" priority="127" operator="greaterThan">
      <formula>$D$49</formula>
    </cfRule>
  </conditionalFormatting>
  <conditionalFormatting sqref="F50">
    <cfRule type="cellIs" dxfId="105" priority="126" operator="greaterThan">
      <formula>$D$50</formula>
    </cfRule>
  </conditionalFormatting>
  <conditionalFormatting sqref="F51">
    <cfRule type="cellIs" dxfId="104" priority="125" operator="greaterThan">
      <formula>$D$51</formula>
    </cfRule>
  </conditionalFormatting>
  <conditionalFormatting sqref="F52">
    <cfRule type="cellIs" dxfId="103" priority="124" operator="greaterThan">
      <formula>$D$52</formula>
    </cfRule>
  </conditionalFormatting>
  <conditionalFormatting sqref="F53">
    <cfRule type="cellIs" dxfId="102" priority="123" operator="greaterThan">
      <formula>$D$53</formula>
    </cfRule>
  </conditionalFormatting>
  <conditionalFormatting sqref="F54">
    <cfRule type="cellIs" dxfId="101" priority="122" operator="greaterThan">
      <formula>$D$54</formula>
    </cfRule>
  </conditionalFormatting>
  <conditionalFormatting sqref="F59">
    <cfRule type="cellIs" dxfId="100" priority="63" operator="greaterThan">
      <formula>$D$59</formula>
    </cfRule>
    <cfRule type="cellIs" dxfId="99" priority="121" operator="greaterThan">
      <formula>$D$54</formula>
    </cfRule>
  </conditionalFormatting>
  <conditionalFormatting sqref="F58">
    <cfRule type="cellIs" dxfId="98" priority="120" operator="greaterThan">
      <formula>$D$58</formula>
    </cfRule>
  </conditionalFormatting>
  <conditionalFormatting sqref="F77">
    <cfRule type="cellIs" dxfId="97" priority="115" operator="greaterThan">
      <formula>$D$77</formula>
    </cfRule>
    <cfRule type="cellIs" dxfId="96" priority="119" operator="greaterThan">
      <formula>$D$54</formula>
    </cfRule>
  </conditionalFormatting>
  <conditionalFormatting sqref="E62:E63 E65">
    <cfRule type="cellIs" dxfId="95" priority="118" operator="lessThan">
      <formula>$C$62</formula>
    </cfRule>
  </conditionalFormatting>
  <conditionalFormatting sqref="E63 E65">
    <cfRule type="cellIs" dxfId="94" priority="117" operator="lessThan">
      <formula>$C$63</formula>
    </cfRule>
  </conditionalFormatting>
  <conditionalFormatting sqref="F63:F76">
    <cfRule type="cellIs" dxfId="93" priority="116" operator="greaterThan">
      <formula>$D$63</formula>
    </cfRule>
  </conditionalFormatting>
  <conditionalFormatting sqref="F64">
    <cfRule type="cellIs" dxfId="92" priority="113" operator="greaterThan">
      <formula>$D$64</formula>
    </cfRule>
  </conditionalFormatting>
  <conditionalFormatting sqref="F65">
    <cfRule type="cellIs" dxfId="91" priority="112" operator="greaterThan">
      <formula>$D$65</formula>
    </cfRule>
  </conditionalFormatting>
  <conditionalFormatting sqref="E67">
    <cfRule type="cellIs" dxfId="90" priority="111" operator="lessThan">
      <formula>$C$67</formula>
    </cfRule>
  </conditionalFormatting>
  <conditionalFormatting sqref="E68">
    <cfRule type="cellIs" dxfId="89" priority="110" operator="lessThan">
      <formula>$C$68</formula>
    </cfRule>
  </conditionalFormatting>
  <conditionalFormatting sqref="F70">
    <cfRule type="cellIs" dxfId="88" priority="109" operator="greaterThan">
      <formula>$D$70</formula>
    </cfRule>
  </conditionalFormatting>
  <conditionalFormatting sqref="F72">
    <cfRule type="cellIs" dxfId="87" priority="108" operator="greaterThan">
      <formula>$D$72</formula>
    </cfRule>
  </conditionalFormatting>
  <conditionalFormatting sqref="E73">
    <cfRule type="cellIs" dxfId="86" priority="107" operator="lessThan">
      <formula>$C$73</formula>
    </cfRule>
  </conditionalFormatting>
  <conditionalFormatting sqref="F73">
    <cfRule type="cellIs" dxfId="85" priority="106" operator="greaterThan">
      <formula>$D$73</formula>
    </cfRule>
  </conditionalFormatting>
  <conditionalFormatting sqref="F74">
    <cfRule type="cellIs" dxfId="84" priority="105" operator="greaterThan">
      <formula>$D$74</formula>
    </cfRule>
  </conditionalFormatting>
  <conditionalFormatting sqref="E76">
    <cfRule type="cellIs" dxfId="83" priority="104" operator="lessThan">
      <formula>$C$76</formula>
    </cfRule>
  </conditionalFormatting>
  <conditionalFormatting sqref="F76">
    <cfRule type="cellIs" dxfId="82" priority="103" operator="greaterThan">
      <formula>$D$76</formula>
    </cfRule>
  </conditionalFormatting>
  <conditionalFormatting sqref="F82">
    <cfRule type="cellIs" dxfId="81" priority="99" operator="greaterThan">
      <formula>$D$82</formula>
    </cfRule>
    <cfRule type="cellIs" dxfId="80" priority="101" operator="greaterThan">
      <formula>$D$77</formula>
    </cfRule>
    <cfRule type="cellIs" dxfId="79" priority="102" operator="greaterThan">
      <formula>$D$54</formula>
    </cfRule>
  </conditionalFormatting>
  <conditionalFormatting sqref="F80">
    <cfRule type="cellIs" dxfId="78" priority="100" operator="greaterThan">
      <formula>$D$80</formula>
    </cfRule>
  </conditionalFormatting>
  <conditionalFormatting sqref="F111">
    <cfRule type="cellIs" dxfId="77" priority="90" operator="greaterThan">
      <formula>$D$82</formula>
    </cfRule>
    <cfRule type="cellIs" dxfId="76" priority="91" operator="greaterThan">
      <formula>$D$77</formula>
    </cfRule>
    <cfRule type="cellIs" dxfId="75" priority="92" operator="greaterThan">
      <formula>$D$54</formula>
    </cfRule>
  </conditionalFormatting>
  <conditionalFormatting sqref="F158">
    <cfRule type="cellIs" dxfId="74" priority="81" operator="greaterThan">
      <formula>$D$82</formula>
    </cfRule>
    <cfRule type="cellIs" dxfId="73" priority="82" operator="greaterThan">
      <formula>$D$77</formula>
    </cfRule>
    <cfRule type="cellIs" dxfId="72" priority="83" operator="greaterThan">
      <formula>$D$54</formula>
    </cfRule>
  </conditionalFormatting>
  <conditionalFormatting sqref="F198">
    <cfRule type="cellIs" dxfId="71" priority="78" operator="greaterThan">
      <formula>$D$82</formula>
    </cfRule>
    <cfRule type="cellIs" dxfId="70" priority="79" operator="greaterThan">
      <formula>$D$77</formula>
    </cfRule>
    <cfRule type="cellIs" dxfId="69" priority="80" operator="greaterThan">
      <formula>$D$54</formula>
    </cfRule>
  </conditionalFormatting>
  <conditionalFormatting sqref="F238">
    <cfRule type="cellIs" dxfId="68" priority="72" operator="greaterThan">
      <formula>$D$82</formula>
    </cfRule>
    <cfRule type="cellIs" dxfId="67" priority="73" operator="greaterThan">
      <formula>$D$77</formula>
    </cfRule>
    <cfRule type="cellIs" dxfId="66" priority="74" operator="greaterThan">
      <formula>$D$54</formula>
    </cfRule>
  </conditionalFormatting>
  <conditionalFormatting sqref="F91">
    <cfRule type="cellIs" dxfId="65" priority="70" operator="greaterThan">
      <formula>$D$91</formula>
    </cfRule>
  </conditionalFormatting>
  <conditionalFormatting sqref="E85">
    <cfRule type="cellIs" dxfId="64" priority="69" operator="lessThan">
      <formula>$C$85</formula>
    </cfRule>
  </conditionalFormatting>
  <conditionalFormatting sqref="F86">
    <cfRule type="cellIs" dxfId="63" priority="68" operator="greaterThan">
      <formula>$D$86</formula>
    </cfRule>
  </conditionalFormatting>
  <conditionalFormatting sqref="F87">
    <cfRule type="cellIs" dxfId="62" priority="67" operator="greaterThan">
      <formula>$D$87</formula>
    </cfRule>
  </conditionalFormatting>
  <conditionalFormatting sqref="F90">
    <cfRule type="cellIs" dxfId="61" priority="66" operator="greaterThan">
      <formula>$D$90</formula>
    </cfRule>
  </conditionalFormatting>
  <conditionalFormatting sqref="F95">
    <cfRule type="cellIs" dxfId="60" priority="65" operator="greaterThan">
      <formula>$D$95</formula>
    </cfRule>
  </conditionalFormatting>
  <conditionalFormatting sqref="F97">
    <cfRule type="cellIs" dxfId="59" priority="64" operator="greaterThan">
      <formula>$D$97</formula>
    </cfRule>
  </conditionalFormatting>
  <conditionalFormatting sqref="E102">
    <cfRule type="cellIs" dxfId="58" priority="62" operator="lessThan">
      <formula>$C$102</formula>
    </cfRule>
  </conditionalFormatting>
  <conditionalFormatting sqref="F101">
    <cfRule type="cellIs" dxfId="57" priority="61" operator="greaterThan">
      <formula>$D$101</formula>
    </cfRule>
  </conditionalFormatting>
  <conditionalFormatting sqref="F109">
    <cfRule type="cellIs" dxfId="56" priority="60" operator="greaterThan">
      <formula>$D$109</formula>
    </cfRule>
  </conditionalFormatting>
  <conditionalFormatting sqref="E124">
    <cfRule type="cellIs" dxfId="55" priority="59" operator="lessThan">
      <formula>$C$124</formula>
    </cfRule>
  </conditionalFormatting>
  <conditionalFormatting sqref="F134">
    <cfRule type="cellIs" dxfId="54" priority="58" operator="greaterThan">
      <formula>$D$134</formula>
    </cfRule>
  </conditionalFormatting>
  <conditionalFormatting sqref="F114">
    <cfRule type="cellIs" dxfId="53" priority="57" operator="greaterThan">
      <formula>$D$114</formula>
    </cfRule>
  </conditionalFormatting>
  <conditionalFormatting sqref="F117">
    <cfRule type="cellIs" dxfId="52" priority="56" operator="greaterThan">
      <formula>$D$117</formula>
    </cfRule>
  </conditionalFormatting>
  <conditionalFormatting sqref="F121">
    <cfRule type="cellIs" dxfId="51" priority="55" operator="greaterThan">
      <formula>$D$121</formula>
    </cfRule>
  </conditionalFormatting>
  <conditionalFormatting sqref="F128">
    <cfRule type="cellIs" dxfId="50" priority="54" operator="greaterThan">
      <formula>$D$128</formula>
    </cfRule>
  </conditionalFormatting>
  <conditionalFormatting sqref="F129">
    <cfRule type="cellIs" dxfId="49" priority="53" operator="greaterThan">
      <formula>$D$129</formula>
    </cfRule>
  </conditionalFormatting>
  <conditionalFormatting sqref="E137">
    <cfRule type="cellIs" dxfId="48" priority="52" operator="lessThan">
      <formula>$C$137</formula>
    </cfRule>
  </conditionalFormatting>
  <conditionalFormatting sqref="E145">
    <cfRule type="cellIs" dxfId="47" priority="51" operator="lessThan">
      <formula>$C$145</formula>
    </cfRule>
  </conditionalFormatting>
  <conditionalFormatting sqref="E146">
    <cfRule type="cellIs" dxfId="46" priority="50" operator="lessThan">
      <formula>$C$146</formula>
    </cfRule>
  </conditionalFormatting>
  <conditionalFormatting sqref="F142">
    <cfRule type="cellIs" dxfId="45" priority="49" operator="greaterThan">
      <formula>$D$142</formula>
    </cfRule>
  </conditionalFormatting>
  <conditionalFormatting sqref="F143">
    <cfRule type="cellIs" dxfId="44" priority="48" operator="greaterThan">
      <formula>$D$143</formula>
    </cfRule>
  </conditionalFormatting>
  <conditionalFormatting sqref="E154">
    <cfRule type="cellIs" dxfId="43" priority="47" operator="lessThan">
      <formula>$C$154</formula>
    </cfRule>
  </conditionalFormatting>
  <conditionalFormatting sqref="E155">
    <cfRule type="cellIs" dxfId="42" priority="46" operator="lessThan">
      <formula>$C$155</formula>
    </cfRule>
  </conditionalFormatting>
  <conditionalFormatting sqref="E157">
    <cfRule type="cellIs" dxfId="41" priority="45" operator="lessThan">
      <formula>$C$157</formula>
    </cfRule>
  </conditionalFormatting>
  <conditionalFormatting sqref="F150">
    <cfRule type="cellIs" dxfId="40" priority="44" operator="greaterThan">
      <formula>$D$150</formula>
    </cfRule>
  </conditionalFormatting>
  <conditionalFormatting sqref="F151">
    <cfRule type="cellIs" dxfId="39" priority="43" operator="greaterThan">
      <formula>$D$151</formula>
    </cfRule>
  </conditionalFormatting>
  <conditionalFormatting sqref="F153">
    <cfRule type="cellIs" dxfId="38" priority="42" operator="greaterThan">
      <formula>$D$153</formula>
    </cfRule>
  </conditionalFormatting>
  <conditionalFormatting sqref="E168">
    <cfRule type="cellIs" dxfId="37" priority="41" operator="lessThan">
      <formula>$C$168</formula>
    </cfRule>
  </conditionalFormatting>
  <conditionalFormatting sqref="E167">
    <cfRule type="cellIs" dxfId="36" priority="40" operator="lessThan">
      <formula>$C$167</formula>
    </cfRule>
  </conditionalFormatting>
  <conditionalFormatting sqref="E169">
    <cfRule type="cellIs" dxfId="35" priority="39" operator="lessThan">
      <formula>$C$169</formula>
    </cfRule>
  </conditionalFormatting>
  <conditionalFormatting sqref="E161">
    <cfRule type="cellIs" dxfId="34" priority="38" operator="lessThan">
      <formula>$C$161</formula>
    </cfRule>
  </conditionalFormatting>
  <conditionalFormatting sqref="F165">
    <cfRule type="cellIs" dxfId="33" priority="37" operator="greaterThan">
      <formula>$D$165</formula>
    </cfRule>
  </conditionalFormatting>
  <conditionalFormatting sqref="F164">
    <cfRule type="cellIs" dxfId="32" priority="36" operator="greaterThan">
      <formula>$D$164</formula>
    </cfRule>
  </conditionalFormatting>
  <conditionalFormatting sqref="E190">
    <cfRule type="cellIs" dxfId="31" priority="35" operator="lessThan">
      <formula>$C$190</formula>
    </cfRule>
  </conditionalFormatting>
  <conditionalFormatting sqref="E191">
    <cfRule type="cellIs" dxfId="30" priority="34" operator="lessThan">
      <formula>$C$191</formula>
    </cfRule>
  </conditionalFormatting>
  <conditionalFormatting sqref="E192">
    <cfRule type="cellIs" dxfId="29" priority="33" operator="lessThan">
      <formula>$C$192</formula>
    </cfRule>
  </conditionalFormatting>
  <conditionalFormatting sqref="E193">
    <cfRule type="cellIs" dxfId="28" priority="32" operator="lessThan">
      <formula>$C$193</formula>
    </cfRule>
  </conditionalFormatting>
  <conditionalFormatting sqref="E194">
    <cfRule type="cellIs" dxfId="27" priority="31" operator="lessThan">
      <formula>$C$194</formula>
    </cfRule>
  </conditionalFormatting>
  <conditionalFormatting sqref="F196">
    <cfRule type="cellIs" dxfId="26" priority="30" operator="greaterThan">
      <formula>$D$196</formula>
    </cfRule>
  </conditionalFormatting>
  <conditionalFormatting sqref="E201">
    <cfRule type="cellIs" dxfId="25" priority="29" operator="lessThan">
      <formula>$C$201</formula>
    </cfRule>
  </conditionalFormatting>
  <conditionalFormatting sqref="E202">
    <cfRule type="cellIs" dxfId="24" priority="28" operator="lessThan">
      <formula>$C$202</formula>
    </cfRule>
  </conditionalFormatting>
  <conditionalFormatting sqref="E203">
    <cfRule type="cellIs" dxfId="23" priority="27" operator="lessThan">
      <formula>$C$203</formula>
    </cfRule>
  </conditionalFormatting>
  <conditionalFormatting sqref="E205">
    <cfRule type="cellIs" dxfId="22" priority="26" operator="lessThan">
      <formula>$C$205</formula>
    </cfRule>
  </conditionalFormatting>
  <conditionalFormatting sqref="E207">
    <cfRule type="cellIs" dxfId="21" priority="25" operator="lessThan">
      <formula>$C$207</formula>
    </cfRule>
  </conditionalFormatting>
  <conditionalFormatting sqref="E208">
    <cfRule type="cellIs" dxfId="20" priority="24" operator="lessThan">
      <formula>$C$208</formula>
    </cfRule>
  </conditionalFormatting>
  <conditionalFormatting sqref="E212">
    <cfRule type="cellIs" dxfId="19" priority="23" operator="lessThan">
      <formula>$C$212</formula>
    </cfRule>
  </conditionalFormatting>
  <conditionalFormatting sqref="E213">
    <cfRule type="cellIs" dxfId="18" priority="22" operator="lessThan">
      <formula>$C$213</formula>
    </cfRule>
  </conditionalFormatting>
  <conditionalFormatting sqref="E214">
    <cfRule type="cellIs" dxfId="17" priority="21" operator="lessThan">
      <formula>$C$214</formula>
    </cfRule>
  </conditionalFormatting>
  <conditionalFormatting sqref="F209">
    <cfRule type="cellIs" dxfId="16" priority="20" operator="greaterThan">
      <formula>$D$209</formula>
    </cfRule>
  </conditionalFormatting>
  <conditionalFormatting sqref="F215">
    <cfRule type="cellIs" dxfId="15" priority="19" operator="greaterThan">
      <formula>$D$215</formula>
    </cfRule>
  </conditionalFormatting>
  <conditionalFormatting sqref="E221">
    <cfRule type="cellIs" dxfId="14" priority="18" operator="lessThan">
      <formula>$D$221</formula>
    </cfRule>
  </conditionalFormatting>
  <conditionalFormatting sqref="E222">
    <cfRule type="cellIs" dxfId="13" priority="17" operator="lessThan">
      <formula>$C$222</formula>
    </cfRule>
  </conditionalFormatting>
  <conditionalFormatting sqref="E223">
    <cfRule type="cellIs" dxfId="12" priority="16" operator="lessThan">
      <formula>$C$223</formula>
    </cfRule>
  </conditionalFormatting>
  <conditionalFormatting sqref="E224">
    <cfRule type="cellIs" dxfId="11" priority="15" operator="lessThan">
      <formula>$C$224</formula>
    </cfRule>
  </conditionalFormatting>
  <conditionalFormatting sqref="E225">
    <cfRule type="cellIs" dxfId="10" priority="14" operator="lessThan">
      <formula>$C$225</formula>
    </cfRule>
  </conditionalFormatting>
  <conditionalFormatting sqref="E226">
    <cfRule type="cellIs" dxfId="9" priority="13" operator="lessThan">
      <formula>$C$226</formula>
    </cfRule>
  </conditionalFormatting>
  <conditionalFormatting sqref="E227">
    <cfRule type="cellIs" dxfId="8" priority="12" operator="lessThan">
      <formula>$C$227</formula>
    </cfRule>
  </conditionalFormatting>
  <conditionalFormatting sqref="E228">
    <cfRule type="cellIs" dxfId="7" priority="11" operator="lessThan">
      <formula>$C$228</formula>
    </cfRule>
  </conditionalFormatting>
  <conditionalFormatting sqref="E232">
    <cfRule type="cellIs" dxfId="6" priority="10" operator="lessThan">
      <formula>$C$232</formula>
    </cfRule>
  </conditionalFormatting>
  <conditionalFormatting sqref="E233">
    <cfRule type="cellIs" dxfId="5" priority="9" operator="lessThan">
      <formula>$C$233</formula>
    </cfRule>
  </conditionalFormatting>
  <conditionalFormatting sqref="E234">
    <cfRule type="cellIs" dxfId="4" priority="8" operator="lessThan">
      <formula>$C$234</formula>
    </cfRule>
  </conditionalFormatting>
  <conditionalFormatting sqref="E235">
    <cfRule type="cellIs" dxfId="3" priority="7" operator="lessThan">
      <formula>$C$235</formula>
    </cfRule>
  </conditionalFormatting>
  <conditionalFormatting sqref="E236">
    <cfRule type="cellIs" dxfId="2" priority="6" operator="lessThan">
      <formula>$C$236</formula>
    </cfRule>
  </conditionalFormatting>
  <conditionalFormatting sqref="D242">
    <cfRule type="cellIs" dxfId="1" priority="2" operator="greaterThan">
      <formula>$C$242</formula>
    </cfRule>
  </conditionalFormatting>
  <conditionalFormatting sqref="D247">
    <cfRule type="cellIs" dxfId="0" priority="1" operator="greaterThan">
      <formula>$C$247</formula>
    </cfRule>
  </conditionalFormatting>
  <pageMargins left="3.937007874015748E-2" right="3.937007874015748E-2" top="0.19685039370078741" bottom="0" header="0.11811023622047244" footer="0.11811023622047244"/>
  <pageSetup paperSize="9" scale="81" orientation="landscape" r:id="rId1"/>
  <rowBreaks count="2" manualBreakCount="2">
    <brk id="76" max="6" man="1"/>
    <brk id="218" max="6" man="1"/>
  </rowBreaks>
  <colBreaks count="1" manualBreakCount="1">
    <brk id="7" max="1048575" man="1"/>
  </colBreaks>
  <drawing r:id="rId2"/>
  <legacyDrawing r:id="rId3"/>
  <oleObjects>
    <mc:AlternateContent xmlns:mc="http://schemas.openxmlformats.org/markup-compatibility/2006">
      <mc:Choice Requires="x14">
        <oleObject progId="CorelDraw.Graphic.16" shapeId="23553" r:id="rId4">
          <objectPr defaultSize="0" autoPict="0" r:id="rId5">
            <anchor moveWithCells="1">
              <from>
                <xdr:col>0</xdr:col>
                <xdr:colOff>285750</xdr:colOff>
                <xdr:row>0</xdr:row>
                <xdr:rowOff>104775</xdr:rowOff>
              </from>
              <to>
                <xdr:col>3</xdr:col>
                <xdr:colOff>1400175</xdr:colOff>
                <xdr:row>8</xdr:row>
                <xdr:rowOff>19050</xdr:rowOff>
              </to>
            </anchor>
          </objectPr>
        </oleObject>
      </mc:Choice>
      <mc:Fallback>
        <oleObject progId="CorelDraw.Graphic.16" shapeId="23553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0" workbookViewId="0">
      <selection activeCell="I47" sqref="I47"/>
    </sheetView>
  </sheetViews>
  <sheetFormatPr defaultRowHeight="15"/>
  <cols>
    <col min="1" max="1" width="54.85546875" customWidth="1"/>
    <col min="2" max="2" width="18.5703125" customWidth="1"/>
    <col min="3" max="3" width="22.7109375" customWidth="1"/>
    <col min="4" max="4" width="27.7109375" customWidth="1"/>
    <col min="5" max="5" width="16.5703125" customWidth="1"/>
    <col min="6" max="6" width="18.85546875" customWidth="1"/>
    <col min="7" max="7" width="10.7109375" bestFit="1" customWidth="1"/>
    <col min="8" max="8" width="18.7109375" customWidth="1"/>
  </cols>
  <sheetData>
    <row r="1" spans="1:10">
      <c r="A1" t="s">
        <v>358</v>
      </c>
    </row>
    <row r="2" spans="1:10">
      <c r="A2" t="s">
        <v>187</v>
      </c>
      <c r="C2" t="s">
        <v>367</v>
      </c>
      <c r="D2" t="s">
        <v>356</v>
      </c>
      <c r="E2" t="s">
        <v>368</v>
      </c>
      <c r="F2" t="s">
        <v>369</v>
      </c>
      <c r="G2" t="s">
        <v>357</v>
      </c>
      <c r="H2" t="s">
        <v>370</v>
      </c>
    </row>
    <row r="3" spans="1:10">
      <c r="A3" t="s">
        <v>359</v>
      </c>
    </row>
    <row r="4" spans="1:10">
      <c r="A4" t="s">
        <v>360</v>
      </c>
      <c r="B4" t="s">
        <v>361</v>
      </c>
      <c r="C4">
        <f>1/200</f>
        <v>5.0000000000000001E-3</v>
      </c>
      <c r="D4" s="50">
        <f>('Дефицит основной'!C13+'Дефицит основной'!E13+'Дефицит основной'!C14+'Дефицит основной'!E14+'Дефицит основной'!C15+'Дефицит основной'!C16+'Дефицит основной'!E16+'Дефицит основной'!C17+'Дефицит основной'!E17)*C4</f>
        <v>8.5150000000000006</v>
      </c>
      <c r="E4" s="50">
        <v>0</v>
      </c>
      <c r="F4" s="50">
        <f>MAX(D4-E4,)</f>
        <v>8.5150000000000006</v>
      </c>
      <c r="G4" s="74">
        <v>165</v>
      </c>
      <c r="H4" s="74">
        <f>F4*G4</f>
        <v>1404.9750000000001</v>
      </c>
    </row>
    <row r="5" spans="1:10">
      <c r="A5" t="s">
        <v>362</v>
      </c>
      <c r="B5" t="s">
        <v>363</v>
      </c>
      <c r="C5">
        <f>1/200</f>
        <v>5.0000000000000001E-3</v>
      </c>
      <c r="D5" s="50">
        <f>('Дефицит основной'!C13+'Дефицит основной'!E13+'Дефицит основной'!C14+'Дефицит основной'!E14+'Дефицит основной'!C15+'Дефицит основной'!C16+'Дефицит основной'!E16+'Дефицит основной'!C17+'Дефицит основной'!E17)*C5</f>
        <v>8.5150000000000006</v>
      </c>
      <c r="E5" s="50">
        <v>0</v>
      </c>
      <c r="F5" s="50">
        <f t="shared" ref="F5:F29" si="0">MAX(D5-E5,)</f>
        <v>8.5150000000000006</v>
      </c>
      <c r="G5" s="74">
        <v>480</v>
      </c>
      <c r="H5" s="74">
        <f t="shared" ref="H5:H15" si="1">F5*G5</f>
        <v>4087.2000000000003</v>
      </c>
      <c r="J5" s="50"/>
    </row>
    <row r="6" spans="1:10">
      <c r="A6" t="s">
        <v>364</v>
      </c>
      <c r="B6" t="s">
        <v>361</v>
      </c>
      <c r="C6">
        <f t="shared" ref="C6:C11" si="2">1/500</f>
        <v>2E-3</v>
      </c>
      <c r="D6" s="50">
        <f>('Дефицит основной'!C13+'Дефицит основной'!E13+'Дефицит основной'!C14+'Дефицит основной'!E14+'Дефицит основной'!C15+'Дефицит основной'!C16+'Дефицит основной'!E16+'Дефицит основной'!C17+'Дефицит основной'!E17)*C6</f>
        <v>3.4060000000000001</v>
      </c>
      <c r="E6" s="50">
        <v>0</v>
      </c>
      <c r="F6" s="50">
        <f t="shared" si="0"/>
        <v>3.4060000000000001</v>
      </c>
      <c r="G6" s="74">
        <v>385</v>
      </c>
      <c r="H6" s="74">
        <f t="shared" si="1"/>
        <v>1311.31</v>
      </c>
      <c r="J6" s="50"/>
    </row>
    <row r="7" spans="1:10">
      <c r="A7" t="s">
        <v>372</v>
      </c>
      <c r="B7" t="s">
        <v>361</v>
      </c>
      <c r="C7">
        <f t="shared" si="2"/>
        <v>2E-3</v>
      </c>
      <c r="D7" s="50">
        <f>('Дефицит основной'!C13+'Дефицит основной'!E13+'Дефицит основной'!C14+'Дефицит основной'!E14+'Дефицит основной'!C15+'Дефицит основной'!C16+'Дефицит основной'!E16+'Дефицит основной'!C17+'Дефицит основной'!E17)*C7</f>
        <v>3.4060000000000001</v>
      </c>
      <c r="E7" s="50">
        <v>0</v>
      </c>
      <c r="F7" s="50">
        <f t="shared" si="0"/>
        <v>3.4060000000000001</v>
      </c>
      <c r="G7" s="74">
        <v>185</v>
      </c>
      <c r="H7" s="74">
        <f t="shared" si="1"/>
        <v>630.11</v>
      </c>
      <c r="J7" s="50"/>
    </row>
    <row r="8" spans="1:10">
      <c r="A8" t="s">
        <v>365</v>
      </c>
      <c r="B8" t="s">
        <v>361</v>
      </c>
      <c r="C8">
        <f t="shared" si="2"/>
        <v>2E-3</v>
      </c>
      <c r="D8" s="50">
        <f>('Дефицит основной'!C13+'Дефицит основной'!E13+'Дефицит основной'!C14+'Дефицит основной'!E14+'Дефицит основной'!C15+'Дефицит основной'!C16+'Дефицит основной'!E16+'Дефицит основной'!C17+'Дефицит основной'!E17)*C8</f>
        <v>3.4060000000000001</v>
      </c>
      <c r="E8" s="50">
        <v>0</v>
      </c>
      <c r="F8" s="50">
        <f t="shared" si="0"/>
        <v>3.4060000000000001</v>
      </c>
      <c r="G8" s="74">
        <v>140</v>
      </c>
      <c r="H8" s="74">
        <f t="shared" si="1"/>
        <v>476.84000000000003</v>
      </c>
      <c r="J8" s="50"/>
    </row>
    <row r="9" spans="1:10">
      <c r="A9" t="s">
        <v>366</v>
      </c>
      <c r="B9" t="s">
        <v>361</v>
      </c>
      <c r="C9">
        <f t="shared" si="2"/>
        <v>2E-3</v>
      </c>
      <c r="D9" s="50">
        <f>('Дефицит основной'!C13+'Дефицит основной'!E13+'Дефицит основной'!C14+'Дефицит основной'!E14+'Дефицит основной'!C15+'Дефицит основной'!C16+'Дефицит основной'!E16+'Дефицит основной'!C17+'Дефицит основной'!E17)*C9</f>
        <v>3.4060000000000001</v>
      </c>
      <c r="E9" s="50">
        <v>0</v>
      </c>
      <c r="F9" s="50">
        <f t="shared" si="0"/>
        <v>3.4060000000000001</v>
      </c>
      <c r="G9" s="74">
        <v>125</v>
      </c>
      <c r="H9" s="74">
        <f t="shared" si="1"/>
        <v>425.75</v>
      </c>
      <c r="J9" s="50"/>
    </row>
    <row r="10" spans="1:10">
      <c r="A10" t="s">
        <v>375</v>
      </c>
      <c r="C10">
        <f t="shared" si="2"/>
        <v>2E-3</v>
      </c>
      <c r="D10" s="50">
        <f>J10*C10</f>
        <v>3.0060000000000002</v>
      </c>
      <c r="E10" s="50">
        <v>0</v>
      </c>
      <c r="F10" s="50">
        <f t="shared" si="0"/>
        <v>3.0060000000000002</v>
      </c>
      <c r="G10" s="74">
        <v>340</v>
      </c>
      <c r="H10" s="74">
        <f t="shared" si="1"/>
        <v>1022.0400000000001</v>
      </c>
      <c r="J10" s="50">
        <f>('Дефицит основной'!C13+'Дефицит основной'!E13+'Дефицит основной'!C14+'Дефицит основной'!C15+'Дефицит основной'!C16+'Дефицит основной'!E16+'Дефицит основной'!C17+'Дефицит основной'!E17)</f>
        <v>1503</v>
      </c>
    </row>
    <row r="11" spans="1:10">
      <c r="A11" t="s">
        <v>375</v>
      </c>
      <c r="C11">
        <f t="shared" si="2"/>
        <v>2E-3</v>
      </c>
      <c r="D11" s="50">
        <f>J10*C11</f>
        <v>3.0060000000000002</v>
      </c>
      <c r="E11" s="50">
        <v>0</v>
      </c>
      <c r="F11" s="50">
        <f t="shared" si="0"/>
        <v>3.0060000000000002</v>
      </c>
      <c r="G11" s="74">
        <v>185</v>
      </c>
      <c r="H11" s="74">
        <f t="shared" si="1"/>
        <v>556.11</v>
      </c>
    </row>
    <row r="12" spans="1:10">
      <c r="A12" t="s">
        <v>376</v>
      </c>
      <c r="D12" s="50"/>
      <c r="E12" s="50">
        <v>0</v>
      </c>
      <c r="F12" s="50"/>
      <c r="G12" s="74"/>
      <c r="H12" s="74"/>
    </row>
    <row r="13" spans="1:10">
      <c r="A13" t="s">
        <v>377</v>
      </c>
      <c r="B13" t="s">
        <v>378</v>
      </c>
      <c r="C13">
        <f>1/500</f>
        <v>2E-3</v>
      </c>
      <c r="D13" s="50">
        <f>J10*C13</f>
        <v>3.0060000000000002</v>
      </c>
      <c r="E13">
        <v>0</v>
      </c>
      <c r="F13" s="50">
        <f t="shared" si="0"/>
        <v>3.0060000000000002</v>
      </c>
      <c r="G13" s="74">
        <v>140</v>
      </c>
      <c r="H13" s="74">
        <f t="shared" si="1"/>
        <v>420.84000000000003</v>
      </c>
    </row>
    <row r="14" spans="1:10">
      <c r="A14" t="s">
        <v>377</v>
      </c>
      <c r="B14" t="s">
        <v>380</v>
      </c>
      <c r="C14">
        <f>1/500</f>
        <v>2E-3</v>
      </c>
      <c r="D14" s="50">
        <f>J10*C14</f>
        <v>3.0060000000000002</v>
      </c>
      <c r="E14">
        <v>2</v>
      </c>
      <c r="F14" s="50">
        <f t="shared" si="0"/>
        <v>1.0060000000000002</v>
      </c>
      <c r="G14" s="74">
        <v>170</v>
      </c>
      <c r="H14" s="74">
        <f t="shared" si="1"/>
        <v>171.02000000000004</v>
      </c>
    </row>
    <row r="15" spans="1:10">
      <c r="A15" t="s">
        <v>377</v>
      </c>
      <c r="B15" t="s">
        <v>379</v>
      </c>
      <c r="C15">
        <f>1/250</f>
        <v>4.0000000000000001E-3</v>
      </c>
      <c r="D15" s="50">
        <f>J10*C15</f>
        <v>6.0120000000000005</v>
      </c>
      <c r="E15">
        <v>0</v>
      </c>
      <c r="F15" s="50">
        <f t="shared" si="0"/>
        <v>6.0120000000000005</v>
      </c>
      <c r="G15">
        <v>200</v>
      </c>
      <c r="H15" s="74">
        <f t="shared" si="1"/>
        <v>1202.4000000000001</v>
      </c>
    </row>
    <row r="16" spans="1:10">
      <c r="F16" s="50"/>
      <c r="G16" s="74" t="s">
        <v>371</v>
      </c>
      <c r="H16" s="74">
        <f>SUM(H4:H15)</f>
        <v>11708.595000000003</v>
      </c>
    </row>
    <row r="17" spans="1:8">
      <c r="A17" t="s">
        <v>373</v>
      </c>
      <c r="F17" s="50"/>
    </row>
    <row r="18" spans="1:8" ht="15.75" thickBot="1">
      <c r="A18" t="s">
        <v>374</v>
      </c>
      <c r="F18" s="50"/>
    </row>
    <row r="19" spans="1:8" ht="18">
      <c r="A19" s="93" t="s">
        <v>383</v>
      </c>
      <c r="B19" s="94"/>
      <c r="C19">
        <f>'расход инструмента'!F5</f>
        <v>3.8399999999999997E-2</v>
      </c>
      <c r="D19" s="125">
        <f>('Дефицит основной'!C13+'Дефицит основной'!E13+'Дефицит основной'!C14+'Дефицит основной'!C15+'Дефицит основной'!C16+'Дефицит основной'!E16+'Дефицит основной'!C17+'Дефицит основной'!E17)*C19</f>
        <v>57.715199999999996</v>
      </c>
      <c r="F19" s="125">
        <f t="shared" si="0"/>
        <v>57.715199999999996</v>
      </c>
      <c r="G19" s="74">
        <v>365</v>
      </c>
      <c r="H19" s="74">
        <f>F19*G19</f>
        <v>21066.047999999999</v>
      </c>
    </row>
    <row r="20" spans="1:8" ht="18">
      <c r="A20" s="96" t="s">
        <v>384</v>
      </c>
      <c r="B20" s="94"/>
      <c r="C20">
        <f>'расход инструмента'!F6</f>
        <v>8.1200000000000008E-2</v>
      </c>
      <c r="D20" s="125">
        <f>('Дефицит основной'!C13+'Дефицит основной'!E13+'Дефицит основной'!C14+'Дефицит основной'!C15+'Дефицит основной'!C16+'Дефицит основной'!E16+'Дефицит основной'!C17+'Дефицит основной'!E17)*C20</f>
        <v>122.04360000000001</v>
      </c>
      <c r="F20" s="125">
        <f t="shared" si="0"/>
        <v>122.04360000000001</v>
      </c>
      <c r="G20" s="74">
        <v>849</v>
      </c>
      <c r="H20" s="74">
        <f t="shared" ref="H20:H29" si="3">F20*G20</f>
        <v>103615.01640000001</v>
      </c>
    </row>
    <row r="21" spans="1:8" ht="18">
      <c r="A21" s="98" t="s">
        <v>386</v>
      </c>
      <c r="B21" s="94"/>
      <c r="C21">
        <f>'расход инструмента'!F7</f>
        <v>1.06E-2</v>
      </c>
      <c r="D21" s="125">
        <f>('Дефицит основной'!C13+'Дефицит основной'!E13+'Дефицит основной'!C14+'Дефицит основной'!C15+'Дефицит основной'!C16+'Дефицит основной'!E16+'Дефицит основной'!C17+'Дефицит основной'!E17)*C21</f>
        <v>15.931800000000001</v>
      </c>
      <c r="F21" s="125">
        <f t="shared" si="0"/>
        <v>15.931800000000001</v>
      </c>
      <c r="G21" s="74">
        <v>6490</v>
      </c>
      <c r="H21" s="74">
        <f t="shared" si="3"/>
        <v>103397.38200000001</v>
      </c>
    </row>
    <row r="22" spans="1:8" ht="18.75" thickBot="1">
      <c r="A22" s="99" t="s">
        <v>387</v>
      </c>
      <c r="B22" s="94"/>
      <c r="C22">
        <f>'расход инструмента'!F8</f>
        <v>2.5000000000000001E-3</v>
      </c>
      <c r="D22" s="125">
        <f>('Дефицит основной'!C13+'Дефицит основной'!E13+'Дефицит основной'!C14+'Дефицит основной'!C15+'Дефицит основной'!C16+'Дефицит основной'!E16+'Дефицит основной'!C17+'Дефицит основной'!E17)*C22</f>
        <v>3.7575000000000003</v>
      </c>
      <c r="F22" s="125">
        <f t="shared" si="0"/>
        <v>3.7575000000000003</v>
      </c>
      <c r="G22" s="74">
        <v>425.84</v>
      </c>
      <c r="H22" s="74">
        <f t="shared" si="3"/>
        <v>1600.0938000000001</v>
      </c>
    </row>
    <row r="23" spans="1:8" ht="18">
      <c r="A23" s="101" t="s">
        <v>389</v>
      </c>
      <c r="B23" s="94"/>
      <c r="C23">
        <f>'расход инструмента'!F9</f>
        <v>1.9400000000000001E-2</v>
      </c>
      <c r="D23" s="125">
        <f>('Дефицит основной'!C13+'Дефицит основной'!E13+'Дефицит основной'!C14+'Дефицит основной'!C15+'Дефицит основной'!C16+'Дефицит основной'!E16+'Дефицит основной'!C17+'Дефицит основной'!E17)*C23</f>
        <v>29.158200000000001</v>
      </c>
      <c r="F23" s="125">
        <f t="shared" si="0"/>
        <v>29.158200000000001</v>
      </c>
      <c r="G23" s="74">
        <v>649</v>
      </c>
      <c r="H23" s="74">
        <f t="shared" si="3"/>
        <v>18923.6718</v>
      </c>
    </row>
    <row r="24" spans="1:8" ht="18">
      <c r="A24" s="108" t="s">
        <v>395</v>
      </c>
      <c r="B24" s="94"/>
      <c r="C24">
        <f>'расход инструмента'!F10</f>
        <v>1.6199999999999999E-2</v>
      </c>
      <c r="D24" s="125">
        <f>('Дефицит основной'!C13+'Дефицит основной'!E13+'Дефицит основной'!C14+'Дефицит основной'!C15+'Дефицит основной'!C16+'Дефицит основной'!E16+'Дефицит основной'!C17+'Дефицит основной'!E17)*C24</f>
        <v>24.348599999999998</v>
      </c>
      <c r="F24" s="125">
        <f t="shared" si="0"/>
        <v>24.348599999999998</v>
      </c>
      <c r="G24" s="74">
        <v>289.10000000000002</v>
      </c>
      <c r="H24" s="74">
        <f t="shared" si="3"/>
        <v>7039.1802600000001</v>
      </c>
    </row>
    <row r="25" spans="1:8" ht="18">
      <c r="A25" s="112" t="s">
        <v>398</v>
      </c>
      <c r="B25" s="94"/>
      <c r="C25">
        <f>'расход инструмента'!F11</f>
        <v>7.1000000000000004E-3</v>
      </c>
      <c r="D25" s="125">
        <f>('Дефицит основной'!C13+'Дефицит основной'!E13+'Дефицит основной'!C14+'Дефицит основной'!C15+'Дефицит основной'!C16+'Дефицит основной'!E16+'Дефицит основной'!C17+'Дефицит основной'!E17)*C25</f>
        <v>10.6713</v>
      </c>
      <c r="F25" s="125">
        <f t="shared" si="0"/>
        <v>10.6713</v>
      </c>
      <c r="G25" s="74"/>
      <c r="H25" s="74">
        <f t="shared" si="3"/>
        <v>0</v>
      </c>
    </row>
    <row r="26" spans="1:8" ht="42" customHeight="1" thickBot="1">
      <c r="A26" s="123" t="s">
        <v>400</v>
      </c>
      <c r="B26" s="94"/>
      <c r="C26">
        <f>'расход инструмента'!F12</f>
        <v>5.0000000000000001E-3</v>
      </c>
      <c r="D26" s="125">
        <f>('Дефицит основной'!C13+'Дефицит основной'!E13+'Дефицит основной'!C14+'Дефицит основной'!C15+'Дефицит основной'!C16+'Дефицит основной'!E16+'Дефицит основной'!C17+'Дефицит основной'!E17)*C26</f>
        <v>7.5150000000000006</v>
      </c>
      <c r="F26" s="125">
        <f t="shared" si="0"/>
        <v>7.5150000000000006</v>
      </c>
      <c r="G26" s="74">
        <v>1083.6400000000001</v>
      </c>
      <c r="H26" s="74">
        <f t="shared" si="3"/>
        <v>8143.5546000000013</v>
      </c>
    </row>
    <row r="27" spans="1:8" ht="18">
      <c r="A27" s="115" t="s">
        <v>402</v>
      </c>
      <c r="B27" s="94"/>
      <c r="C27">
        <f>'расход инструмента'!F13</f>
        <v>1E-3</v>
      </c>
      <c r="D27" s="125">
        <f>('Дефицит основной'!C13+'Дефицит основной'!E13+'Дефицит основной'!C14+'Дефицит основной'!C15+'Дефицит основной'!C16+'Дефицит основной'!E16+'Дефицит основной'!C17+'Дефицит основной'!E17)*C27</f>
        <v>1.5030000000000001</v>
      </c>
      <c r="F27" s="125">
        <f t="shared" si="0"/>
        <v>1.5030000000000001</v>
      </c>
      <c r="G27" s="74"/>
      <c r="H27" s="74">
        <f t="shared" si="3"/>
        <v>0</v>
      </c>
    </row>
    <row r="28" spans="1:8" ht="18">
      <c r="A28" s="116" t="s">
        <v>403</v>
      </c>
      <c r="B28" s="94"/>
      <c r="C28">
        <f>'расход инструмента'!F14</f>
        <v>1.6999999999999999E-3</v>
      </c>
      <c r="D28" s="125">
        <f>('Дефицит основной'!C13+'Дефицит основной'!E13+'Дефицит основной'!C14+'Дефицит основной'!C15+'Дефицит основной'!C16+'Дефицит основной'!E16+'Дефицит основной'!C17+'Дефицит основной'!E17)*C28</f>
        <v>2.5550999999999999</v>
      </c>
      <c r="F28" s="125">
        <f t="shared" si="0"/>
        <v>2.5550999999999999</v>
      </c>
      <c r="G28" s="74"/>
      <c r="H28" s="74">
        <f t="shared" si="3"/>
        <v>0</v>
      </c>
    </row>
    <row r="29" spans="1:8" ht="18">
      <c r="A29" s="118" t="s">
        <v>407</v>
      </c>
      <c r="B29" s="94"/>
      <c r="C29">
        <f>'расход инструмента'!F15</f>
        <v>6.1999999999999998E-3</v>
      </c>
      <c r="D29" s="125">
        <f>('Дефицит основной'!C13+'Дефицит основной'!E13+'Дефицит основной'!C14+'Дефицит основной'!C15+'Дефицит основной'!C16+'Дефицит основной'!E16+'Дефицит основной'!C17+'Дефицит основной'!E17)*C29</f>
        <v>9.3186</v>
      </c>
      <c r="F29" s="125">
        <f t="shared" si="0"/>
        <v>9.3186</v>
      </c>
      <c r="G29" s="74">
        <v>909.65</v>
      </c>
      <c r="H29" s="74">
        <f t="shared" si="3"/>
        <v>8476.6644899999992</v>
      </c>
    </row>
    <row r="30" spans="1:8">
      <c r="G30" t="s">
        <v>371</v>
      </c>
      <c r="H30" s="74">
        <f>SUM(H19:H29)</f>
        <v>272261.61135000002</v>
      </c>
    </row>
    <row r="32" spans="1:8" thickBot="1"/>
    <row r="33" spans="1:9" ht="45">
      <c r="A33" s="154" t="s">
        <v>510</v>
      </c>
      <c r="B33" s="154" t="s">
        <v>511</v>
      </c>
      <c r="C33" s="154" t="s">
        <v>512</v>
      </c>
      <c r="D33" s="155" t="s">
        <v>513</v>
      </c>
      <c r="E33" s="165" t="s">
        <v>514</v>
      </c>
      <c r="F33" t="s">
        <v>515</v>
      </c>
    </row>
    <row r="34" spans="1:9">
      <c r="A34" s="41" t="s">
        <v>516</v>
      </c>
      <c r="B34" s="41" t="s">
        <v>517</v>
      </c>
      <c r="C34" s="41" t="s">
        <v>518</v>
      </c>
      <c r="D34" s="166">
        <v>8</v>
      </c>
      <c r="E34" s="74">
        <v>1658</v>
      </c>
      <c r="F34" s="74">
        <f>E34*D34</f>
        <v>13264</v>
      </c>
    </row>
    <row r="35" spans="1:9">
      <c r="A35" s="41" t="s">
        <v>519</v>
      </c>
      <c r="B35" s="41" t="s">
        <v>517</v>
      </c>
      <c r="C35" s="42" t="s">
        <v>520</v>
      </c>
      <c r="D35" s="167">
        <v>10</v>
      </c>
      <c r="E35" s="74">
        <v>1860.23</v>
      </c>
      <c r="F35" s="74">
        <f t="shared" ref="F35:F45" si="4">E35*D35</f>
        <v>18602.3</v>
      </c>
    </row>
    <row r="36" spans="1:9">
      <c r="A36" s="41" t="s">
        <v>519</v>
      </c>
      <c r="B36" s="41" t="s">
        <v>517</v>
      </c>
      <c r="C36" s="41" t="s">
        <v>521</v>
      </c>
      <c r="D36" s="167">
        <v>10</v>
      </c>
      <c r="E36" s="74">
        <v>1673.49</v>
      </c>
      <c r="F36" s="74">
        <f t="shared" si="4"/>
        <v>16734.900000000001</v>
      </c>
    </row>
    <row r="37" spans="1:9">
      <c r="A37" s="41" t="s">
        <v>519</v>
      </c>
      <c r="B37" s="41" t="s">
        <v>517</v>
      </c>
      <c r="C37" s="41" t="s">
        <v>522</v>
      </c>
      <c r="D37" s="167">
        <v>1</v>
      </c>
      <c r="E37" s="74">
        <v>1201.0999999999999</v>
      </c>
      <c r="F37" s="74">
        <f t="shared" si="4"/>
        <v>1201.0999999999999</v>
      </c>
    </row>
    <row r="38" spans="1:9">
      <c r="A38" s="41" t="s">
        <v>523</v>
      </c>
      <c r="B38" s="41" t="s">
        <v>524</v>
      </c>
      <c r="C38" s="42" t="s">
        <v>525</v>
      </c>
      <c r="D38" s="167">
        <v>4</v>
      </c>
      <c r="E38" s="74">
        <v>1177.26</v>
      </c>
      <c r="F38" s="74">
        <f t="shared" si="4"/>
        <v>4709.04</v>
      </c>
    </row>
    <row r="39" spans="1:9">
      <c r="A39" s="41" t="s">
        <v>526</v>
      </c>
      <c r="B39" s="41" t="s">
        <v>527</v>
      </c>
      <c r="C39" s="42" t="s">
        <v>528</v>
      </c>
      <c r="D39" s="167">
        <v>10</v>
      </c>
      <c r="E39" s="74">
        <v>716.56</v>
      </c>
      <c r="F39" s="74">
        <f t="shared" si="4"/>
        <v>7165.5999999999995</v>
      </c>
    </row>
    <row r="40" spans="1:9">
      <c r="A40" s="41" t="s">
        <v>526</v>
      </c>
      <c r="B40" s="41" t="s">
        <v>527</v>
      </c>
      <c r="C40" s="42" t="s">
        <v>529</v>
      </c>
      <c r="D40" s="167">
        <v>10</v>
      </c>
      <c r="E40" s="74">
        <v>686.53</v>
      </c>
      <c r="F40" s="74">
        <f t="shared" si="4"/>
        <v>6865.2999999999993</v>
      </c>
    </row>
    <row r="41" spans="1:9">
      <c r="A41" s="41" t="s">
        <v>526</v>
      </c>
      <c r="B41" s="41" t="s">
        <v>530</v>
      </c>
      <c r="C41" s="42" t="s">
        <v>531</v>
      </c>
      <c r="D41" s="167">
        <v>10</v>
      </c>
      <c r="E41" s="74">
        <v>592.03</v>
      </c>
      <c r="F41" s="74">
        <f t="shared" si="4"/>
        <v>5920.2999999999993</v>
      </c>
    </row>
    <row r="42" spans="1:9">
      <c r="A42" s="41" t="s">
        <v>532</v>
      </c>
      <c r="B42" s="41" t="s">
        <v>533</v>
      </c>
      <c r="C42" s="41" t="s">
        <v>534</v>
      </c>
      <c r="D42" s="167">
        <v>10</v>
      </c>
      <c r="E42" s="74">
        <v>304.99</v>
      </c>
      <c r="F42" s="74">
        <f t="shared" si="4"/>
        <v>3049.9</v>
      </c>
    </row>
    <row r="43" spans="1:9">
      <c r="A43" s="41" t="s">
        <v>532</v>
      </c>
      <c r="B43" s="41" t="s">
        <v>535</v>
      </c>
      <c r="C43" s="41" t="s">
        <v>536</v>
      </c>
      <c r="D43" s="167">
        <v>10</v>
      </c>
      <c r="E43" s="74">
        <v>430.57</v>
      </c>
      <c r="F43" s="74">
        <f t="shared" si="4"/>
        <v>4305.7</v>
      </c>
    </row>
    <row r="44" spans="1:9">
      <c r="A44" s="41" t="s">
        <v>532</v>
      </c>
      <c r="B44" s="41" t="s">
        <v>533</v>
      </c>
      <c r="C44" s="41" t="s">
        <v>537</v>
      </c>
      <c r="D44" s="167">
        <v>10</v>
      </c>
      <c r="E44" s="74">
        <v>243.67</v>
      </c>
      <c r="F44" s="74">
        <f t="shared" si="4"/>
        <v>2436.6999999999998</v>
      </c>
    </row>
    <row r="45" spans="1:9" ht="15.75" thickBot="1">
      <c r="A45" s="168" t="s">
        <v>519</v>
      </c>
      <c r="B45" s="168" t="s">
        <v>538</v>
      </c>
      <c r="C45" s="170" t="s">
        <v>539</v>
      </c>
      <c r="D45" s="169">
        <v>10</v>
      </c>
      <c r="E45" s="74">
        <v>1004.4</v>
      </c>
      <c r="F45" s="74">
        <f t="shared" si="4"/>
        <v>10044</v>
      </c>
    </row>
    <row r="47" spans="1:9" ht="30.75" thickBot="1">
      <c r="F47" t="s">
        <v>371</v>
      </c>
      <c r="G47">
        <f>SUM(F34:F45)</f>
        <v>94298.839999999982</v>
      </c>
      <c r="H47" s="165" t="s">
        <v>541</v>
      </c>
      <c r="I47">
        <f>G47/4500</f>
        <v>20.955297777777773</v>
      </c>
    </row>
    <row r="48" spans="1:9" ht="15.75" thickBot="1">
      <c r="B48" s="816" t="s">
        <v>540</v>
      </c>
      <c r="C48" s="817"/>
      <c r="D48" s="818"/>
    </row>
  </sheetData>
  <mergeCells count="1">
    <mergeCell ref="B48:D4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view="pageBreakPreview" zoomScale="85" zoomScaleSheetLayoutView="85" workbookViewId="0">
      <selection activeCell="J15" sqref="J15"/>
    </sheetView>
  </sheetViews>
  <sheetFormatPr defaultRowHeight="15.75"/>
  <cols>
    <col min="1" max="1" width="6.42578125" style="5" customWidth="1"/>
    <col min="2" max="2" width="30.5703125" style="5" customWidth="1"/>
    <col min="3" max="3" width="40.85546875" style="5" customWidth="1"/>
    <col min="4" max="4" width="19.42578125" style="5" customWidth="1"/>
    <col min="5" max="5" width="17.5703125" style="5" customWidth="1"/>
    <col min="6" max="8" width="9.140625" style="25"/>
    <col min="9" max="9" width="10.85546875" style="25" customWidth="1"/>
    <col min="10" max="10" width="10.140625" style="26" customWidth="1"/>
    <col min="11" max="11" width="13.28515625" style="5" bestFit="1" customWidth="1"/>
    <col min="12" max="12" width="9.140625" style="5"/>
    <col min="13" max="14" width="13.140625" style="5" bestFit="1" customWidth="1"/>
    <col min="15" max="15" width="9.140625" style="5"/>
    <col min="16" max="16" width="13.140625" style="5" bestFit="1" customWidth="1"/>
    <col min="17" max="257" width="9.140625" style="5"/>
    <col min="258" max="258" width="6.42578125" style="5" customWidth="1"/>
    <col min="259" max="259" width="30.5703125" style="5" customWidth="1"/>
    <col min="260" max="260" width="40.85546875" style="5" customWidth="1"/>
    <col min="261" max="261" width="19.42578125" style="5" customWidth="1"/>
    <col min="262" max="262" width="17.5703125" style="5" customWidth="1"/>
    <col min="263" max="264" width="9.140625" style="5"/>
    <col min="265" max="265" width="10.85546875" style="5" customWidth="1"/>
    <col min="266" max="266" width="10.140625" style="5" customWidth="1"/>
    <col min="267" max="267" width="13.28515625" style="5" bestFit="1" customWidth="1"/>
    <col min="268" max="513" width="9.140625" style="5"/>
    <col min="514" max="514" width="6.42578125" style="5" customWidth="1"/>
    <col min="515" max="515" width="30.5703125" style="5" customWidth="1"/>
    <col min="516" max="516" width="40.85546875" style="5" customWidth="1"/>
    <col min="517" max="517" width="19.42578125" style="5" customWidth="1"/>
    <col min="518" max="518" width="17.5703125" style="5" customWidth="1"/>
    <col min="519" max="520" width="9.140625" style="5"/>
    <col min="521" max="521" width="10.85546875" style="5" customWidth="1"/>
    <col min="522" max="522" width="10.140625" style="5" customWidth="1"/>
    <col min="523" max="523" width="13.28515625" style="5" bestFit="1" customWidth="1"/>
    <col min="524" max="769" width="9.140625" style="5"/>
    <col min="770" max="770" width="6.42578125" style="5" customWidth="1"/>
    <col min="771" max="771" width="30.5703125" style="5" customWidth="1"/>
    <col min="772" max="772" width="40.85546875" style="5" customWidth="1"/>
    <col min="773" max="773" width="19.42578125" style="5" customWidth="1"/>
    <col min="774" max="774" width="17.5703125" style="5" customWidth="1"/>
    <col min="775" max="776" width="9.140625" style="5"/>
    <col min="777" max="777" width="10.85546875" style="5" customWidth="1"/>
    <col min="778" max="778" width="10.140625" style="5" customWidth="1"/>
    <col min="779" max="779" width="13.28515625" style="5" bestFit="1" customWidth="1"/>
    <col min="780" max="1025" width="9.140625" style="5"/>
    <col min="1026" max="1026" width="6.42578125" style="5" customWidth="1"/>
    <col min="1027" max="1027" width="30.5703125" style="5" customWidth="1"/>
    <col min="1028" max="1028" width="40.85546875" style="5" customWidth="1"/>
    <col min="1029" max="1029" width="19.42578125" style="5" customWidth="1"/>
    <col min="1030" max="1030" width="17.5703125" style="5" customWidth="1"/>
    <col min="1031" max="1032" width="9.140625" style="5"/>
    <col min="1033" max="1033" width="10.85546875" style="5" customWidth="1"/>
    <col min="1034" max="1034" width="10.140625" style="5" customWidth="1"/>
    <col min="1035" max="1035" width="13.28515625" style="5" bestFit="1" customWidth="1"/>
    <col min="1036" max="1281" width="9.140625" style="5"/>
    <col min="1282" max="1282" width="6.42578125" style="5" customWidth="1"/>
    <col min="1283" max="1283" width="30.5703125" style="5" customWidth="1"/>
    <col min="1284" max="1284" width="40.85546875" style="5" customWidth="1"/>
    <col min="1285" max="1285" width="19.42578125" style="5" customWidth="1"/>
    <col min="1286" max="1286" width="17.5703125" style="5" customWidth="1"/>
    <col min="1287" max="1288" width="9.140625" style="5"/>
    <col min="1289" max="1289" width="10.85546875" style="5" customWidth="1"/>
    <col min="1290" max="1290" width="10.140625" style="5" customWidth="1"/>
    <col min="1291" max="1291" width="13.28515625" style="5" bestFit="1" customWidth="1"/>
    <col min="1292" max="1537" width="9.140625" style="5"/>
    <col min="1538" max="1538" width="6.42578125" style="5" customWidth="1"/>
    <col min="1539" max="1539" width="30.5703125" style="5" customWidth="1"/>
    <col min="1540" max="1540" width="40.85546875" style="5" customWidth="1"/>
    <col min="1541" max="1541" width="19.42578125" style="5" customWidth="1"/>
    <col min="1542" max="1542" width="17.5703125" style="5" customWidth="1"/>
    <col min="1543" max="1544" width="9.140625" style="5"/>
    <col min="1545" max="1545" width="10.85546875" style="5" customWidth="1"/>
    <col min="1546" max="1546" width="10.140625" style="5" customWidth="1"/>
    <col min="1547" max="1547" width="13.28515625" style="5" bestFit="1" customWidth="1"/>
    <col min="1548" max="1793" width="9.140625" style="5"/>
    <col min="1794" max="1794" width="6.42578125" style="5" customWidth="1"/>
    <col min="1795" max="1795" width="30.5703125" style="5" customWidth="1"/>
    <col min="1796" max="1796" width="40.85546875" style="5" customWidth="1"/>
    <col min="1797" max="1797" width="19.42578125" style="5" customWidth="1"/>
    <col min="1798" max="1798" width="17.5703125" style="5" customWidth="1"/>
    <col min="1799" max="1800" width="9.140625" style="5"/>
    <col min="1801" max="1801" width="10.85546875" style="5" customWidth="1"/>
    <col min="1802" max="1802" width="10.140625" style="5" customWidth="1"/>
    <col min="1803" max="1803" width="13.28515625" style="5" bestFit="1" customWidth="1"/>
    <col min="1804" max="2049" width="9.140625" style="5"/>
    <col min="2050" max="2050" width="6.42578125" style="5" customWidth="1"/>
    <col min="2051" max="2051" width="30.5703125" style="5" customWidth="1"/>
    <col min="2052" max="2052" width="40.85546875" style="5" customWidth="1"/>
    <col min="2053" max="2053" width="19.42578125" style="5" customWidth="1"/>
    <col min="2054" max="2054" width="17.5703125" style="5" customWidth="1"/>
    <col min="2055" max="2056" width="9.140625" style="5"/>
    <col min="2057" max="2057" width="10.85546875" style="5" customWidth="1"/>
    <col min="2058" max="2058" width="10.140625" style="5" customWidth="1"/>
    <col min="2059" max="2059" width="13.28515625" style="5" bestFit="1" customWidth="1"/>
    <col min="2060" max="2305" width="9.140625" style="5"/>
    <col min="2306" max="2306" width="6.42578125" style="5" customWidth="1"/>
    <col min="2307" max="2307" width="30.5703125" style="5" customWidth="1"/>
    <col min="2308" max="2308" width="40.85546875" style="5" customWidth="1"/>
    <col min="2309" max="2309" width="19.42578125" style="5" customWidth="1"/>
    <col min="2310" max="2310" width="17.5703125" style="5" customWidth="1"/>
    <col min="2311" max="2312" width="9.140625" style="5"/>
    <col min="2313" max="2313" width="10.85546875" style="5" customWidth="1"/>
    <col min="2314" max="2314" width="10.140625" style="5" customWidth="1"/>
    <col min="2315" max="2315" width="13.28515625" style="5" bestFit="1" customWidth="1"/>
    <col min="2316" max="2561" width="9.140625" style="5"/>
    <col min="2562" max="2562" width="6.42578125" style="5" customWidth="1"/>
    <col min="2563" max="2563" width="30.5703125" style="5" customWidth="1"/>
    <col min="2564" max="2564" width="40.85546875" style="5" customWidth="1"/>
    <col min="2565" max="2565" width="19.42578125" style="5" customWidth="1"/>
    <col min="2566" max="2566" width="17.5703125" style="5" customWidth="1"/>
    <col min="2567" max="2568" width="9.140625" style="5"/>
    <col min="2569" max="2569" width="10.85546875" style="5" customWidth="1"/>
    <col min="2570" max="2570" width="10.140625" style="5" customWidth="1"/>
    <col min="2571" max="2571" width="13.28515625" style="5" bestFit="1" customWidth="1"/>
    <col min="2572" max="2817" width="9.140625" style="5"/>
    <col min="2818" max="2818" width="6.42578125" style="5" customWidth="1"/>
    <col min="2819" max="2819" width="30.5703125" style="5" customWidth="1"/>
    <col min="2820" max="2820" width="40.85546875" style="5" customWidth="1"/>
    <col min="2821" max="2821" width="19.42578125" style="5" customWidth="1"/>
    <col min="2822" max="2822" width="17.5703125" style="5" customWidth="1"/>
    <col min="2823" max="2824" width="9.140625" style="5"/>
    <col min="2825" max="2825" width="10.85546875" style="5" customWidth="1"/>
    <col min="2826" max="2826" width="10.140625" style="5" customWidth="1"/>
    <col min="2827" max="2827" width="13.28515625" style="5" bestFit="1" customWidth="1"/>
    <col min="2828" max="3073" width="9.140625" style="5"/>
    <col min="3074" max="3074" width="6.42578125" style="5" customWidth="1"/>
    <col min="3075" max="3075" width="30.5703125" style="5" customWidth="1"/>
    <col min="3076" max="3076" width="40.85546875" style="5" customWidth="1"/>
    <col min="3077" max="3077" width="19.42578125" style="5" customWidth="1"/>
    <col min="3078" max="3078" width="17.5703125" style="5" customWidth="1"/>
    <col min="3079" max="3080" width="9.140625" style="5"/>
    <col min="3081" max="3081" width="10.85546875" style="5" customWidth="1"/>
    <col min="3082" max="3082" width="10.140625" style="5" customWidth="1"/>
    <col min="3083" max="3083" width="13.28515625" style="5" bestFit="1" customWidth="1"/>
    <col min="3084" max="3329" width="9.140625" style="5"/>
    <col min="3330" max="3330" width="6.42578125" style="5" customWidth="1"/>
    <col min="3331" max="3331" width="30.5703125" style="5" customWidth="1"/>
    <col min="3332" max="3332" width="40.85546875" style="5" customWidth="1"/>
    <col min="3333" max="3333" width="19.42578125" style="5" customWidth="1"/>
    <col min="3334" max="3334" width="17.5703125" style="5" customWidth="1"/>
    <col min="3335" max="3336" width="9.140625" style="5"/>
    <col min="3337" max="3337" width="10.85546875" style="5" customWidth="1"/>
    <col min="3338" max="3338" width="10.140625" style="5" customWidth="1"/>
    <col min="3339" max="3339" width="13.28515625" style="5" bestFit="1" customWidth="1"/>
    <col min="3340" max="3585" width="9.140625" style="5"/>
    <col min="3586" max="3586" width="6.42578125" style="5" customWidth="1"/>
    <col min="3587" max="3587" width="30.5703125" style="5" customWidth="1"/>
    <col min="3588" max="3588" width="40.85546875" style="5" customWidth="1"/>
    <col min="3589" max="3589" width="19.42578125" style="5" customWidth="1"/>
    <col min="3590" max="3590" width="17.5703125" style="5" customWidth="1"/>
    <col min="3591" max="3592" width="9.140625" style="5"/>
    <col min="3593" max="3593" width="10.85546875" style="5" customWidth="1"/>
    <col min="3594" max="3594" width="10.140625" style="5" customWidth="1"/>
    <col min="3595" max="3595" width="13.28515625" style="5" bestFit="1" customWidth="1"/>
    <col min="3596" max="3841" width="9.140625" style="5"/>
    <col min="3842" max="3842" width="6.42578125" style="5" customWidth="1"/>
    <col min="3843" max="3843" width="30.5703125" style="5" customWidth="1"/>
    <col min="3844" max="3844" width="40.85546875" style="5" customWidth="1"/>
    <col min="3845" max="3845" width="19.42578125" style="5" customWidth="1"/>
    <col min="3846" max="3846" width="17.5703125" style="5" customWidth="1"/>
    <col min="3847" max="3848" width="9.140625" style="5"/>
    <col min="3849" max="3849" width="10.85546875" style="5" customWidth="1"/>
    <col min="3850" max="3850" width="10.140625" style="5" customWidth="1"/>
    <col min="3851" max="3851" width="13.28515625" style="5" bestFit="1" customWidth="1"/>
    <col min="3852" max="4097" width="9.140625" style="5"/>
    <col min="4098" max="4098" width="6.42578125" style="5" customWidth="1"/>
    <col min="4099" max="4099" width="30.5703125" style="5" customWidth="1"/>
    <col min="4100" max="4100" width="40.85546875" style="5" customWidth="1"/>
    <col min="4101" max="4101" width="19.42578125" style="5" customWidth="1"/>
    <col min="4102" max="4102" width="17.5703125" style="5" customWidth="1"/>
    <col min="4103" max="4104" width="9.140625" style="5"/>
    <col min="4105" max="4105" width="10.85546875" style="5" customWidth="1"/>
    <col min="4106" max="4106" width="10.140625" style="5" customWidth="1"/>
    <col min="4107" max="4107" width="13.28515625" style="5" bestFit="1" customWidth="1"/>
    <col min="4108" max="4353" width="9.140625" style="5"/>
    <col min="4354" max="4354" width="6.42578125" style="5" customWidth="1"/>
    <col min="4355" max="4355" width="30.5703125" style="5" customWidth="1"/>
    <col min="4356" max="4356" width="40.85546875" style="5" customWidth="1"/>
    <col min="4357" max="4357" width="19.42578125" style="5" customWidth="1"/>
    <col min="4358" max="4358" width="17.5703125" style="5" customWidth="1"/>
    <col min="4359" max="4360" width="9.140625" style="5"/>
    <col min="4361" max="4361" width="10.85546875" style="5" customWidth="1"/>
    <col min="4362" max="4362" width="10.140625" style="5" customWidth="1"/>
    <col min="4363" max="4363" width="13.28515625" style="5" bestFit="1" customWidth="1"/>
    <col min="4364" max="4609" width="9.140625" style="5"/>
    <col min="4610" max="4610" width="6.42578125" style="5" customWidth="1"/>
    <col min="4611" max="4611" width="30.5703125" style="5" customWidth="1"/>
    <col min="4612" max="4612" width="40.85546875" style="5" customWidth="1"/>
    <col min="4613" max="4613" width="19.42578125" style="5" customWidth="1"/>
    <col min="4614" max="4614" width="17.5703125" style="5" customWidth="1"/>
    <col min="4615" max="4616" width="9.140625" style="5"/>
    <col min="4617" max="4617" width="10.85546875" style="5" customWidth="1"/>
    <col min="4618" max="4618" width="10.140625" style="5" customWidth="1"/>
    <col min="4619" max="4619" width="13.28515625" style="5" bestFit="1" customWidth="1"/>
    <col min="4620" max="4865" width="9.140625" style="5"/>
    <col min="4866" max="4866" width="6.42578125" style="5" customWidth="1"/>
    <col min="4867" max="4867" width="30.5703125" style="5" customWidth="1"/>
    <col min="4868" max="4868" width="40.85546875" style="5" customWidth="1"/>
    <col min="4869" max="4869" width="19.42578125" style="5" customWidth="1"/>
    <col min="4870" max="4870" width="17.5703125" style="5" customWidth="1"/>
    <col min="4871" max="4872" width="9.140625" style="5"/>
    <col min="4873" max="4873" width="10.85546875" style="5" customWidth="1"/>
    <col min="4874" max="4874" width="10.140625" style="5" customWidth="1"/>
    <col min="4875" max="4875" width="13.28515625" style="5" bestFit="1" customWidth="1"/>
    <col min="4876" max="5121" width="9.140625" style="5"/>
    <col min="5122" max="5122" width="6.42578125" style="5" customWidth="1"/>
    <col min="5123" max="5123" width="30.5703125" style="5" customWidth="1"/>
    <col min="5124" max="5124" width="40.85546875" style="5" customWidth="1"/>
    <col min="5125" max="5125" width="19.42578125" style="5" customWidth="1"/>
    <col min="5126" max="5126" width="17.5703125" style="5" customWidth="1"/>
    <col min="5127" max="5128" width="9.140625" style="5"/>
    <col min="5129" max="5129" width="10.85546875" style="5" customWidth="1"/>
    <col min="5130" max="5130" width="10.140625" style="5" customWidth="1"/>
    <col min="5131" max="5131" width="13.28515625" style="5" bestFit="1" customWidth="1"/>
    <col min="5132" max="5377" width="9.140625" style="5"/>
    <col min="5378" max="5378" width="6.42578125" style="5" customWidth="1"/>
    <col min="5379" max="5379" width="30.5703125" style="5" customWidth="1"/>
    <col min="5380" max="5380" width="40.85546875" style="5" customWidth="1"/>
    <col min="5381" max="5381" width="19.42578125" style="5" customWidth="1"/>
    <col min="5382" max="5382" width="17.5703125" style="5" customWidth="1"/>
    <col min="5383" max="5384" width="9.140625" style="5"/>
    <col min="5385" max="5385" width="10.85546875" style="5" customWidth="1"/>
    <col min="5386" max="5386" width="10.140625" style="5" customWidth="1"/>
    <col min="5387" max="5387" width="13.28515625" style="5" bestFit="1" customWidth="1"/>
    <col min="5388" max="5633" width="9.140625" style="5"/>
    <col min="5634" max="5634" width="6.42578125" style="5" customWidth="1"/>
    <col min="5635" max="5635" width="30.5703125" style="5" customWidth="1"/>
    <col min="5636" max="5636" width="40.85546875" style="5" customWidth="1"/>
    <col min="5637" max="5637" width="19.42578125" style="5" customWidth="1"/>
    <col min="5638" max="5638" width="17.5703125" style="5" customWidth="1"/>
    <col min="5639" max="5640" width="9.140625" style="5"/>
    <col min="5641" max="5641" width="10.85546875" style="5" customWidth="1"/>
    <col min="5642" max="5642" width="10.140625" style="5" customWidth="1"/>
    <col min="5643" max="5643" width="13.28515625" style="5" bestFit="1" customWidth="1"/>
    <col min="5644" max="5889" width="9.140625" style="5"/>
    <col min="5890" max="5890" width="6.42578125" style="5" customWidth="1"/>
    <col min="5891" max="5891" width="30.5703125" style="5" customWidth="1"/>
    <col min="5892" max="5892" width="40.85546875" style="5" customWidth="1"/>
    <col min="5893" max="5893" width="19.42578125" style="5" customWidth="1"/>
    <col min="5894" max="5894" width="17.5703125" style="5" customWidth="1"/>
    <col min="5895" max="5896" width="9.140625" style="5"/>
    <col min="5897" max="5897" width="10.85546875" style="5" customWidth="1"/>
    <col min="5898" max="5898" width="10.140625" style="5" customWidth="1"/>
    <col min="5899" max="5899" width="13.28515625" style="5" bestFit="1" customWidth="1"/>
    <col min="5900" max="6145" width="9.140625" style="5"/>
    <col min="6146" max="6146" width="6.42578125" style="5" customWidth="1"/>
    <col min="6147" max="6147" width="30.5703125" style="5" customWidth="1"/>
    <col min="6148" max="6148" width="40.85546875" style="5" customWidth="1"/>
    <col min="6149" max="6149" width="19.42578125" style="5" customWidth="1"/>
    <col min="6150" max="6150" width="17.5703125" style="5" customWidth="1"/>
    <col min="6151" max="6152" width="9.140625" style="5"/>
    <col min="6153" max="6153" width="10.85546875" style="5" customWidth="1"/>
    <col min="6154" max="6154" width="10.140625" style="5" customWidth="1"/>
    <col min="6155" max="6155" width="13.28515625" style="5" bestFit="1" customWidth="1"/>
    <col min="6156" max="6401" width="9.140625" style="5"/>
    <col min="6402" max="6402" width="6.42578125" style="5" customWidth="1"/>
    <col min="6403" max="6403" width="30.5703125" style="5" customWidth="1"/>
    <col min="6404" max="6404" width="40.85546875" style="5" customWidth="1"/>
    <col min="6405" max="6405" width="19.42578125" style="5" customWidth="1"/>
    <col min="6406" max="6406" width="17.5703125" style="5" customWidth="1"/>
    <col min="6407" max="6408" width="9.140625" style="5"/>
    <col min="6409" max="6409" width="10.85546875" style="5" customWidth="1"/>
    <col min="6410" max="6410" width="10.140625" style="5" customWidth="1"/>
    <col min="6411" max="6411" width="13.28515625" style="5" bestFit="1" customWidth="1"/>
    <col min="6412" max="6657" width="9.140625" style="5"/>
    <col min="6658" max="6658" width="6.42578125" style="5" customWidth="1"/>
    <col min="6659" max="6659" width="30.5703125" style="5" customWidth="1"/>
    <col min="6660" max="6660" width="40.85546875" style="5" customWidth="1"/>
    <col min="6661" max="6661" width="19.42578125" style="5" customWidth="1"/>
    <col min="6662" max="6662" width="17.5703125" style="5" customWidth="1"/>
    <col min="6663" max="6664" width="9.140625" style="5"/>
    <col min="6665" max="6665" width="10.85546875" style="5" customWidth="1"/>
    <col min="6666" max="6666" width="10.140625" style="5" customWidth="1"/>
    <col min="6667" max="6667" width="13.28515625" style="5" bestFit="1" customWidth="1"/>
    <col min="6668" max="6913" width="9.140625" style="5"/>
    <col min="6914" max="6914" width="6.42578125" style="5" customWidth="1"/>
    <col min="6915" max="6915" width="30.5703125" style="5" customWidth="1"/>
    <col min="6916" max="6916" width="40.85546875" style="5" customWidth="1"/>
    <col min="6917" max="6917" width="19.42578125" style="5" customWidth="1"/>
    <col min="6918" max="6918" width="17.5703125" style="5" customWidth="1"/>
    <col min="6919" max="6920" width="9.140625" style="5"/>
    <col min="6921" max="6921" width="10.85546875" style="5" customWidth="1"/>
    <col min="6922" max="6922" width="10.140625" style="5" customWidth="1"/>
    <col min="6923" max="6923" width="13.28515625" style="5" bestFit="1" customWidth="1"/>
    <col min="6924" max="7169" width="9.140625" style="5"/>
    <col min="7170" max="7170" width="6.42578125" style="5" customWidth="1"/>
    <col min="7171" max="7171" width="30.5703125" style="5" customWidth="1"/>
    <col min="7172" max="7172" width="40.85546875" style="5" customWidth="1"/>
    <col min="7173" max="7173" width="19.42578125" style="5" customWidth="1"/>
    <col min="7174" max="7174" width="17.5703125" style="5" customWidth="1"/>
    <col min="7175" max="7176" width="9.140625" style="5"/>
    <col min="7177" max="7177" width="10.85546875" style="5" customWidth="1"/>
    <col min="7178" max="7178" width="10.140625" style="5" customWidth="1"/>
    <col min="7179" max="7179" width="13.28515625" style="5" bestFit="1" customWidth="1"/>
    <col min="7180" max="7425" width="9.140625" style="5"/>
    <col min="7426" max="7426" width="6.42578125" style="5" customWidth="1"/>
    <col min="7427" max="7427" width="30.5703125" style="5" customWidth="1"/>
    <col min="7428" max="7428" width="40.85546875" style="5" customWidth="1"/>
    <col min="7429" max="7429" width="19.42578125" style="5" customWidth="1"/>
    <col min="7430" max="7430" width="17.5703125" style="5" customWidth="1"/>
    <col min="7431" max="7432" width="9.140625" style="5"/>
    <col min="7433" max="7433" width="10.85546875" style="5" customWidth="1"/>
    <col min="7434" max="7434" width="10.140625" style="5" customWidth="1"/>
    <col min="7435" max="7435" width="13.28515625" style="5" bestFit="1" customWidth="1"/>
    <col min="7436" max="7681" width="9.140625" style="5"/>
    <col min="7682" max="7682" width="6.42578125" style="5" customWidth="1"/>
    <col min="7683" max="7683" width="30.5703125" style="5" customWidth="1"/>
    <col min="7684" max="7684" width="40.85546875" style="5" customWidth="1"/>
    <col min="7685" max="7685" width="19.42578125" style="5" customWidth="1"/>
    <col min="7686" max="7686" width="17.5703125" style="5" customWidth="1"/>
    <col min="7687" max="7688" width="9.140625" style="5"/>
    <col min="7689" max="7689" width="10.85546875" style="5" customWidth="1"/>
    <col min="7690" max="7690" width="10.140625" style="5" customWidth="1"/>
    <col min="7691" max="7691" width="13.28515625" style="5" bestFit="1" customWidth="1"/>
    <col min="7692" max="7937" width="9.140625" style="5"/>
    <col min="7938" max="7938" width="6.42578125" style="5" customWidth="1"/>
    <col min="7939" max="7939" width="30.5703125" style="5" customWidth="1"/>
    <col min="7940" max="7940" width="40.85546875" style="5" customWidth="1"/>
    <col min="7941" max="7941" width="19.42578125" style="5" customWidth="1"/>
    <col min="7942" max="7942" width="17.5703125" style="5" customWidth="1"/>
    <col min="7943" max="7944" width="9.140625" style="5"/>
    <col min="7945" max="7945" width="10.85546875" style="5" customWidth="1"/>
    <col min="7946" max="7946" width="10.140625" style="5" customWidth="1"/>
    <col min="7947" max="7947" width="13.28515625" style="5" bestFit="1" customWidth="1"/>
    <col min="7948" max="8193" width="9.140625" style="5"/>
    <col min="8194" max="8194" width="6.42578125" style="5" customWidth="1"/>
    <col min="8195" max="8195" width="30.5703125" style="5" customWidth="1"/>
    <col min="8196" max="8196" width="40.85546875" style="5" customWidth="1"/>
    <col min="8197" max="8197" width="19.42578125" style="5" customWidth="1"/>
    <col min="8198" max="8198" width="17.5703125" style="5" customWidth="1"/>
    <col min="8199" max="8200" width="9.140625" style="5"/>
    <col min="8201" max="8201" width="10.85546875" style="5" customWidth="1"/>
    <col min="8202" max="8202" width="10.140625" style="5" customWidth="1"/>
    <col min="8203" max="8203" width="13.28515625" style="5" bestFit="1" customWidth="1"/>
    <col min="8204" max="8449" width="9.140625" style="5"/>
    <col min="8450" max="8450" width="6.42578125" style="5" customWidth="1"/>
    <col min="8451" max="8451" width="30.5703125" style="5" customWidth="1"/>
    <col min="8452" max="8452" width="40.85546875" style="5" customWidth="1"/>
    <col min="8453" max="8453" width="19.42578125" style="5" customWidth="1"/>
    <col min="8454" max="8454" width="17.5703125" style="5" customWidth="1"/>
    <col min="8455" max="8456" width="9.140625" style="5"/>
    <col min="8457" max="8457" width="10.85546875" style="5" customWidth="1"/>
    <col min="8458" max="8458" width="10.140625" style="5" customWidth="1"/>
    <col min="8459" max="8459" width="13.28515625" style="5" bestFit="1" customWidth="1"/>
    <col min="8460" max="8705" width="9.140625" style="5"/>
    <col min="8706" max="8706" width="6.42578125" style="5" customWidth="1"/>
    <col min="8707" max="8707" width="30.5703125" style="5" customWidth="1"/>
    <col min="8708" max="8708" width="40.85546875" style="5" customWidth="1"/>
    <col min="8709" max="8709" width="19.42578125" style="5" customWidth="1"/>
    <col min="8710" max="8710" width="17.5703125" style="5" customWidth="1"/>
    <col min="8711" max="8712" width="9.140625" style="5"/>
    <col min="8713" max="8713" width="10.85546875" style="5" customWidth="1"/>
    <col min="8714" max="8714" width="10.140625" style="5" customWidth="1"/>
    <col min="8715" max="8715" width="13.28515625" style="5" bestFit="1" customWidth="1"/>
    <col min="8716" max="8961" width="9.140625" style="5"/>
    <col min="8962" max="8962" width="6.42578125" style="5" customWidth="1"/>
    <col min="8963" max="8963" width="30.5703125" style="5" customWidth="1"/>
    <col min="8964" max="8964" width="40.85546875" style="5" customWidth="1"/>
    <col min="8965" max="8965" width="19.42578125" style="5" customWidth="1"/>
    <col min="8966" max="8966" width="17.5703125" style="5" customWidth="1"/>
    <col min="8967" max="8968" width="9.140625" style="5"/>
    <col min="8969" max="8969" width="10.85546875" style="5" customWidth="1"/>
    <col min="8970" max="8970" width="10.140625" style="5" customWidth="1"/>
    <col min="8971" max="8971" width="13.28515625" style="5" bestFit="1" customWidth="1"/>
    <col min="8972" max="9217" width="9.140625" style="5"/>
    <col min="9218" max="9218" width="6.42578125" style="5" customWidth="1"/>
    <col min="9219" max="9219" width="30.5703125" style="5" customWidth="1"/>
    <col min="9220" max="9220" width="40.85546875" style="5" customWidth="1"/>
    <col min="9221" max="9221" width="19.42578125" style="5" customWidth="1"/>
    <col min="9222" max="9222" width="17.5703125" style="5" customWidth="1"/>
    <col min="9223" max="9224" width="9.140625" style="5"/>
    <col min="9225" max="9225" width="10.85546875" style="5" customWidth="1"/>
    <col min="9226" max="9226" width="10.140625" style="5" customWidth="1"/>
    <col min="9227" max="9227" width="13.28515625" style="5" bestFit="1" customWidth="1"/>
    <col min="9228" max="9473" width="9.140625" style="5"/>
    <col min="9474" max="9474" width="6.42578125" style="5" customWidth="1"/>
    <col min="9475" max="9475" width="30.5703125" style="5" customWidth="1"/>
    <col min="9476" max="9476" width="40.85546875" style="5" customWidth="1"/>
    <col min="9477" max="9477" width="19.42578125" style="5" customWidth="1"/>
    <col min="9478" max="9478" width="17.5703125" style="5" customWidth="1"/>
    <col min="9479" max="9480" width="9.140625" style="5"/>
    <col min="9481" max="9481" width="10.85546875" style="5" customWidth="1"/>
    <col min="9482" max="9482" width="10.140625" style="5" customWidth="1"/>
    <col min="9483" max="9483" width="13.28515625" style="5" bestFit="1" customWidth="1"/>
    <col min="9484" max="9729" width="9.140625" style="5"/>
    <col min="9730" max="9730" width="6.42578125" style="5" customWidth="1"/>
    <col min="9731" max="9731" width="30.5703125" style="5" customWidth="1"/>
    <col min="9732" max="9732" width="40.85546875" style="5" customWidth="1"/>
    <col min="9733" max="9733" width="19.42578125" style="5" customWidth="1"/>
    <col min="9734" max="9734" width="17.5703125" style="5" customWidth="1"/>
    <col min="9735" max="9736" width="9.140625" style="5"/>
    <col min="9737" max="9737" width="10.85546875" style="5" customWidth="1"/>
    <col min="9738" max="9738" width="10.140625" style="5" customWidth="1"/>
    <col min="9739" max="9739" width="13.28515625" style="5" bestFit="1" customWidth="1"/>
    <col min="9740" max="9985" width="9.140625" style="5"/>
    <col min="9986" max="9986" width="6.42578125" style="5" customWidth="1"/>
    <col min="9987" max="9987" width="30.5703125" style="5" customWidth="1"/>
    <col min="9988" max="9988" width="40.85546875" style="5" customWidth="1"/>
    <col min="9989" max="9989" width="19.42578125" style="5" customWidth="1"/>
    <col min="9990" max="9990" width="17.5703125" style="5" customWidth="1"/>
    <col min="9991" max="9992" width="9.140625" style="5"/>
    <col min="9993" max="9993" width="10.85546875" style="5" customWidth="1"/>
    <col min="9994" max="9994" width="10.140625" style="5" customWidth="1"/>
    <col min="9995" max="9995" width="13.28515625" style="5" bestFit="1" customWidth="1"/>
    <col min="9996" max="10241" width="9.140625" style="5"/>
    <col min="10242" max="10242" width="6.42578125" style="5" customWidth="1"/>
    <col min="10243" max="10243" width="30.5703125" style="5" customWidth="1"/>
    <col min="10244" max="10244" width="40.85546875" style="5" customWidth="1"/>
    <col min="10245" max="10245" width="19.42578125" style="5" customWidth="1"/>
    <col min="10246" max="10246" width="17.5703125" style="5" customWidth="1"/>
    <col min="10247" max="10248" width="9.140625" style="5"/>
    <col min="10249" max="10249" width="10.85546875" style="5" customWidth="1"/>
    <col min="10250" max="10250" width="10.140625" style="5" customWidth="1"/>
    <col min="10251" max="10251" width="13.28515625" style="5" bestFit="1" customWidth="1"/>
    <col min="10252" max="10497" width="9.140625" style="5"/>
    <col min="10498" max="10498" width="6.42578125" style="5" customWidth="1"/>
    <col min="10499" max="10499" width="30.5703125" style="5" customWidth="1"/>
    <col min="10500" max="10500" width="40.85546875" style="5" customWidth="1"/>
    <col min="10501" max="10501" width="19.42578125" style="5" customWidth="1"/>
    <col min="10502" max="10502" width="17.5703125" style="5" customWidth="1"/>
    <col min="10503" max="10504" width="9.140625" style="5"/>
    <col min="10505" max="10505" width="10.85546875" style="5" customWidth="1"/>
    <col min="10506" max="10506" width="10.140625" style="5" customWidth="1"/>
    <col min="10507" max="10507" width="13.28515625" style="5" bestFit="1" customWidth="1"/>
    <col min="10508" max="10753" width="9.140625" style="5"/>
    <col min="10754" max="10754" width="6.42578125" style="5" customWidth="1"/>
    <col min="10755" max="10755" width="30.5703125" style="5" customWidth="1"/>
    <col min="10756" max="10756" width="40.85546875" style="5" customWidth="1"/>
    <col min="10757" max="10757" width="19.42578125" style="5" customWidth="1"/>
    <col min="10758" max="10758" width="17.5703125" style="5" customWidth="1"/>
    <col min="10759" max="10760" width="9.140625" style="5"/>
    <col min="10761" max="10761" width="10.85546875" style="5" customWidth="1"/>
    <col min="10762" max="10762" width="10.140625" style="5" customWidth="1"/>
    <col min="10763" max="10763" width="13.28515625" style="5" bestFit="1" customWidth="1"/>
    <col min="10764" max="11009" width="9.140625" style="5"/>
    <col min="11010" max="11010" width="6.42578125" style="5" customWidth="1"/>
    <col min="11011" max="11011" width="30.5703125" style="5" customWidth="1"/>
    <col min="11012" max="11012" width="40.85546875" style="5" customWidth="1"/>
    <col min="11013" max="11013" width="19.42578125" style="5" customWidth="1"/>
    <col min="11014" max="11014" width="17.5703125" style="5" customWidth="1"/>
    <col min="11015" max="11016" width="9.140625" style="5"/>
    <col min="11017" max="11017" width="10.85546875" style="5" customWidth="1"/>
    <col min="11018" max="11018" width="10.140625" style="5" customWidth="1"/>
    <col min="11019" max="11019" width="13.28515625" style="5" bestFit="1" customWidth="1"/>
    <col min="11020" max="11265" width="9.140625" style="5"/>
    <col min="11266" max="11266" width="6.42578125" style="5" customWidth="1"/>
    <col min="11267" max="11267" width="30.5703125" style="5" customWidth="1"/>
    <col min="11268" max="11268" width="40.85546875" style="5" customWidth="1"/>
    <col min="11269" max="11269" width="19.42578125" style="5" customWidth="1"/>
    <col min="11270" max="11270" width="17.5703125" style="5" customWidth="1"/>
    <col min="11271" max="11272" width="9.140625" style="5"/>
    <col min="11273" max="11273" width="10.85546875" style="5" customWidth="1"/>
    <col min="11274" max="11274" width="10.140625" style="5" customWidth="1"/>
    <col min="11275" max="11275" width="13.28515625" style="5" bestFit="1" customWidth="1"/>
    <col min="11276" max="11521" width="9.140625" style="5"/>
    <col min="11522" max="11522" width="6.42578125" style="5" customWidth="1"/>
    <col min="11523" max="11523" width="30.5703125" style="5" customWidth="1"/>
    <col min="11524" max="11524" width="40.85546875" style="5" customWidth="1"/>
    <col min="11525" max="11525" width="19.42578125" style="5" customWidth="1"/>
    <col min="11526" max="11526" width="17.5703125" style="5" customWidth="1"/>
    <col min="11527" max="11528" width="9.140625" style="5"/>
    <col min="11529" max="11529" width="10.85546875" style="5" customWidth="1"/>
    <col min="11530" max="11530" width="10.140625" style="5" customWidth="1"/>
    <col min="11531" max="11531" width="13.28515625" style="5" bestFit="1" customWidth="1"/>
    <col min="11532" max="11777" width="9.140625" style="5"/>
    <col min="11778" max="11778" width="6.42578125" style="5" customWidth="1"/>
    <col min="11779" max="11779" width="30.5703125" style="5" customWidth="1"/>
    <col min="11780" max="11780" width="40.85546875" style="5" customWidth="1"/>
    <col min="11781" max="11781" width="19.42578125" style="5" customWidth="1"/>
    <col min="11782" max="11782" width="17.5703125" style="5" customWidth="1"/>
    <col min="11783" max="11784" width="9.140625" style="5"/>
    <col min="11785" max="11785" width="10.85546875" style="5" customWidth="1"/>
    <col min="11786" max="11786" width="10.140625" style="5" customWidth="1"/>
    <col min="11787" max="11787" width="13.28515625" style="5" bestFit="1" customWidth="1"/>
    <col min="11788" max="12033" width="9.140625" style="5"/>
    <col min="12034" max="12034" width="6.42578125" style="5" customWidth="1"/>
    <col min="12035" max="12035" width="30.5703125" style="5" customWidth="1"/>
    <col min="12036" max="12036" width="40.85546875" style="5" customWidth="1"/>
    <col min="12037" max="12037" width="19.42578125" style="5" customWidth="1"/>
    <col min="12038" max="12038" width="17.5703125" style="5" customWidth="1"/>
    <col min="12039" max="12040" width="9.140625" style="5"/>
    <col min="12041" max="12041" width="10.85546875" style="5" customWidth="1"/>
    <col min="12042" max="12042" width="10.140625" style="5" customWidth="1"/>
    <col min="12043" max="12043" width="13.28515625" style="5" bestFit="1" customWidth="1"/>
    <col min="12044" max="12289" width="9.140625" style="5"/>
    <col min="12290" max="12290" width="6.42578125" style="5" customWidth="1"/>
    <col min="12291" max="12291" width="30.5703125" style="5" customWidth="1"/>
    <col min="12292" max="12292" width="40.85546875" style="5" customWidth="1"/>
    <col min="12293" max="12293" width="19.42578125" style="5" customWidth="1"/>
    <col min="12294" max="12294" width="17.5703125" style="5" customWidth="1"/>
    <col min="12295" max="12296" width="9.140625" style="5"/>
    <col min="12297" max="12297" width="10.85546875" style="5" customWidth="1"/>
    <col min="12298" max="12298" width="10.140625" style="5" customWidth="1"/>
    <col min="12299" max="12299" width="13.28515625" style="5" bestFit="1" customWidth="1"/>
    <col min="12300" max="12545" width="9.140625" style="5"/>
    <col min="12546" max="12546" width="6.42578125" style="5" customWidth="1"/>
    <col min="12547" max="12547" width="30.5703125" style="5" customWidth="1"/>
    <col min="12548" max="12548" width="40.85546875" style="5" customWidth="1"/>
    <col min="12549" max="12549" width="19.42578125" style="5" customWidth="1"/>
    <col min="12550" max="12550" width="17.5703125" style="5" customWidth="1"/>
    <col min="12551" max="12552" width="9.140625" style="5"/>
    <col min="12553" max="12553" width="10.85546875" style="5" customWidth="1"/>
    <col min="12554" max="12554" width="10.140625" style="5" customWidth="1"/>
    <col min="12555" max="12555" width="13.28515625" style="5" bestFit="1" customWidth="1"/>
    <col min="12556" max="12801" width="9.140625" style="5"/>
    <col min="12802" max="12802" width="6.42578125" style="5" customWidth="1"/>
    <col min="12803" max="12803" width="30.5703125" style="5" customWidth="1"/>
    <col min="12804" max="12804" width="40.85546875" style="5" customWidth="1"/>
    <col min="12805" max="12805" width="19.42578125" style="5" customWidth="1"/>
    <col min="12806" max="12806" width="17.5703125" style="5" customWidth="1"/>
    <col min="12807" max="12808" width="9.140625" style="5"/>
    <col min="12809" max="12809" width="10.85546875" style="5" customWidth="1"/>
    <col min="12810" max="12810" width="10.140625" style="5" customWidth="1"/>
    <col min="12811" max="12811" width="13.28515625" style="5" bestFit="1" customWidth="1"/>
    <col min="12812" max="13057" width="9.140625" style="5"/>
    <col min="13058" max="13058" width="6.42578125" style="5" customWidth="1"/>
    <col min="13059" max="13059" width="30.5703125" style="5" customWidth="1"/>
    <col min="13060" max="13060" width="40.85546875" style="5" customWidth="1"/>
    <col min="13061" max="13061" width="19.42578125" style="5" customWidth="1"/>
    <col min="13062" max="13062" width="17.5703125" style="5" customWidth="1"/>
    <col min="13063" max="13064" width="9.140625" style="5"/>
    <col min="13065" max="13065" width="10.85546875" style="5" customWidth="1"/>
    <col min="13066" max="13066" width="10.140625" style="5" customWidth="1"/>
    <col min="13067" max="13067" width="13.28515625" style="5" bestFit="1" customWidth="1"/>
    <col min="13068" max="13313" width="9.140625" style="5"/>
    <col min="13314" max="13314" width="6.42578125" style="5" customWidth="1"/>
    <col min="13315" max="13315" width="30.5703125" style="5" customWidth="1"/>
    <col min="13316" max="13316" width="40.85546875" style="5" customWidth="1"/>
    <col min="13317" max="13317" width="19.42578125" style="5" customWidth="1"/>
    <col min="13318" max="13318" width="17.5703125" style="5" customWidth="1"/>
    <col min="13319" max="13320" width="9.140625" style="5"/>
    <col min="13321" max="13321" width="10.85546875" style="5" customWidth="1"/>
    <col min="13322" max="13322" width="10.140625" style="5" customWidth="1"/>
    <col min="13323" max="13323" width="13.28515625" style="5" bestFit="1" customWidth="1"/>
    <col min="13324" max="13569" width="9.140625" style="5"/>
    <col min="13570" max="13570" width="6.42578125" style="5" customWidth="1"/>
    <col min="13571" max="13571" width="30.5703125" style="5" customWidth="1"/>
    <col min="13572" max="13572" width="40.85546875" style="5" customWidth="1"/>
    <col min="13573" max="13573" width="19.42578125" style="5" customWidth="1"/>
    <col min="13574" max="13574" width="17.5703125" style="5" customWidth="1"/>
    <col min="13575" max="13576" width="9.140625" style="5"/>
    <col min="13577" max="13577" width="10.85546875" style="5" customWidth="1"/>
    <col min="13578" max="13578" width="10.140625" style="5" customWidth="1"/>
    <col min="13579" max="13579" width="13.28515625" style="5" bestFit="1" customWidth="1"/>
    <col min="13580" max="13825" width="9.140625" style="5"/>
    <col min="13826" max="13826" width="6.42578125" style="5" customWidth="1"/>
    <col min="13827" max="13827" width="30.5703125" style="5" customWidth="1"/>
    <col min="13828" max="13828" width="40.85546875" style="5" customWidth="1"/>
    <col min="13829" max="13829" width="19.42578125" style="5" customWidth="1"/>
    <col min="13830" max="13830" width="17.5703125" style="5" customWidth="1"/>
    <col min="13831" max="13832" width="9.140625" style="5"/>
    <col min="13833" max="13833" width="10.85546875" style="5" customWidth="1"/>
    <col min="13834" max="13834" width="10.140625" style="5" customWidth="1"/>
    <col min="13835" max="13835" width="13.28515625" style="5" bestFit="1" customWidth="1"/>
    <col min="13836" max="14081" width="9.140625" style="5"/>
    <col min="14082" max="14082" width="6.42578125" style="5" customWidth="1"/>
    <col min="14083" max="14083" width="30.5703125" style="5" customWidth="1"/>
    <col min="14084" max="14084" width="40.85546875" style="5" customWidth="1"/>
    <col min="14085" max="14085" width="19.42578125" style="5" customWidth="1"/>
    <col min="14086" max="14086" width="17.5703125" style="5" customWidth="1"/>
    <col min="14087" max="14088" width="9.140625" style="5"/>
    <col min="14089" max="14089" width="10.85546875" style="5" customWidth="1"/>
    <col min="14090" max="14090" width="10.140625" style="5" customWidth="1"/>
    <col min="14091" max="14091" width="13.28515625" style="5" bestFit="1" customWidth="1"/>
    <col min="14092" max="14337" width="9.140625" style="5"/>
    <col min="14338" max="14338" width="6.42578125" style="5" customWidth="1"/>
    <col min="14339" max="14339" width="30.5703125" style="5" customWidth="1"/>
    <col min="14340" max="14340" width="40.85546875" style="5" customWidth="1"/>
    <col min="14341" max="14341" width="19.42578125" style="5" customWidth="1"/>
    <col min="14342" max="14342" width="17.5703125" style="5" customWidth="1"/>
    <col min="14343" max="14344" width="9.140625" style="5"/>
    <col min="14345" max="14345" width="10.85546875" style="5" customWidth="1"/>
    <col min="14346" max="14346" width="10.140625" style="5" customWidth="1"/>
    <col min="14347" max="14347" width="13.28515625" style="5" bestFit="1" customWidth="1"/>
    <col min="14348" max="14593" width="9.140625" style="5"/>
    <col min="14594" max="14594" width="6.42578125" style="5" customWidth="1"/>
    <col min="14595" max="14595" width="30.5703125" style="5" customWidth="1"/>
    <col min="14596" max="14596" width="40.85546875" style="5" customWidth="1"/>
    <col min="14597" max="14597" width="19.42578125" style="5" customWidth="1"/>
    <col min="14598" max="14598" width="17.5703125" style="5" customWidth="1"/>
    <col min="14599" max="14600" width="9.140625" style="5"/>
    <col min="14601" max="14601" width="10.85546875" style="5" customWidth="1"/>
    <col min="14602" max="14602" width="10.140625" style="5" customWidth="1"/>
    <col min="14603" max="14603" width="13.28515625" style="5" bestFit="1" customWidth="1"/>
    <col min="14604" max="14849" width="9.140625" style="5"/>
    <col min="14850" max="14850" width="6.42578125" style="5" customWidth="1"/>
    <col min="14851" max="14851" width="30.5703125" style="5" customWidth="1"/>
    <col min="14852" max="14852" width="40.85546875" style="5" customWidth="1"/>
    <col min="14853" max="14853" width="19.42578125" style="5" customWidth="1"/>
    <col min="14854" max="14854" width="17.5703125" style="5" customWidth="1"/>
    <col min="14855" max="14856" width="9.140625" style="5"/>
    <col min="14857" max="14857" width="10.85546875" style="5" customWidth="1"/>
    <col min="14858" max="14858" width="10.140625" style="5" customWidth="1"/>
    <col min="14859" max="14859" width="13.28515625" style="5" bestFit="1" customWidth="1"/>
    <col min="14860" max="15105" width="9.140625" style="5"/>
    <col min="15106" max="15106" width="6.42578125" style="5" customWidth="1"/>
    <col min="15107" max="15107" width="30.5703125" style="5" customWidth="1"/>
    <col min="15108" max="15108" width="40.85546875" style="5" customWidth="1"/>
    <col min="15109" max="15109" width="19.42578125" style="5" customWidth="1"/>
    <col min="15110" max="15110" width="17.5703125" style="5" customWidth="1"/>
    <col min="15111" max="15112" width="9.140625" style="5"/>
    <col min="15113" max="15113" width="10.85546875" style="5" customWidth="1"/>
    <col min="15114" max="15114" width="10.140625" style="5" customWidth="1"/>
    <col min="15115" max="15115" width="13.28515625" style="5" bestFit="1" customWidth="1"/>
    <col min="15116" max="15361" width="9.140625" style="5"/>
    <col min="15362" max="15362" width="6.42578125" style="5" customWidth="1"/>
    <col min="15363" max="15363" width="30.5703125" style="5" customWidth="1"/>
    <col min="15364" max="15364" width="40.85546875" style="5" customWidth="1"/>
    <col min="15365" max="15365" width="19.42578125" style="5" customWidth="1"/>
    <col min="15366" max="15366" width="17.5703125" style="5" customWidth="1"/>
    <col min="15367" max="15368" width="9.140625" style="5"/>
    <col min="15369" max="15369" width="10.85546875" style="5" customWidth="1"/>
    <col min="15370" max="15370" width="10.140625" style="5" customWidth="1"/>
    <col min="15371" max="15371" width="13.28515625" style="5" bestFit="1" customWidth="1"/>
    <col min="15372" max="15617" width="9.140625" style="5"/>
    <col min="15618" max="15618" width="6.42578125" style="5" customWidth="1"/>
    <col min="15619" max="15619" width="30.5703125" style="5" customWidth="1"/>
    <col min="15620" max="15620" width="40.85546875" style="5" customWidth="1"/>
    <col min="15621" max="15621" width="19.42578125" style="5" customWidth="1"/>
    <col min="15622" max="15622" width="17.5703125" style="5" customWidth="1"/>
    <col min="15623" max="15624" width="9.140625" style="5"/>
    <col min="15625" max="15625" width="10.85546875" style="5" customWidth="1"/>
    <col min="15626" max="15626" width="10.140625" style="5" customWidth="1"/>
    <col min="15627" max="15627" width="13.28515625" style="5" bestFit="1" customWidth="1"/>
    <col min="15628" max="15873" width="9.140625" style="5"/>
    <col min="15874" max="15874" width="6.42578125" style="5" customWidth="1"/>
    <col min="15875" max="15875" width="30.5703125" style="5" customWidth="1"/>
    <col min="15876" max="15876" width="40.85546875" style="5" customWidth="1"/>
    <col min="15877" max="15877" width="19.42578125" style="5" customWidth="1"/>
    <col min="15878" max="15878" width="17.5703125" style="5" customWidth="1"/>
    <col min="15879" max="15880" width="9.140625" style="5"/>
    <col min="15881" max="15881" width="10.85546875" style="5" customWidth="1"/>
    <col min="15882" max="15882" width="10.140625" style="5" customWidth="1"/>
    <col min="15883" max="15883" width="13.28515625" style="5" bestFit="1" customWidth="1"/>
    <col min="15884" max="16129" width="9.140625" style="5"/>
    <col min="16130" max="16130" width="6.42578125" style="5" customWidth="1"/>
    <col min="16131" max="16131" width="30.5703125" style="5" customWidth="1"/>
    <col min="16132" max="16132" width="40.85546875" style="5" customWidth="1"/>
    <col min="16133" max="16133" width="19.42578125" style="5" customWidth="1"/>
    <col min="16134" max="16134" width="17.5703125" style="5" customWidth="1"/>
    <col min="16135" max="16136" width="9.140625" style="5"/>
    <col min="16137" max="16137" width="10.85546875" style="5" customWidth="1"/>
    <col min="16138" max="16138" width="10.140625" style="5" customWidth="1"/>
    <col min="16139" max="16139" width="13.28515625" style="5" bestFit="1" customWidth="1"/>
    <col min="16140" max="16384" width="9.140625" style="5"/>
  </cols>
  <sheetData>
    <row r="1" spans="1:10" ht="15.75" customHeight="1">
      <c r="A1" s="841" t="s">
        <v>606</v>
      </c>
      <c r="B1" s="841"/>
      <c r="C1" s="841"/>
      <c r="D1" s="841"/>
      <c r="E1" s="841"/>
      <c r="F1" s="841"/>
      <c r="G1" s="841"/>
      <c r="H1" s="841"/>
      <c r="I1" s="841"/>
      <c r="J1" s="841"/>
    </row>
    <row r="2" spans="1:10" ht="15.75" customHeight="1">
      <c r="A2" s="841"/>
      <c r="B2" s="841"/>
      <c r="C2" s="841"/>
      <c r="D2" s="841"/>
      <c r="E2" s="841"/>
      <c r="F2" s="841"/>
      <c r="G2" s="841"/>
      <c r="H2" s="841"/>
      <c r="I2" s="841"/>
      <c r="J2" s="841"/>
    </row>
    <row r="3" spans="1:10" ht="15.75" customHeight="1">
      <c r="A3" s="842" t="s">
        <v>17</v>
      </c>
      <c r="B3" s="842" t="s">
        <v>18</v>
      </c>
      <c r="C3" s="842" t="s">
        <v>19</v>
      </c>
      <c r="D3" s="842" t="s">
        <v>20</v>
      </c>
      <c r="E3" s="842"/>
      <c r="F3" s="842" t="s">
        <v>21</v>
      </c>
      <c r="G3" s="842" t="s">
        <v>22</v>
      </c>
      <c r="H3" s="843" t="s">
        <v>23</v>
      </c>
      <c r="I3" s="842" t="s">
        <v>24</v>
      </c>
      <c r="J3" s="842"/>
    </row>
    <row r="4" spans="1:10">
      <c r="A4" s="842"/>
      <c r="B4" s="842"/>
      <c r="C4" s="842"/>
      <c r="D4" s="842"/>
      <c r="E4" s="842"/>
      <c r="F4" s="842"/>
      <c r="G4" s="842"/>
      <c r="H4" s="844"/>
      <c r="I4" s="239" t="s">
        <v>25</v>
      </c>
      <c r="J4" s="239" t="s">
        <v>26</v>
      </c>
    </row>
    <row r="5" spans="1:10" s="9" customFormat="1" ht="15.6">
      <c r="A5" s="6"/>
      <c r="B5" s="7"/>
      <c r="C5" s="236"/>
      <c r="D5" s="245"/>
      <c r="E5" s="245"/>
      <c r="F5" s="8"/>
      <c r="G5" s="8"/>
      <c r="H5" s="8"/>
      <c r="I5" s="8"/>
      <c r="J5" s="8"/>
    </row>
    <row r="6" spans="1:10" s="9" customFormat="1">
      <c r="A6" s="8"/>
      <c r="B6" s="10"/>
      <c r="C6" s="10" t="s">
        <v>109</v>
      </c>
      <c r="D6" s="245"/>
      <c r="E6" s="245"/>
      <c r="F6" s="8"/>
      <c r="G6" s="8"/>
      <c r="H6" s="8"/>
      <c r="I6" s="8"/>
      <c r="J6" s="8"/>
    </row>
    <row r="7" spans="1:10" s="9" customFormat="1">
      <c r="A7" s="8"/>
      <c r="B7" s="8"/>
      <c r="C7" s="11" t="s">
        <v>2</v>
      </c>
      <c r="D7" s="8"/>
      <c r="E7" s="8"/>
      <c r="F7" s="8"/>
      <c r="G7" s="8"/>
      <c r="H7" s="8"/>
      <c r="I7" s="8"/>
      <c r="J7" s="8"/>
    </row>
    <row r="8" spans="1:10" s="9" customFormat="1" ht="15.75" customHeight="1">
      <c r="A8" s="245">
        <v>1</v>
      </c>
      <c r="B8" s="245" t="s">
        <v>646</v>
      </c>
      <c r="C8" s="245" t="s">
        <v>27</v>
      </c>
      <c r="D8" s="829" t="s">
        <v>3</v>
      </c>
      <c r="E8" s="829" t="s">
        <v>3</v>
      </c>
      <c r="F8" s="245">
        <v>1</v>
      </c>
      <c r="G8" s="245" t="s">
        <v>44</v>
      </c>
      <c r="H8" s="242">
        <v>0.45</v>
      </c>
      <c r="I8" s="242">
        <v>1</v>
      </c>
      <c r="J8" s="242">
        <v>1</v>
      </c>
    </row>
    <row r="9" spans="1:10" s="9" customFormat="1">
      <c r="A9" s="245">
        <v>2</v>
      </c>
      <c r="B9" s="245" t="s">
        <v>647</v>
      </c>
      <c r="C9" s="245" t="s">
        <v>30</v>
      </c>
      <c r="D9" s="829"/>
      <c r="E9" s="829"/>
      <c r="F9" s="245">
        <v>1</v>
      </c>
      <c r="G9" s="245" t="s">
        <v>44</v>
      </c>
      <c r="H9" s="242">
        <v>0.45</v>
      </c>
      <c r="I9" s="242">
        <v>1</v>
      </c>
      <c r="J9" s="242">
        <v>1</v>
      </c>
    </row>
    <row r="10" spans="1:10" s="9" customFormat="1" ht="47.25">
      <c r="A10" s="242">
        <v>3</v>
      </c>
      <c r="B10" s="242" t="s">
        <v>648</v>
      </c>
      <c r="C10" s="242" t="s">
        <v>649</v>
      </c>
      <c r="D10" s="242" t="s">
        <v>693</v>
      </c>
      <c r="E10" s="242" t="s">
        <v>31</v>
      </c>
      <c r="F10" s="242">
        <v>1</v>
      </c>
      <c r="G10" s="242" t="s">
        <v>29</v>
      </c>
      <c r="H10" s="242">
        <v>0.05</v>
      </c>
      <c r="I10" s="242">
        <v>0.13600000000000001</v>
      </c>
      <c r="J10" s="242">
        <f>I10*F10</f>
        <v>0.13600000000000001</v>
      </c>
    </row>
    <row r="11" spans="1:10" s="9" customFormat="1" ht="31.5">
      <c r="A11" s="242">
        <v>4</v>
      </c>
      <c r="B11" s="242" t="s">
        <v>650</v>
      </c>
      <c r="C11" s="242" t="s">
        <v>32</v>
      </c>
      <c r="D11" s="271" t="s">
        <v>714</v>
      </c>
      <c r="E11" s="242" t="s">
        <v>33</v>
      </c>
      <c r="F11" s="242">
        <v>1</v>
      </c>
      <c r="G11" s="242" t="s">
        <v>29</v>
      </c>
      <c r="H11" s="242">
        <v>5.7000000000000002E-2</v>
      </c>
      <c r="I11" s="242">
        <v>0.24199999999999999</v>
      </c>
      <c r="J11" s="242">
        <f>I11*F11</f>
        <v>0.24199999999999999</v>
      </c>
    </row>
    <row r="12" spans="1:10" ht="31.5">
      <c r="A12" s="242">
        <v>5</v>
      </c>
      <c r="B12" s="272" t="s">
        <v>626</v>
      </c>
      <c r="C12" s="272" t="s">
        <v>34</v>
      </c>
      <c r="D12" s="271" t="s">
        <v>726</v>
      </c>
      <c r="E12" s="271" t="s">
        <v>35</v>
      </c>
      <c r="F12" s="272">
        <v>1</v>
      </c>
      <c r="G12" s="272" t="s">
        <v>29</v>
      </c>
      <c r="H12" s="272">
        <v>0.114</v>
      </c>
      <c r="I12" s="272">
        <v>0.17100000000000001</v>
      </c>
      <c r="J12" s="272">
        <f>I12*F12</f>
        <v>0.17100000000000001</v>
      </c>
    </row>
    <row r="13" spans="1:10" ht="15.6" customHeight="1">
      <c r="A13" s="830"/>
      <c r="B13" s="831"/>
      <c r="C13" s="831"/>
      <c r="D13" s="831"/>
      <c r="E13" s="831"/>
      <c r="F13" s="831"/>
      <c r="G13" s="831"/>
      <c r="H13" s="831"/>
      <c r="I13" s="831"/>
      <c r="J13" s="832"/>
    </row>
    <row r="14" spans="1:10" s="14" customFormat="1">
      <c r="A14" s="12"/>
      <c r="B14" s="12"/>
      <c r="C14" s="13" t="s">
        <v>2</v>
      </c>
      <c r="D14" s="12"/>
      <c r="E14" s="12"/>
      <c r="F14" s="12"/>
      <c r="G14" s="12"/>
      <c r="H14" s="12"/>
      <c r="I14" s="12"/>
      <c r="J14" s="12"/>
    </row>
    <row r="15" spans="1:10" ht="31.5">
      <c r="A15" s="244">
        <v>6</v>
      </c>
      <c r="B15" s="242" t="s">
        <v>651</v>
      </c>
      <c r="C15" s="242" t="s">
        <v>652</v>
      </c>
      <c r="D15" s="272" t="s">
        <v>730</v>
      </c>
      <c r="E15" s="272" t="s">
        <v>36</v>
      </c>
      <c r="F15" s="242">
        <v>1</v>
      </c>
      <c r="G15" s="242" t="s">
        <v>29</v>
      </c>
      <c r="H15" s="242">
        <v>2E-3</v>
      </c>
      <c r="I15" s="242">
        <v>2.1000000000000001E-2</v>
      </c>
      <c r="J15" s="242">
        <f>I15*F15</f>
        <v>2.1000000000000001E-2</v>
      </c>
    </row>
    <row r="16" spans="1:10" ht="31.5">
      <c r="A16" s="244">
        <v>7</v>
      </c>
      <c r="B16" s="272" t="s">
        <v>653</v>
      </c>
      <c r="C16" s="272" t="s">
        <v>110</v>
      </c>
      <c r="D16" s="271" t="s">
        <v>732</v>
      </c>
      <c r="E16" s="272" t="s">
        <v>111</v>
      </c>
      <c r="F16" s="242">
        <v>1</v>
      </c>
      <c r="G16" s="242" t="s">
        <v>29</v>
      </c>
      <c r="H16" s="242">
        <v>2E-3</v>
      </c>
      <c r="I16" s="242">
        <v>0.01</v>
      </c>
      <c r="J16" s="242">
        <f>I16*F16</f>
        <v>0.01</v>
      </c>
    </row>
    <row r="17" spans="1:10" s="26" customFormat="1" ht="31.5">
      <c r="A17" s="244">
        <v>8</v>
      </c>
      <c r="B17" s="272" t="s">
        <v>654</v>
      </c>
      <c r="C17" s="272" t="s">
        <v>4</v>
      </c>
      <c r="D17" s="271" t="s">
        <v>726</v>
      </c>
      <c r="E17" s="271" t="s">
        <v>35</v>
      </c>
      <c r="F17" s="242">
        <v>1</v>
      </c>
      <c r="G17" s="242" t="s">
        <v>29</v>
      </c>
      <c r="H17" s="242">
        <v>0.01</v>
      </c>
      <c r="I17" s="238">
        <f>73.59/900</f>
        <v>8.1766666666666668E-2</v>
      </c>
      <c r="J17" s="237">
        <f>I17*F17</f>
        <v>8.1766666666666668E-2</v>
      </c>
    </row>
    <row r="18" spans="1:10" s="9" customFormat="1" ht="31.5">
      <c r="A18" s="244">
        <v>9</v>
      </c>
      <c r="B18" s="272" t="s">
        <v>655</v>
      </c>
      <c r="C18" s="272" t="s">
        <v>609</v>
      </c>
      <c r="D18" s="242" t="s">
        <v>715</v>
      </c>
      <c r="E18" s="242" t="s">
        <v>33</v>
      </c>
      <c r="F18" s="242">
        <v>1</v>
      </c>
      <c r="G18" s="242" t="s">
        <v>29</v>
      </c>
      <c r="H18" s="242">
        <v>0.16400000000000001</v>
      </c>
      <c r="I18" s="272">
        <v>0.29099999999999998</v>
      </c>
      <c r="J18" s="242">
        <f>I18*F18</f>
        <v>0.29099999999999998</v>
      </c>
    </row>
    <row r="19" spans="1:10" s="9" customFormat="1" ht="31.5">
      <c r="A19" s="244">
        <v>10</v>
      </c>
      <c r="B19" s="272"/>
      <c r="C19" s="272" t="s">
        <v>112</v>
      </c>
      <c r="D19" s="271" t="s">
        <v>726</v>
      </c>
      <c r="E19" s="271" t="s">
        <v>35</v>
      </c>
      <c r="F19" s="272">
        <v>1</v>
      </c>
      <c r="G19" s="272" t="s">
        <v>29</v>
      </c>
      <c r="H19" s="272">
        <v>0.7</v>
      </c>
      <c r="I19" s="272">
        <v>0.8</v>
      </c>
      <c r="J19" s="242">
        <f>I19*F19</f>
        <v>0.8</v>
      </c>
    </row>
    <row r="20" spans="1:10" s="9" customFormat="1" ht="15.6">
      <c r="A20" s="823"/>
      <c r="B20" s="833"/>
      <c r="C20" s="833"/>
      <c r="D20" s="833"/>
      <c r="E20" s="833"/>
      <c r="F20" s="833"/>
      <c r="G20" s="833"/>
      <c r="H20" s="833"/>
      <c r="I20" s="833"/>
      <c r="J20" s="824"/>
    </row>
    <row r="21" spans="1:10" s="9" customFormat="1">
      <c r="A21" s="12"/>
      <c r="B21" s="161"/>
      <c r="C21" s="161" t="s">
        <v>656</v>
      </c>
      <c r="D21" s="274"/>
      <c r="E21" s="274"/>
      <c r="F21" s="274"/>
      <c r="G21" s="274"/>
      <c r="H21" s="274"/>
      <c r="I21" s="274"/>
      <c r="J21" s="274"/>
    </row>
    <row r="22" spans="1:10" s="9" customFormat="1">
      <c r="A22" s="12"/>
      <c r="B22" s="244"/>
      <c r="C22" s="13" t="s">
        <v>2</v>
      </c>
      <c r="D22" s="274"/>
      <c r="E22" s="274"/>
      <c r="F22" s="274"/>
      <c r="G22" s="274"/>
      <c r="H22" s="274"/>
      <c r="I22" s="274"/>
      <c r="J22" s="274"/>
    </row>
    <row r="23" spans="1:10" s="9" customFormat="1" ht="31.5">
      <c r="A23" s="242">
        <v>11</v>
      </c>
      <c r="B23" s="242" t="s">
        <v>657</v>
      </c>
      <c r="C23" s="242" t="s">
        <v>627</v>
      </c>
      <c r="D23" s="234" t="s">
        <v>716</v>
      </c>
      <c r="E23" s="234" t="s">
        <v>41</v>
      </c>
      <c r="F23" s="246">
        <v>1</v>
      </c>
      <c r="G23" s="246" t="s">
        <v>29</v>
      </c>
      <c r="H23" s="246">
        <v>0.156</v>
      </c>
      <c r="I23" s="246">
        <v>0.52200000000000002</v>
      </c>
      <c r="J23" s="246">
        <f>I23*F23</f>
        <v>0.52200000000000002</v>
      </c>
    </row>
    <row r="24" spans="1:10" s="9" customFormat="1" ht="31.5">
      <c r="A24" s="242">
        <v>12</v>
      </c>
      <c r="B24" s="242" t="s">
        <v>658</v>
      </c>
      <c r="C24" s="272" t="s">
        <v>610</v>
      </c>
      <c r="D24" s="272" t="s">
        <v>730</v>
      </c>
      <c r="E24" s="272" t="s">
        <v>36</v>
      </c>
      <c r="F24" s="272">
        <v>1</v>
      </c>
      <c r="G24" s="272" t="s">
        <v>29</v>
      </c>
      <c r="H24" s="272">
        <v>2E-3</v>
      </c>
      <c r="I24" s="272">
        <v>7.4999999999999997E-3</v>
      </c>
      <c r="J24" s="242">
        <f>I24*F24</f>
        <v>7.4999999999999997E-3</v>
      </c>
    </row>
    <row r="25" spans="1:10" s="9" customFormat="1" ht="31.5">
      <c r="A25" s="242">
        <v>13</v>
      </c>
      <c r="B25" s="242" t="s">
        <v>628</v>
      </c>
      <c r="C25" s="242" t="s">
        <v>42</v>
      </c>
      <c r="D25" s="234" t="s">
        <v>728</v>
      </c>
      <c r="E25" s="242" t="s">
        <v>43</v>
      </c>
      <c r="F25" s="246">
        <v>1</v>
      </c>
      <c r="G25" s="242" t="s">
        <v>29</v>
      </c>
      <c r="H25" s="242">
        <v>1E-3</v>
      </c>
      <c r="I25" s="246">
        <v>2E-3</v>
      </c>
      <c r="J25" s="246">
        <f>I25*F25</f>
        <v>2E-3</v>
      </c>
    </row>
    <row r="26" spans="1:10" s="9" customFormat="1" ht="15.75" customHeight="1">
      <c r="A26" s="242">
        <v>14</v>
      </c>
      <c r="B26" s="242" t="s">
        <v>629</v>
      </c>
      <c r="C26" s="242" t="s">
        <v>126</v>
      </c>
      <c r="D26" s="834" t="s">
        <v>733</v>
      </c>
      <c r="E26" s="835"/>
      <c r="F26" s="246">
        <v>1</v>
      </c>
      <c r="G26" s="242" t="s">
        <v>44</v>
      </c>
      <c r="H26" s="242"/>
      <c r="I26" s="246">
        <v>1</v>
      </c>
      <c r="J26" s="246">
        <f t="shared" ref="J26:J32" si="0">I26*F26</f>
        <v>1</v>
      </c>
    </row>
    <row r="27" spans="1:10" s="9" customFormat="1" ht="15.75" customHeight="1">
      <c r="A27" s="242">
        <v>15</v>
      </c>
      <c r="B27" s="242" t="s">
        <v>630</v>
      </c>
      <c r="C27" s="242" t="s">
        <v>631</v>
      </c>
      <c r="D27" s="836" t="s">
        <v>46</v>
      </c>
      <c r="E27" s="836" t="s">
        <v>47</v>
      </c>
      <c r="F27" s="246" t="s">
        <v>128</v>
      </c>
      <c r="G27" s="246" t="s">
        <v>29</v>
      </c>
      <c r="H27" s="246">
        <v>2E-3</v>
      </c>
      <c r="I27" s="242">
        <v>4.0000000000000001E-3</v>
      </c>
      <c r="J27" s="246">
        <f>I27</f>
        <v>4.0000000000000001E-3</v>
      </c>
    </row>
    <row r="28" spans="1:10" s="9" customFormat="1">
      <c r="A28" s="242">
        <v>16</v>
      </c>
      <c r="B28" s="242" t="s">
        <v>632</v>
      </c>
      <c r="C28" s="242" t="s">
        <v>45</v>
      </c>
      <c r="D28" s="837"/>
      <c r="E28" s="837"/>
      <c r="F28" s="246">
        <v>1</v>
      </c>
      <c r="G28" s="246" t="s">
        <v>29</v>
      </c>
      <c r="H28" s="246">
        <v>1E-3</v>
      </c>
      <c r="I28" s="246">
        <v>3.0000000000000001E-3</v>
      </c>
      <c r="J28" s="246">
        <f t="shared" si="0"/>
        <v>3.0000000000000001E-3</v>
      </c>
    </row>
    <row r="29" spans="1:10" s="9" customFormat="1" ht="31.5">
      <c r="A29" s="242">
        <v>17</v>
      </c>
      <c r="B29" s="242" t="s">
        <v>659</v>
      </c>
      <c r="C29" s="242" t="s">
        <v>633</v>
      </c>
      <c r="D29" s="242" t="s">
        <v>729</v>
      </c>
      <c r="E29" s="234" t="s">
        <v>139</v>
      </c>
      <c r="F29" s="246">
        <v>1</v>
      </c>
      <c r="G29" s="246" t="s">
        <v>29</v>
      </c>
      <c r="H29" s="246">
        <v>1.4E-2</v>
      </c>
      <c r="I29" s="242">
        <v>3.2000000000000001E-2</v>
      </c>
      <c r="J29" s="246">
        <f t="shared" si="0"/>
        <v>3.2000000000000001E-2</v>
      </c>
    </row>
    <row r="30" spans="1:10" s="9" customFormat="1" ht="31.5">
      <c r="A30" s="242">
        <v>18</v>
      </c>
      <c r="B30" s="242" t="s">
        <v>634</v>
      </c>
      <c r="C30" s="242" t="s">
        <v>48</v>
      </c>
      <c r="D30" s="234" t="s">
        <v>731</v>
      </c>
      <c r="E30" s="234" t="s">
        <v>49</v>
      </c>
      <c r="F30" s="246">
        <v>1</v>
      </c>
      <c r="G30" s="240" t="s">
        <v>39</v>
      </c>
      <c r="H30" s="240">
        <v>5.0000000000000001E-4</v>
      </c>
      <c r="I30" s="246">
        <v>0.03</v>
      </c>
      <c r="J30" s="246">
        <f t="shared" si="0"/>
        <v>0.03</v>
      </c>
    </row>
    <row r="31" spans="1:10" s="9" customFormat="1" ht="31.5">
      <c r="A31" s="242">
        <v>19</v>
      </c>
      <c r="B31" s="242" t="s">
        <v>660</v>
      </c>
      <c r="C31" s="242" t="s">
        <v>635</v>
      </c>
      <c r="D31" s="234" t="s">
        <v>50</v>
      </c>
      <c r="E31" s="242" t="s">
        <v>51</v>
      </c>
      <c r="F31" s="246">
        <v>1</v>
      </c>
      <c r="G31" s="242" t="s">
        <v>44</v>
      </c>
      <c r="H31" s="242"/>
      <c r="I31" s="246">
        <v>1</v>
      </c>
      <c r="J31" s="246">
        <f t="shared" si="0"/>
        <v>1</v>
      </c>
    </row>
    <row r="32" spans="1:10" s="9" customFormat="1" ht="15.75" customHeight="1">
      <c r="A32" s="242">
        <v>20</v>
      </c>
      <c r="B32" s="242" t="s">
        <v>636</v>
      </c>
      <c r="C32" s="242" t="s">
        <v>129</v>
      </c>
      <c r="D32" s="838" t="s">
        <v>733</v>
      </c>
      <c r="E32" s="839"/>
      <c r="F32" s="246">
        <v>2</v>
      </c>
      <c r="G32" s="242" t="s">
        <v>44</v>
      </c>
      <c r="H32" s="242"/>
      <c r="I32" s="246">
        <v>1</v>
      </c>
      <c r="J32" s="246">
        <f t="shared" si="0"/>
        <v>2</v>
      </c>
    </row>
    <row r="33" spans="1:10" s="9" customFormat="1">
      <c r="A33" s="275"/>
      <c r="B33" s="275"/>
      <c r="C33" s="273" t="s">
        <v>52</v>
      </c>
      <c r="D33" s="275"/>
      <c r="E33" s="275"/>
      <c r="F33" s="275"/>
      <c r="G33" s="275"/>
      <c r="H33" s="275"/>
      <c r="I33" s="275"/>
      <c r="J33" s="275"/>
    </row>
    <row r="34" spans="1:10" s="9" customFormat="1" ht="15.75" customHeight="1">
      <c r="A34" s="244">
        <v>21</v>
      </c>
      <c r="B34" s="275"/>
      <c r="C34" s="242" t="s">
        <v>236</v>
      </c>
      <c r="D34" s="840" t="s">
        <v>53</v>
      </c>
      <c r="E34" s="840"/>
      <c r="F34" s="242">
        <v>1</v>
      </c>
      <c r="G34" s="242" t="s">
        <v>44</v>
      </c>
      <c r="H34" s="242"/>
      <c r="I34" s="242">
        <v>1</v>
      </c>
      <c r="J34" s="242">
        <f>I34*F34</f>
        <v>1</v>
      </c>
    </row>
    <row r="35" spans="1:10" s="9" customFormat="1">
      <c r="A35" s="244"/>
      <c r="B35" s="275"/>
      <c r="C35" s="273" t="s">
        <v>54</v>
      </c>
      <c r="D35" s="242"/>
      <c r="E35" s="242"/>
      <c r="F35" s="242"/>
      <c r="G35" s="242"/>
      <c r="H35" s="242"/>
      <c r="I35" s="242"/>
      <c r="J35" s="242"/>
    </row>
    <row r="36" spans="1:10" s="9" customFormat="1" ht="42" customHeight="1">
      <c r="A36" s="244">
        <v>22</v>
      </c>
      <c r="B36" s="244"/>
      <c r="C36" s="242" t="s">
        <v>484</v>
      </c>
      <c r="D36" s="828" t="s">
        <v>55</v>
      </c>
      <c r="E36" s="828"/>
      <c r="F36" s="246">
        <v>1</v>
      </c>
      <c r="G36" s="242" t="s">
        <v>44</v>
      </c>
      <c r="H36" s="242"/>
      <c r="I36" s="246">
        <v>1.2500000000000001E-2</v>
      </c>
      <c r="J36" s="246">
        <f>I36*F36</f>
        <v>1.2500000000000001E-2</v>
      </c>
    </row>
    <row r="37" spans="1:10" s="9" customFormat="1">
      <c r="A37" s="827"/>
      <c r="B37" s="827"/>
      <c r="C37" s="827"/>
      <c r="D37" s="827"/>
      <c r="E37" s="827"/>
      <c r="F37" s="827"/>
      <c r="G37" s="827"/>
      <c r="H37" s="827"/>
      <c r="I37" s="827"/>
      <c r="J37" s="827"/>
    </row>
    <row r="38" spans="1:10">
      <c r="A38" s="236"/>
      <c r="B38" s="242"/>
      <c r="C38" s="17" t="s">
        <v>56</v>
      </c>
      <c r="D38" s="19"/>
      <c r="E38" s="19"/>
      <c r="F38" s="246"/>
      <c r="G38" s="242"/>
      <c r="H38" s="242"/>
      <c r="I38" s="246"/>
      <c r="J38" s="246"/>
    </row>
    <row r="39" spans="1:10">
      <c r="A39" s="236">
        <v>23</v>
      </c>
      <c r="B39" s="242"/>
      <c r="C39" s="18" t="s">
        <v>57</v>
      </c>
      <c r="D39" s="18"/>
      <c r="E39" s="18"/>
      <c r="F39" s="18">
        <v>1</v>
      </c>
      <c r="G39" s="18" t="s">
        <v>44</v>
      </c>
      <c r="H39" s="18"/>
      <c r="I39" s="18">
        <v>1</v>
      </c>
      <c r="J39" s="246">
        <v>1</v>
      </c>
    </row>
    <row r="40" spans="1:10">
      <c r="A40" s="236">
        <v>24</v>
      </c>
      <c r="B40" s="242"/>
      <c r="C40" s="18" t="s">
        <v>58</v>
      </c>
      <c r="D40" s="18"/>
      <c r="E40" s="18"/>
      <c r="F40" s="18">
        <v>1</v>
      </c>
      <c r="G40" s="18" t="s">
        <v>44</v>
      </c>
      <c r="H40" s="18"/>
      <c r="I40" s="18">
        <v>1</v>
      </c>
      <c r="J40" s="246">
        <v>1</v>
      </c>
    </row>
    <row r="41" spans="1:10">
      <c r="A41" s="236">
        <v>25</v>
      </c>
      <c r="B41" s="242"/>
      <c r="C41" s="18" t="s">
        <v>113</v>
      </c>
      <c r="D41" s="27"/>
      <c r="E41" s="18"/>
      <c r="F41" s="18">
        <v>1</v>
      </c>
      <c r="G41" s="18" t="s">
        <v>44</v>
      </c>
      <c r="H41" s="246"/>
      <c r="I41" s="242">
        <v>1</v>
      </c>
      <c r="J41" s="242">
        <v>1</v>
      </c>
    </row>
    <row r="42" spans="1:10">
      <c r="A42" s="236">
        <v>26</v>
      </c>
      <c r="B42" s="242"/>
      <c r="C42" s="18" t="s">
        <v>675</v>
      </c>
      <c r="D42" s="18"/>
      <c r="E42" s="18"/>
      <c r="F42" s="18">
        <v>1</v>
      </c>
      <c r="G42" s="18" t="s">
        <v>44</v>
      </c>
      <c r="H42" s="31"/>
      <c r="I42" s="31">
        <v>1</v>
      </c>
      <c r="J42" s="242">
        <f>I42*F42</f>
        <v>1</v>
      </c>
    </row>
    <row r="43" spans="1:10" ht="15.75" customHeight="1">
      <c r="A43" s="236">
        <v>27</v>
      </c>
      <c r="B43" s="242"/>
      <c r="C43" s="245" t="s">
        <v>114</v>
      </c>
      <c r="D43" s="821" t="s">
        <v>59</v>
      </c>
      <c r="E43" s="822"/>
      <c r="F43" s="245">
        <v>1</v>
      </c>
      <c r="G43" s="245" t="s">
        <v>44</v>
      </c>
      <c r="H43" s="245"/>
      <c r="I43" s="245">
        <v>1</v>
      </c>
      <c r="J43" s="28">
        <f>I43*F43</f>
        <v>1</v>
      </c>
    </row>
    <row r="44" spans="1:10" ht="15.75" customHeight="1">
      <c r="A44" s="236">
        <v>28</v>
      </c>
      <c r="B44" s="242"/>
      <c r="C44" s="18" t="s">
        <v>60</v>
      </c>
      <c r="D44" s="819" t="s">
        <v>61</v>
      </c>
      <c r="E44" s="820"/>
      <c r="F44" s="18">
        <v>1</v>
      </c>
      <c r="G44" s="18" t="s">
        <v>29</v>
      </c>
      <c r="H44" s="242"/>
      <c r="I44" s="246">
        <v>3.05</v>
      </c>
      <c r="J44" s="236">
        <v>3.05</v>
      </c>
    </row>
    <row r="45" spans="1:10">
      <c r="A45" s="236">
        <v>29</v>
      </c>
      <c r="B45" s="242"/>
      <c r="C45" s="245" t="s">
        <v>115</v>
      </c>
      <c r="D45" s="845" t="s">
        <v>62</v>
      </c>
      <c r="E45" s="829" t="s">
        <v>63</v>
      </c>
      <c r="F45" s="245">
        <v>1</v>
      </c>
      <c r="G45" s="245" t="s">
        <v>44</v>
      </c>
      <c r="H45" s="245"/>
      <c r="I45" s="245">
        <v>1</v>
      </c>
      <c r="J45" s="28">
        <f t="shared" ref="J45:J68" si="1">I45*F45</f>
        <v>1</v>
      </c>
    </row>
    <row r="46" spans="1:10">
      <c r="A46" s="236">
        <v>30</v>
      </c>
      <c r="B46" s="15"/>
      <c r="C46" s="245" t="s">
        <v>65</v>
      </c>
      <c r="D46" s="845"/>
      <c r="E46" s="829"/>
      <c r="F46" s="245">
        <v>1</v>
      </c>
      <c r="G46" s="245" t="s">
        <v>44</v>
      </c>
      <c r="H46" s="245"/>
      <c r="I46" s="245">
        <v>1</v>
      </c>
      <c r="J46" s="28">
        <f t="shared" si="1"/>
        <v>1</v>
      </c>
    </row>
    <row r="47" spans="1:10">
      <c r="A47" s="236">
        <v>31</v>
      </c>
      <c r="B47" s="15"/>
      <c r="C47" s="245" t="s">
        <v>116</v>
      </c>
      <c r="D47" s="845"/>
      <c r="E47" s="829"/>
      <c r="F47" s="245">
        <v>2</v>
      </c>
      <c r="G47" s="245" t="s">
        <v>67</v>
      </c>
      <c r="H47" s="245"/>
      <c r="I47" s="245">
        <v>4.4999999999999998E-2</v>
      </c>
      <c r="J47" s="28">
        <f t="shared" si="1"/>
        <v>0.09</v>
      </c>
    </row>
    <row r="48" spans="1:10">
      <c r="A48" s="236">
        <v>32</v>
      </c>
      <c r="B48" s="15"/>
      <c r="C48" s="245" t="s">
        <v>68</v>
      </c>
      <c r="D48" s="821" t="s">
        <v>69</v>
      </c>
      <c r="E48" s="822"/>
      <c r="F48" s="245">
        <v>4</v>
      </c>
      <c r="G48" s="245" t="s">
        <v>44</v>
      </c>
      <c r="H48" s="245"/>
      <c r="I48" s="245">
        <v>1</v>
      </c>
      <c r="J48" s="28">
        <f>I48*F48</f>
        <v>4</v>
      </c>
    </row>
    <row r="49" spans="1:15">
      <c r="A49" s="236">
        <v>33</v>
      </c>
      <c r="B49" s="242"/>
      <c r="C49" s="245" t="s">
        <v>117</v>
      </c>
      <c r="D49" s="821" t="s">
        <v>118</v>
      </c>
      <c r="E49" s="822"/>
      <c r="F49" s="245">
        <v>2</v>
      </c>
      <c r="G49" s="245" t="s">
        <v>44</v>
      </c>
      <c r="H49" s="245"/>
      <c r="I49" s="245">
        <v>1</v>
      </c>
      <c r="J49" s="28">
        <f>I49*F49</f>
        <v>2</v>
      </c>
    </row>
    <row r="50" spans="1:15">
      <c r="A50" s="236">
        <v>34</v>
      </c>
      <c r="B50" s="244"/>
      <c r="C50" s="245" t="s">
        <v>119</v>
      </c>
      <c r="D50" s="821" t="s">
        <v>120</v>
      </c>
      <c r="E50" s="822"/>
      <c r="F50" s="245">
        <v>2</v>
      </c>
      <c r="G50" s="245" t="s">
        <v>44</v>
      </c>
      <c r="H50" s="245"/>
      <c r="I50" s="245">
        <v>1</v>
      </c>
      <c r="J50" s="28">
        <f>I50*F50</f>
        <v>2</v>
      </c>
    </row>
    <row r="51" spans="1:15">
      <c r="A51" s="236">
        <v>35</v>
      </c>
      <c r="B51" s="20"/>
      <c r="C51" s="245" t="s">
        <v>70</v>
      </c>
      <c r="D51" s="245"/>
      <c r="E51" s="245"/>
      <c r="F51" s="245">
        <v>1</v>
      </c>
      <c r="G51" s="245" t="s">
        <v>29</v>
      </c>
      <c r="H51" s="245"/>
      <c r="I51" s="245">
        <v>7.0000000000000001E-3</v>
      </c>
      <c r="J51" s="28">
        <f t="shared" si="1"/>
        <v>7.0000000000000001E-3</v>
      </c>
    </row>
    <row r="52" spans="1:15" ht="15.75" customHeight="1">
      <c r="A52" s="236">
        <v>36</v>
      </c>
      <c r="B52" s="20"/>
      <c r="C52" s="245" t="s">
        <v>71</v>
      </c>
      <c r="D52" s="821" t="s">
        <v>72</v>
      </c>
      <c r="E52" s="822"/>
      <c r="F52" s="245">
        <v>1</v>
      </c>
      <c r="G52" s="245" t="s">
        <v>39</v>
      </c>
      <c r="H52" s="245"/>
      <c r="I52" s="245">
        <v>3</v>
      </c>
      <c r="J52" s="28">
        <f t="shared" si="1"/>
        <v>3</v>
      </c>
    </row>
    <row r="53" spans="1:15" ht="15.75" customHeight="1">
      <c r="A53" s="236">
        <v>37</v>
      </c>
      <c r="B53" s="20"/>
      <c r="C53" s="242" t="s">
        <v>73</v>
      </c>
      <c r="D53" s="823" t="s">
        <v>74</v>
      </c>
      <c r="E53" s="824"/>
      <c r="F53" s="242">
        <v>1</v>
      </c>
      <c r="G53" s="242" t="s">
        <v>29</v>
      </c>
      <c r="H53" s="242"/>
      <c r="I53" s="242">
        <v>2E-3</v>
      </c>
      <c r="J53" s="242">
        <f t="shared" si="1"/>
        <v>2E-3</v>
      </c>
    </row>
    <row r="54" spans="1:15" ht="15.75" customHeight="1">
      <c r="A54" s="236">
        <v>38</v>
      </c>
      <c r="B54" s="20"/>
      <c r="C54" s="242" t="s">
        <v>736</v>
      </c>
      <c r="D54" s="821" t="s">
        <v>72</v>
      </c>
      <c r="E54" s="822"/>
      <c r="F54" s="245">
        <v>1</v>
      </c>
      <c r="G54" s="245" t="s">
        <v>29</v>
      </c>
      <c r="H54" s="245"/>
      <c r="I54" s="245">
        <v>3.0000000000000001E-3</v>
      </c>
      <c r="J54" s="28">
        <f t="shared" si="1"/>
        <v>3.0000000000000001E-3</v>
      </c>
    </row>
    <row r="55" spans="1:15">
      <c r="A55" s="236">
        <v>39</v>
      </c>
      <c r="B55" s="20"/>
      <c r="C55" s="245" t="s">
        <v>75</v>
      </c>
      <c r="D55" s="825" t="s">
        <v>76</v>
      </c>
      <c r="E55" s="826"/>
      <c r="F55" s="245">
        <v>1</v>
      </c>
      <c r="G55" s="245" t="s">
        <v>29</v>
      </c>
      <c r="H55" s="245"/>
      <c r="I55" s="242">
        <v>4.1000000000000002E-2</v>
      </c>
      <c r="J55" s="29">
        <f t="shared" si="1"/>
        <v>4.1000000000000002E-2</v>
      </c>
    </row>
    <row r="56" spans="1:15">
      <c r="A56" s="236">
        <v>40</v>
      </c>
      <c r="B56" s="20"/>
      <c r="C56" s="18" t="s">
        <v>77</v>
      </c>
      <c r="D56" s="819" t="s">
        <v>78</v>
      </c>
      <c r="E56" s="820"/>
      <c r="F56" s="18">
        <v>1</v>
      </c>
      <c r="G56" s="18" t="s">
        <v>44</v>
      </c>
      <c r="H56" s="242"/>
      <c r="I56" s="242">
        <v>0.01</v>
      </c>
      <c r="J56" s="242">
        <f t="shared" si="1"/>
        <v>0.01</v>
      </c>
    </row>
    <row r="57" spans="1:15">
      <c r="A57" s="236">
        <v>41</v>
      </c>
      <c r="B57" s="20"/>
      <c r="C57" s="245" t="s">
        <v>79</v>
      </c>
      <c r="D57" s="821" t="s">
        <v>80</v>
      </c>
      <c r="E57" s="822"/>
      <c r="F57" s="245">
        <v>1</v>
      </c>
      <c r="G57" s="245" t="s">
        <v>29</v>
      </c>
      <c r="H57" s="245"/>
      <c r="I57" s="245">
        <v>5.0000000000000001E-3</v>
      </c>
      <c r="J57" s="28">
        <f t="shared" si="1"/>
        <v>5.0000000000000001E-3</v>
      </c>
    </row>
    <row r="58" spans="1:15">
      <c r="A58" s="236">
        <v>42</v>
      </c>
      <c r="B58" s="20"/>
      <c r="C58" s="245" t="s">
        <v>81</v>
      </c>
      <c r="D58" s="821" t="s">
        <v>82</v>
      </c>
      <c r="E58" s="822"/>
      <c r="F58" s="245">
        <v>1</v>
      </c>
      <c r="G58" s="245" t="s">
        <v>29</v>
      </c>
      <c r="H58" s="245"/>
      <c r="I58" s="242">
        <v>6.0000000000000001E-3</v>
      </c>
      <c r="J58" s="29">
        <f t="shared" si="1"/>
        <v>6.0000000000000001E-3</v>
      </c>
    </row>
    <row r="59" spans="1:15">
      <c r="A59" s="236">
        <v>43</v>
      </c>
      <c r="B59" s="20"/>
      <c r="C59" s="18" t="s">
        <v>309</v>
      </c>
      <c r="D59" s="819"/>
      <c r="E59" s="820"/>
      <c r="F59" s="18">
        <v>1</v>
      </c>
      <c r="G59" s="18" t="s">
        <v>29</v>
      </c>
      <c r="H59" s="242"/>
      <c r="I59" s="242">
        <v>1E-3</v>
      </c>
      <c r="J59" s="242">
        <f t="shared" si="1"/>
        <v>1E-3</v>
      </c>
    </row>
    <row r="60" spans="1:15" ht="15.75" customHeight="1">
      <c r="A60" s="236">
        <v>44</v>
      </c>
      <c r="B60" s="23"/>
      <c r="C60" s="245" t="s">
        <v>83</v>
      </c>
      <c r="D60" s="821" t="s">
        <v>84</v>
      </c>
      <c r="E60" s="822"/>
      <c r="F60" s="245">
        <v>1</v>
      </c>
      <c r="G60" s="245" t="s">
        <v>44</v>
      </c>
      <c r="H60" s="245"/>
      <c r="I60" s="245">
        <v>3.0000000000000001E-3</v>
      </c>
      <c r="J60" s="28">
        <f t="shared" si="1"/>
        <v>3.0000000000000001E-3</v>
      </c>
      <c r="K60" s="21" t="s">
        <v>96</v>
      </c>
      <c r="L60" s="22"/>
      <c r="M60" s="22"/>
      <c r="N60" s="22"/>
      <c r="O60" s="22"/>
    </row>
    <row r="61" spans="1:15">
      <c r="A61" s="236">
        <v>45</v>
      </c>
      <c r="B61" s="23"/>
      <c r="C61" s="245" t="s">
        <v>85</v>
      </c>
      <c r="D61" s="821" t="s">
        <v>86</v>
      </c>
      <c r="E61" s="822"/>
      <c r="F61" s="242">
        <v>1</v>
      </c>
      <c r="G61" s="242" t="s">
        <v>29</v>
      </c>
      <c r="H61" s="242"/>
      <c r="I61" s="242">
        <v>5.0000000000000001E-3</v>
      </c>
      <c r="J61" s="29">
        <f t="shared" si="1"/>
        <v>5.0000000000000001E-3</v>
      </c>
      <c r="K61" s="21" t="s">
        <v>611</v>
      </c>
      <c r="L61" s="22"/>
      <c r="M61" s="22"/>
      <c r="N61" s="22"/>
      <c r="O61" s="22"/>
    </row>
    <row r="62" spans="1:15" s="24" customFormat="1" ht="15.75" customHeight="1">
      <c r="A62" s="236">
        <v>46</v>
      </c>
      <c r="B62" s="23"/>
      <c r="C62" s="245" t="s">
        <v>87</v>
      </c>
      <c r="D62" s="821" t="s">
        <v>88</v>
      </c>
      <c r="E62" s="822"/>
      <c r="F62" s="245">
        <v>1</v>
      </c>
      <c r="G62" s="245" t="s">
        <v>29</v>
      </c>
      <c r="H62" s="8"/>
      <c r="I62" s="242">
        <v>5.0000000000000001E-3</v>
      </c>
      <c r="J62" s="29">
        <f t="shared" si="1"/>
        <v>5.0000000000000001E-3</v>
      </c>
      <c r="K62" s="5"/>
      <c r="L62" s="22"/>
      <c r="M62" s="22"/>
      <c r="N62" s="22"/>
      <c r="O62" s="22"/>
    </row>
    <row r="63" spans="1:15" s="24" customFormat="1" ht="15.75" customHeight="1">
      <c r="A63" s="236">
        <v>47</v>
      </c>
      <c r="B63" s="23"/>
      <c r="C63" s="245" t="s">
        <v>89</v>
      </c>
      <c r="D63" s="821" t="s">
        <v>90</v>
      </c>
      <c r="E63" s="822"/>
      <c r="F63" s="245">
        <v>1</v>
      </c>
      <c r="G63" s="245" t="s">
        <v>29</v>
      </c>
      <c r="H63" s="245"/>
      <c r="I63" s="245">
        <v>0.02</v>
      </c>
      <c r="J63" s="28">
        <f t="shared" si="1"/>
        <v>0.02</v>
      </c>
      <c r="K63" s="21" t="s">
        <v>497</v>
      </c>
      <c r="L63" s="22"/>
      <c r="M63" s="22"/>
      <c r="N63" s="22"/>
      <c r="O63" s="22"/>
    </row>
    <row r="64" spans="1:15">
      <c r="A64" s="236">
        <v>48</v>
      </c>
      <c r="B64" s="20"/>
      <c r="C64" s="18" t="s">
        <v>91</v>
      </c>
      <c r="D64" s="819" t="s">
        <v>92</v>
      </c>
      <c r="E64" s="820"/>
      <c r="F64" s="18">
        <v>1</v>
      </c>
      <c r="G64" s="18" t="s">
        <v>44</v>
      </c>
      <c r="H64" s="242"/>
      <c r="I64" s="242">
        <v>0.11</v>
      </c>
      <c r="J64" s="242">
        <f t="shared" si="1"/>
        <v>0.11</v>
      </c>
      <c r="K64" s="21" t="s">
        <v>637</v>
      </c>
      <c r="L64" s="22"/>
      <c r="M64" s="22"/>
      <c r="N64" s="22"/>
      <c r="O64" s="22"/>
    </row>
    <row r="65" spans="1:15">
      <c r="A65" s="236">
        <v>49</v>
      </c>
      <c r="B65" s="15"/>
      <c r="C65" s="18" t="s">
        <v>93</v>
      </c>
      <c r="D65" s="819" t="s">
        <v>92</v>
      </c>
      <c r="E65" s="820"/>
      <c r="F65" s="18">
        <v>1</v>
      </c>
      <c r="G65" s="18" t="s">
        <v>44</v>
      </c>
      <c r="H65" s="242"/>
      <c r="I65" s="242">
        <v>1E-3</v>
      </c>
      <c r="J65" s="242">
        <f t="shared" si="1"/>
        <v>1E-3</v>
      </c>
      <c r="K65" s="21"/>
      <c r="L65" s="22"/>
      <c r="M65" s="22"/>
      <c r="N65" s="22"/>
      <c r="O65" s="22"/>
    </row>
    <row r="66" spans="1:15">
      <c r="A66" s="236">
        <v>50</v>
      </c>
      <c r="B66" s="15"/>
      <c r="C66" s="245" t="s">
        <v>94</v>
      </c>
      <c r="D66" s="821" t="s">
        <v>95</v>
      </c>
      <c r="E66" s="822"/>
      <c r="F66" s="245">
        <v>1</v>
      </c>
      <c r="G66" s="245" t="s">
        <v>67</v>
      </c>
      <c r="H66" s="245"/>
      <c r="I66" s="245">
        <v>0.02</v>
      </c>
      <c r="J66" s="28">
        <f t="shared" si="1"/>
        <v>0.02</v>
      </c>
      <c r="K66" s="21" t="s">
        <v>638</v>
      </c>
    </row>
    <row r="67" spans="1:15">
      <c r="A67" s="236">
        <v>51</v>
      </c>
      <c r="B67" s="15"/>
      <c r="C67" s="18" t="s">
        <v>97</v>
      </c>
      <c r="D67" s="819" t="s">
        <v>98</v>
      </c>
      <c r="E67" s="820"/>
      <c r="F67" s="18">
        <v>1</v>
      </c>
      <c r="G67" s="18" t="s">
        <v>44</v>
      </c>
      <c r="H67" s="242"/>
      <c r="I67" s="242">
        <v>4.0000000000000001E-3</v>
      </c>
      <c r="J67" s="242">
        <f t="shared" si="1"/>
        <v>4.0000000000000001E-3</v>
      </c>
      <c r="K67" s="21"/>
      <c r="L67" s="22"/>
      <c r="M67" s="22"/>
      <c r="N67" s="22"/>
      <c r="O67" s="22"/>
    </row>
    <row r="68" spans="1:15">
      <c r="A68" s="236">
        <v>52</v>
      </c>
      <c r="B68" s="15"/>
      <c r="C68" s="18" t="s">
        <v>99</v>
      </c>
      <c r="D68" s="823" t="s">
        <v>100</v>
      </c>
      <c r="E68" s="824"/>
      <c r="F68" s="18">
        <v>1</v>
      </c>
      <c r="G68" s="18" t="s">
        <v>44</v>
      </c>
      <c r="H68" s="242"/>
      <c r="I68" s="242">
        <v>1E-3</v>
      </c>
      <c r="J68" s="242">
        <f t="shared" si="1"/>
        <v>1E-3</v>
      </c>
      <c r="K68" s="21" t="s">
        <v>639</v>
      </c>
      <c r="L68" s="22"/>
      <c r="M68" s="22"/>
      <c r="N68" s="22"/>
      <c r="O68" s="22"/>
    </row>
    <row r="69" spans="1:15" ht="16.5" thickBot="1">
      <c r="A69" s="236">
        <v>53</v>
      </c>
      <c r="B69" s="15"/>
      <c r="C69" s="245" t="s">
        <v>101</v>
      </c>
      <c r="D69" s="847" t="s">
        <v>102</v>
      </c>
      <c r="E69" s="848"/>
      <c r="F69" s="241">
        <v>1</v>
      </c>
      <c r="G69" s="241" t="s">
        <v>44</v>
      </c>
      <c r="H69" s="30"/>
      <c r="I69" s="242">
        <v>3.0000000000000001E-3</v>
      </c>
      <c r="J69" s="242">
        <v>3.0000000000000001E-3</v>
      </c>
      <c r="K69" s="21"/>
      <c r="L69" s="22"/>
      <c r="M69" s="22"/>
      <c r="N69" s="22"/>
      <c r="O69" s="22"/>
    </row>
    <row r="70" spans="1:15" ht="16.5" customHeight="1">
      <c r="A70" s="236">
        <v>54</v>
      </c>
      <c r="B70" s="15"/>
      <c r="C70" s="242" t="s">
        <v>104</v>
      </c>
      <c r="D70" s="828" t="s">
        <v>105</v>
      </c>
      <c r="E70" s="828"/>
      <c r="F70" s="246">
        <v>1</v>
      </c>
      <c r="G70" s="242" t="s">
        <v>106</v>
      </c>
      <c r="H70" s="242"/>
      <c r="I70" s="235">
        <v>1.2999999999999999E-2</v>
      </c>
      <c r="J70" s="246">
        <f>I70*F70</f>
        <v>1.2999999999999999E-2</v>
      </c>
      <c r="K70" s="21" t="s">
        <v>640</v>
      </c>
      <c r="L70" s="22"/>
      <c r="M70" s="22"/>
      <c r="N70" s="22"/>
      <c r="O70" s="22"/>
    </row>
    <row r="71" spans="1:15">
      <c r="A71" s="236">
        <v>55</v>
      </c>
      <c r="B71" s="15"/>
      <c r="C71" s="243" t="s">
        <v>107</v>
      </c>
      <c r="D71" s="846" t="s">
        <v>108</v>
      </c>
      <c r="E71" s="846"/>
      <c r="F71" s="244">
        <v>1</v>
      </c>
      <c r="G71" s="244" t="s">
        <v>44</v>
      </c>
      <c r="H71" s="244"/>
      <c r="I71" s="244">
        <v>1E-3</v>
      </c>
      <c r="J71" s="244">
        <v>1E-3</v>
      </c>
      <c r="K71" s="21"/>
      <c r="L71" s="22"/>
      <c r="M71" s="22"/>
      <c r="N71" s="22"/>
      <c r="O71" s="22"/>
    </row>
    <row r="72" spans="1:15">
      <c r="A72" s="236">
        <v>56</v>
      </c>
      <c r="B72" s="15"/>
      <c r="C72" s="18" t="s">
        <v>121</v>
      </c>
      <c r="D72" s="829" t="s">
        <v>122</v>
      </c>
      <c r="E72" s="829"/>
      <c r="F72" s="18">
        <v>1</v>
      </c>
      <c r="G72" s="18" t="s">
        <v>123</v>
      </c>
      <c r="H72" s="242"/>
      <c r="I72" s="242">
        <v>1E-3</v>
      </c>
      <c r="J72" s="242">
        <f>I72*F72</f>
        <v>1E-3</v>
      </c>
      <c r="K72" s="21" t="s">
        <v>103</v>
      </c>
      <c r="L72" s="22"/>
      <c r="M72" s="22"/>
      <c r="N72" s="22"/>
      <c r="O72" s="22"/>
    </row>
    <row r="73" spans="1:15" ht="15.75" customHeight="1">
      <c r="K73" s="21" t="s">
        <v>641</v>
      </c>
    </row>
    <row r="79" spans="1:15">
      <c r="F79" s="5"/>
      <c r="G79" s="5"/>
      <c r="H79" s="5"/>
      <c r="I79" s="5"/>
      <c r="K79" s="21"/>
      <c r="L79" s="22"/>
      <c r="M79" s="22"/>
      <c r="N79" s="22"/>
      <c r="O79" s="22"/>
    </row>
    <row r="80" spans="1:15">
      <c r="F80" s="5"/>
      <c r="G80" s="5"/>
      <c r="H80" s="5"/>
      <c r="I80" s="5"/>
      <c r="K80" s="21"/>
      <c r="L80" s="22"/>
      <c r="M80" s="22"/>
      <c r="N80" s="22"/>
      <c r="O80" s="22"/>
    </row>
    <row r="81" spans="6:15">
      <c r="F81" s="5"/>
      <c r="G81" s="5"/>
      <c r="H81" s="5"/>
      <c r="I81" s="5"/>
      <c r="K81" s="21"/>
      <c r="L81" s="22"/>
      <c r="M81" s="22"/>
      <c r="N81" s="22"/>
      <c r="O81" s="22"/>
    </row>
    <row r="82" spans="6:15">
      <c r="F82" s="5"/>
      <c r="G82" s="5"/>
      <c r="H82" s="5"/>
      <c r="I82" s="5"/>
      <c r="K82" s="21"/>
      <c r="L82" s="22"/>
      <c r="M82" s="22"/>
      <c r="N82" s="22"/>
      <c r="O82" s="22"/>
    </row>
    <row r="83" spans="6:15">
      <c r="F83" s="5"/>
      <c r="G83" s="5"/>
      <c r="H83" s="5"/>
      <c r="I83" s="5"/>
      <c r="K83" s="21"/>
      <c r="L83" s="22"/>
      <c r="M83" s="22"/>
      <c r="N83" s="22"/>
      <c r="O83" s="22"/>
    </row>
    <row r="84" spans="6:15">
      <c r="F84" s="5"/>
      <c r="G84" s="5"/>
      <c r="H84" s="5"/>
      <c r="I84" s="5"/>
      <c r="K84" s="21"/>
      <c r="L84" s="22"/>
      <c r="M84" s="22"/>
      <c r="N84" s="22"/>
      <c r="O84" s="22"/>
    </row>
    <row r="85" spans="6:15">
      <c r="F85" s="5"/>
      <c r="G85" s="5"/>
      <c r="H85" s="5"/>
      <c r="I85" s="5"/>
      <c r="K85" s="21"/>
      <c r="L85" s="22"/>
      <c r="M85" s="22"/>
      <c r="N85" s="22"/>
      <c r="O85" s="22"/>
    </row>
    <row r="86" spans="6:15">
      <c r="F86" s="5"/>
      <c r="G86" s="5"/>
      <c r="H86" s="5"/>
      <c r="I86" s="5"/>
    </row>
    <row r="87" spans="6:15">
      <c r="F87" s="5"/>
      <c r="G87" s="5"/>
      <c r="H87" s="5"/>
      <c r="I87" s="5"/>
    </row>
    <row r="88" spans="6:15">
      <c r="F88" s="5"/>
      <c r="G88" s="5"/>
      <c r="H88" s="5"/>
      <c r="I88" s="5"/>
    </row>
    <row r="89" spans="6:15">
      <c r="F89" s="5"/>
      <c r="G89" s="5"/>
      <c r="H89" s="5"/>
      <c r="I89" s="5"/>
    </row>
    <row r="90" spans="6:15">
      <c r="F90" s="5"/>
      <c r="G90" s="5"/>
      <c r="H90" s="5"/>
      <c r="I90" s="5"/>
    </row>
    <row r="91" spans="6:15">
      <c r="F91" s="5"/>
      <c r="G91" s="5"/>
      <c r="H91" s="5"/>
      <c r="I91" s="5"/>
    </row>
  </sheetData>
  <mergeCells count="48">
    <mergeCell ref="D71:E71"/>
    <mergeCell ref="D72:E72"/>
    <mergeCell ref="D68:E68"/>
    <mergeCell ref="D60:E60"/>
    <mergeCell ref="D61:E61"/>
    <mergeCell ref="D69:E69"/>
    <mergeCell ref="D70:E70"/>
    <mergeCell ref="D62:E62"/>
    <mergeCell ref="D63:E63"/>
    <mergeCell ref="D64:E64"/>
    <mergeCell ref="D65:E65"/>
    <mergeCell ref="D66:E66"/>
    <mergeCell ref="D67:E67"/>
    <mergeCell ref="D48:E48"/>
    <mergeCell ref="D43:E43"/>
    <mergeCell ref="D44:E44"/>
    <mergeCell ref="D45:D47"/>
    <mergeCell ref="E45:E47"/>
    <mergeCell ref="A1:J2"/>
    <mergeCell ref="A3:A4"/>
    <mergeCell ref="B3:B4"/>
    <mergeCell ref="C3:C4"/>
    <mergeCell ref="D3:E4"/>
    <mergeCell ref="F3:F4"/>
    <mergeCell ref="G3:G4"/>
    <mergeCell ref="H3:H4"/>
    <mergeCell ref="I3:J3"/>
    <mergeCell ref="A37:J37"/>
    <mergeCell ref="D36:E36"/>
    <mergeCell ref="D8:D9"/>
    <mergeCell ref="E8:E9"/>
    <mergeCell ref="A13:J13"/>
    <mergeCell ref="A20:J20"/>
    <mergeCell ref="D26:E26"/>
    <mergeCell ref="E27:E28"/>
    <mergeCell ref="D32:E32"/>
    <mergeCell ref="D34:E34"/>
    <mergeCell ref="D27:D28"/>
    <mergeCell ref="D59:E59"/>
    <mergeCell ref="D54:E54"/>
    <mergeCell ref="D57:E57"/>
    <mergeCell ref="D58:E58"/>
    <mergeCell ref="D49:E49"/>
    <mergeCell ref="D50:E50"/>
    <mergeCell ref="D52:E52"/>
    <mergeCell ref="D53:E53"/>
    <mergeCell ref="D55:E55"/>
    <mergeCell ref="D56:E56"/>
  </mergeCells>
  <pageMargins left="3.937007874015748E-2" right="3.937007874015748E-2" top="0.19685039370078741" bottom="0" header="0.11811023622047244" footer="0.11811023622047244"/>
  <pageSetup paperSize="9" scale="6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view="pageBreakPreview" zoomScale="130" zoomScaleSheetLayoutView="130" workbookViewId="0">
      <selection activeCell="I5" sqref="I5"/>
    </sheetView>
  </sheetViews>
  <sheetFormatPr defaultRowHeight="15.75"/>
  <cols>
    <col min="1" max="1" width="6.42578125" style="5" customWidth="1"/>
    <col min="2" max="2" width="30.5703125" style="5" customWidth="1"/>
    <col min="3" max="3" width="40.85546875" style="5" customWidth="1"/>
    <col min="4" max="4" width="19.42578125" style="5" customWidth="1"/>
    <col min="5" max="5" width="17.5703125" style="5" customWidth="1"/>
    <col min="6" max="8" width="9.140625" style="25"/>
    <col min="9" max="9" width="10.85546875" style="25" customWidth="1"/>
    <col min="10" max="10" width="10.140625" style="26" customWidth="1"/>
    <col min="11" max="11" width="15.85546875" style="5" customWidth="1"/>
    <col min="12" max="12" width="9.140625" style="5"/>
    <col min="13" max="14" width="13.140625" style="5" bestFit="1" customWidth="1"/>
    <col min="15" max="255" width="9.140625" style="5"/>
    <col min="256" max="256" width="6.42578125" style="5" customWidth="1"/>
    <col min="257" max="257" width="30.5703125" style="5" customWidth="1"/>
    <col min="258" max="258" width="40.85546875" style="5" customWidth="1"/>
    <col min="259" max="259" width="19.42578125" style="5" customWidth="1"/>
    <col min="260" max="260" width="17.5703125" style="5" customWidth="1"/>
    <col min="261" max="262" width="9.140625" style="5"/>
    <col min="263" max="263" width="10.85546875" style="5" customWidth="1"/>
    <col min="264" max="264" width="10.140625" style="5" customWidth="1"/>
    <col min="265" max="265" width="13.28515625" style="5" bestFit="1" customWidth="1"/>
    <col min="266" max="511" width="9.140625" style="5"/>
    <col min="512" max="512" width="6.42578125" style="5" customWidth="1"/>
    <col min="513" max="513" width="30.5703125" style="5" customWidth="1"/>
    <col min="514" max="514" width="40.85546875" style="5" customWidth="1"/>
    <col min="515" max="515" width="19.42578125" style="5" customWidth="1"/>
    <col min="516" max="516" width="17.5703125" style="5" customWidth="1"/>
    <col min="517" max="518" width="9.140625" style="5"/>
    <col min="519" max="519" width="10.85546875" style="5" customWidth="1"/>
    <col min="520" max="520" width="10.140625" style="5" customWidth="1"/>
    <col min="521" max="521" width="13.28515625" style="5" bestFit="1" customWidth="1"/>
    <col min="522" max="767" width="9.140625" style="5"/>
    <col min="768" max="768" width="6.42578125" style="5" customWidth="1"/>
    <col min="769" max="769" width="30.5703125" style="5" customWidth="1"/>
    <col min="770" max="770" width="40.85546875" style="5" customWidth="1"/>
    <col min="771" max="771" width="19.42578125" style="5" customWidth="1"/>
    <col min="772" max="772" width="17.5703125" style="5" customWidth="1"/>
    <col min="773" max="774" width="9.140625" style="5"/>
    <col min="775" max="775" width="10.85546875" style="5" customWidth="1"/>
    <col min="776" max="776" width="10.140625" style="5" customWidth="1"/>
    <col min="777" max="777" width="13.28515625" style="5" bestFit="1" customWidth="1"/>
    <col min="778" max="1023" width="9.140625" style="5"/>
    <col min="1024" max="1024" width="6.42578125" style="5" customWidth="1"/>
    <col min="1025" max="1025" width="30.5703125" style="5" customWidth="1"/>
    <col min="1026" max="1026" width="40.85546875" style="5" customWidth="1"/>
    <col min="1027" max="1027" width="19.42578125" style="5" customWidth="1"/>
    <col min="1028" max="1028" width="17.5703125" style="5" customWidth="1"/>
    <col min="1029" max="1030" width="9.140625" style="5"/>
    <col min="1031" max="1031" width="10.85546875" style="5" customWidth="1"/>
    <col min="1032" max="1032" width="10.140625" style="5" customWidth="1"/>
    <col min="1033" max="1033" width="13.28515625" style="5" bestFit="1" customWidth="1"/>
    <col min="1034" max="1279" width="9.140625" style="5"/>
    <col min="1280" max="1280" width="6.42578125" style="5" customWidth="1"/>
    <col min="1281" max="1281" width="30.5703125" style="5" customWidth="1"/>
    <col min="1282" max="1282" width="40.85546875" style="5" customWidth="1"/>
    <col min="1283" max="1283" width="19.42578125" style="5" customWidth="1"/>
    <col min="1284" max="1284" width="17.5703125" style="5" customWidth="1"/>
    <col min="1285" max="1286" width="9.140625" style="5"/>
    <col min="1287" max="1287" width="10.85546875" style="5" customWidth="1"/>
    <col min="1288" max="1288" width="10.140625" style="5" customWidth="1"/>
    <col min="1289" max="1289" width="13.28515625" style="5" bestFit="1" customWidth="1"/>
    <col min="1290" max="1535" width="9.140625" style="5"/>
    <col min="1536" max="1536" width="6.42578125" style="5" customWidth="1"/>
    <col min="1537" max="1537" width="30.5703125" style="5" customWidth="1"/>
    <col min="1538" max="1538" width="40.85546875" style="5" customWidth="1"/>
    <col min="1539" max="1539" width="19.42578125" style="5" customWidth="1"/>
    <col min="1540" max="1540" width="17.5703125" style="5" customWidth="1"/>
    <col min="1541" max="1542" width="9.140625" style="5"/>
    <col min="1543" max="1543" width="10.85546875" style="5" customWidth="1"/>
    <col min="1544" max="1544" width="10.140625" style="5" customWidth="1"/>
    <col min="1545" max="1545" width="13.28515625" style="5" bestFit="1" customWidth="1"/>
    <col min="1546" max="1791" width="9.140625" style="5"/>
    <col min="1792" max="1792" width="6.42578125" style="5" customWidth="1"/>
    <col min="1793" max="1793" width="30.5703125" style="5" customWidth="1"/>
    <col min="1794" max="1794" width="40.85546875" style="5" customWidth="1"/>
    <col min="1795" max="1795" width="19.42578125" style="5" customWidth="1"/>
    <col min="1796" max="1796" width="17.5703125" style="5" customWidth="1"/>
    <col min="1797" max="1798" width="9.140625" style="5"/>
    <col min="1799" max="1799" width="10.85546875" style="5" customWidth="1"/>
    <col min="1800" max="1800" width="10.140625" style="5" customWidth="1"/>
    <col min="1801" max="1801" width="13.28515625" style="5" bestFit="1" customWidth="1"/>
    <col min="1802" max="2047" width="9.140625" style="5"/>
    <col min="2048" max="2048" width="6.42578125" style="5" customWidth="1"/>
    <col min="2049" max="2049" width="30.5703125" style="5" customWidth="1"/>
    <col min="2050" max="2050" width="40.85546875" style="5" customWidth="1"/>
    <col min="2051" max="2051" width="19.42578125" style="5" customWidth="1"/>
    <col min="2052" max="2052" width="17.5703125" style="5" customWidth="1"/>
    <col min="2053" max="2054" width="9.140625" style="5"/>
    <col min="2055" max="2055" width="10.85546875" style="5" customWidth="1"/>
    <col min="2056" max="2056" width="10.140625" style="5" customWidth="1"/>
    <col min="2057" max="2057" width="13.28515625" style="5" bestFit="1" customWidth="1"/>
    <col min="2058" max="2303" width="9.140625" style="5"/>
    <col min="2304" max="2304" width="6.42578125" style="5" customWidth="1"/>
    <col min="2305" max="2305" width="30.5703125" style="5" customWidth="1"/>
    <col min="2306" max="2306" width="40.85546875" style="5" customWidth="1"/>
    <col min="2307" max="2307" width="19.42578125" style="5" customWidth="1"/>
    <col min="2308" max="2308" width="17.5703125" style="5" customWidth="1"/>
    <col min="2309" max="2310" width="9.140625" style="5"/>
    <col min="2311" max="2311" width="10.85546875" style="5" customWidth="1"/>
    <col min="2312" max="2312" width="10.140625" style="5" customWidth="1"/>
    <col min="2313" max="2313" width="13.28515625" style="5" bestFit="1" customWidth="1"/>
    <col min="2314" max="2559" width="9.140625" style="5"/>
    <col min="2560" max="2560" width="6.42578125" style="5" customWidth="1"/>
    <col min="2561" max="2561" width="30.5703125" style="5" customWidth="1"/>
    <col min="2562" max="2562" width="40.85546875" style="5" customWidth="1"/>
    <col min="2563" max="2563" width="19.42578125" style="5" customWidth="1"/>
    <col min="2564" max="2564" width="17.5703125" style="5" customWidth="1"/>
    <col min="2565" max="2566" width="9.140625" style="5"/>
    <col min="2567" max="2567" width="10.85546875" style="5" customWidth="1"/>
    <col min="2568" max="2568" width="10.140625" style="5" customWidth="1"/>
    <col min="2569" max="2569" width="13.28515625" style="5" bestFit="1" customWidth="1"/>
    <col min="2570" max="2815" width="9.140625" style="5"/>
    <col min="2816" max="2816" width="6.42578125" style="5" customWidth="1"/>
    <col min="2817" max="2817" width="30.5703125" style="5" customWidth="1"/>
    <col min="2818" max="2818" width="40.85546875" style="5" customWidth="1"/>
    <col min="2819" max="2819" width="19.42578125" style="5" customWidth="1"/>
    <col min="2820" max="2820" width="17.5703125" style="5" customWidth="1"/>
    <col min="2821" max="2822" width="9.140625" style="5"/>
    <col min="2823" max="2823" width="10.85546875" style="5" customWidth="1"/>
    <col min="2824" max="2824" width="10.140625" style="5" customWidth="1"/>
    <col min="2825" max="2825" width="13.28515625" style="5" bestFit="1" customWidth="1"/>
    <col min="2826" max="3071" width="9.140625" style="5"/>
    <col min="3072" max="3072" width="6.42578125" style="5" customWidth="1"/>
    <col min="3073" max="3073" width="30.5703125" style="5" customWidth="1"/>
    <col min="3074" max="3074" width="40.85546875" style="5" customWidth="1"/>
    <col min="3075" max="3075" width="19.42578125" style="5" customWidth="1"/>
    <col min="3076" max="3076" width="17.5703125" style="5" customWidth="1"/>
    <col min="3077" max="3078" width="9.140625" style="5"/>
    <col min="3079" max="3079" width="10.85546875" style="5" customWidth="1"/>
    <col min="3080" max="3080" width="10.140625" style="5" customWidth="1"/>
    <col min="3081" max="3081" width="13.28515625" style="5" bestFit="1" customWidth="1"/>
    <col min="3082" max="3327" width="9.140625" style="5"/>
    <col min="3328" max="3328" width="6.42578125" style="5" customWidth="1"/>
    <col min="3329" max="3329" width="30.5703125" style="5" customWidth="1"/>
    <col min="3330" max="3330" width="40.85546875" style="5" customWidth="1"/>
    <col min="3331" max="3331" width="19.42578125" style="5" customWidth="1"/>
    <col min="3332" max="3332" width="17.5703125" style="5" customWidth="1"/>
    <col min="3333" max="3334" width="9.140625" style="5"/>
    <col min="3335" max="3335" width="10.85546875" style="5" customWidth="1"/>
    <col min="3336" max="3336" width="10.140625" style="5" customWidth="1"/>
    <col min="3337" max="3337" width="13.28515625" style="5" bestFit="1" customWidth="1"/>
    <col min="3338" max="3583" width="9.140625" style="5"/>
    <col min="3584" max="3584" width="6.42578125" style="5" customWidth="1"/>
    <col min="3585" max="3585" width="30.5703125" style="5" customWidth="1"/>
    <col min="3586" max="3586" width="40.85546875" style="5" customWidth="1"/>
    <col min="3587" max="3587" width="19.42578125" style="5" customWidth="1"/>
    <col min="3588" max="3588" width="17.5703125" style="5" customWidth="1"/>
    <col min="3589" max="3590" width="9.140625" style="5"/>
    <col min="3591" max="3591" width="10.85546875" style="5" customWidth="1"/>
    <col min="3592" max="3592" width="10.140625" style="5" customWidth="1"/>
    <col min="3593" max="3593" width="13.28515625" style="5" bestFit="1" customWidth="1"/>
    <col min="3594" max="3839" width="9.140625" style="5"/>
    <col min="3840" max="3840" width="6.42578125" style="5" customWidth="1"/>
    <col min="3841" max="3841" width="30.5703125" style="5" customWidth="1"/>
    <col min="3842" max="3842" width="40.85546875" style="5" customWidth="1"/>
    <col min="3843" max="3843" width="19.42578125" style="5" customWidth="1"/>
    <col min="3844" max="3844" width="17.5703125" style="5" customWidth="1"/>
    <col min="3845" max="3846" width="9.140625" style="5"/>
    <col min="3847" max="3847" width="10.85546875" style="5" customWidth="1"/>
    <col min="3848" max="3848" width="10.140625" style="5" customWidth="1"/>
    <col min="3849" max="3849" width="13.28515625" style="5" bestFit="1" customWidth="1"/>
    <col min="3850" max="4095" width="9.140625" style="5"/>
    <col min="4096" max="4096" width="6.42578125" style="5" customWidth="1"/>
    <col min="4097" max="4097" width="30.5703125" style="5" customWidth="1"/>
    <col min="4098" max="4098" width="40.85546875" style="5" customWidth="1"/>
    <col min="4099" max="4099" width="19.42578125" style="5" customWidth="1"/>
    <col min="4100" max="4100" width="17.5703125" style="5" customWidth="1"/>
    <col min="4101" max="4102" width="9.140625" style="5"/>
    <col min="4103" max="4103" width="10.85546875" style="5" customWidth="1"/>
    <col min="4104" max="4104" width="10.140625" style="5" customWidth="1"/>
    <col min="4105" max="4105" width="13.28515625" style="5" bestFit="1" customWidth="1"/>
    <col min="4106" max="4351" width="9.140625" style="5"/>
    <col min="4352" max="4352" width="6.42578125" style="5" customWidth="1"/>
    <col min="4353" max="4353" width="30.5703125" style="5" customWidth="1"/>
    <col min="4354" max="4354" width="40.85546875" style="5" customWidth="1"/>
    <col min="4355" max="4355" width="19.42578125" style="5" customWidth="1"/>
    <col min="4356" max="4356" width="17.5703125" style="5" customWidth="1"/>
    <col min="4357" max="4358" width="9.140625" style="5"/>
    <col min="4359" max="4359" width="10.85546875" style="5" customWidth="1"/>
    <col min="4360" max="4360" width="10.140625" style="5" customWidth="1"/>
    <col min="4361" max="4361" width="13.28515625" style="5" bestFit="1" customWidth="1"/>
    <col min="4362" max="4607" width="9.140625" style="5"/>
    <col min="4608" max="4608" width="6.42578125" style="5" customWidth="1"/>
    <col min="4609" max="4609" width="30.5703125" style="5" customWidth="1"/>
    <col min="4610" max="4610" width="40.85546875" style="5" customWidth="1"/>
    <col min="4611" max="4611" width="19.42578125" style="5" customWidth="1"/>
    <col min="4612" max="4612" width="17.5703125" style="5" customWidth="1"/>
    <col min="4613" max="4614" width="9.140625" style="5"/>
    <col min="4615" max="4615" width="10.85546875" style="5" customWidth="1"/>
    <col min="4616" max="4616" width="10.140625" style="5" customWidth="1"/>
    <col min="4617" max="4617" width="13.28515625" style="5" bestFit="1" customWidth="1"/>
    <col min="4618" max="4863" width="9.140625" style="5"/>
    <col min="4864" max="4864" width="6.42578125" style="5" customWidth="1"/>
    <col min="4865" max="4865" width="30.5703125" style="5" customWidth="1"/>
    <col min="4866" max="4866" width="40.85546875" style="5" customWidth="1"/>
    <col min="4867" max="4867" width="19.42578125" style="5" customWidth="1"/>
    <col min="4868" max="4868" width="17.5703125" style="5" customWidth="1"/>
    <col min="4869" max="4870" width="9.140625" style="5"/>
    <col min="4871" max="4871" width="10.85546875" style="5" customWidth="1"/>
    <col min="4872" max="4872" width="10.140625" style="5" customWidth="1"/>
    <col min="4873" max="4873" width="13.28515625" style="5" bestFit="1" customWidth="1"/>
    <col min="4874" max="5119" width="9.140625" style="5"/>
    <col min="5120" max="5120" width="6.42578125" style="5" customWidth="1"/>
    <col min="5121" max="5121" width="30.5703125" style="5" customWidth="1"/>
    <col min="5122" max="5122" width="40.85546875" style="5" customWidth="1"/>
    <col min="5123" max="5123" width="19.42578125" style="5" customWidth="1"/>
    <col min="5124" max="5124" width="17.5703125" style="5" customWidth="1"/>
    <col min="5125" max="5126" width="9.140625" style="5"/>
    <col min="5127" max="5127" width="10.85546875" style="5" customWidth="1"/>
    <col min="5128" max="5128" width="10.140625" style="5" customWidth="1"/>
    <col min="5129" max="5129" width="13.28515625" style="5" bestFit="1" customWidth="1"/>
    <col min="5130" max="5375" width="9.140625" style="5"/>
    <col min="5376" max="5376" width="6.42578125" style="5" customWidth="1"/>
    <col min="5377" max="5377" width="30.5703125" style="5" customWidth="1"/>
    <col min="5378" max="5378" width="40.85546875" style="5" customWidth="1"/>
    <col min="5379" max="5379" width="19.42578125" style="5" customWidth="1"/>
    <col min="5380" max="5380" width="17.5703125" style="5" customWidth="1"/>
    <col min="5381" max="5382" width="9.140625" style="5"/>
    <col min="5383" max="5383" width="10.85546875" style="5" customWidth="1"/>
    <col min="5384" max="5384" width="10.140625" style="5" customWidth="1"/>
    <col min="5385" max="5385" width="13.28515625" style="5" bestFit="1" customWidth="1"/>
    <col min="5386" max="5631" width="9.140625" style="5"/>
    <col min="5632" max="5632" width="6.42578125" style="5" customWidth="1"/>
    <col min="5633" max="5633" width="30.5703125" style="5" customWidth="1"/>
    <col min="5634" max="5634" width="40.85546875" style="5" customWidth="1"/>
    <col min="5635" max="5635" width="19.42578125" style="5" customWidth="1"/>
    <col min="5636" max="5636" width="17.5703125" style="5" customWidth="1"/>
    <col min="5637" max="5638" width="9.140625" style="5"/>
    <col min="5639" max="5639" width="10.85546875" style="5" customWidth="1"/>
    <col min="5640" max="5640" width="10.140625" style="5" customWidth="1"/>
    <col min="5641" max="5641" width="13.28515625" style="5" bestFit="1" customWidth="1"/>
    <col min="5642" max="5887" width="9.140625" style="5"/>
    <col min="5888" max="5888" width="6.42578125" style="5" customWidth="1"/>
    <col min="5889" max="5889" width="30.5703125" style="5" customWidth="1"/>
    <col min="5890" max="5890" width="40.85546875" style="5" customWidth="1"/>
    <col min="5891" max="5891" width="19.42578125" style="5" customWidth="1"/>
    <col min="5892" max="5892" width="17.5703125" style="5" customWidth="1"/>
    <col min="5893" max="5894" width="9.140625" style="5"/>
    <col min="5895" max="5895" width="10.85546875" style="5" customWidth="1"/>
    <col min="5896" max="5896" width="10.140625" style="5" customWidth="1"/>
    <col min="5897" max="5897" width="13.28515625" style="5" bestFit="1" customWidth="1"/>
    <col min="5898" max="6143" width="9.140625" style="5"/>
    <col min="6144" max="6144" width="6.42578125" style="5" customWidth="1"/>
    <col min="6145" max="6145" width="30.5703125" style="5" customWidth="1"/>
    <col min="6146" max="6146" width="40.85546875" style="5" customWidth="1"/>
    <col min="6147" max="6147" width="19.42578125" style="5" customWidth="1"/>
    <col min="6148" max="6148" width="17.5703125" style="5" customWidth="1"/>
    <col min="6149" max="6150" width="9.140625" style="5"/>
    <col min="6151" max="6151" width="10.85546875" style="5" customWidth="1"/>
    <col min="6152" max="6152" width="10.140625" style="5" customWidth="1"/>
    <col min="6153" max="6153" width="13.28515625" style="5" bestFit="1" customWidth="1"/>
    <col min="6154" max="6399" width="9.140625" style="5"/>
    <col min="6400" max="6400" width="6.42578125" style="5" customWidth="1"/>
    <col min="6401" max="6401" width="30.5703125" style="5" customWidth="1"/>
    <col min="6402" max="6402" width="40.85546875" style="5" customWidth="1"/>
    <col min="6403" max="6403" width="19.42578125" style="5" customWidth="1"/>
    <col min="6404" max="6404" width="17.5703125" style="5" customWidth="1"/>
    <col min="6405" max="6406" width="9.140625" style="5"/>
    <col min="6407" max="6407" width="10.85546875" style="5" customWidth="1"/>
    <col min="6408" max="6408" width="10.140625" style="5" customWidth="1"/>
    <col min="6409" max="6409" width="13.28515625" style="5" bestFit="1" customWidth="1"/>
    <col min="6410" max="6655" width="9.140625" style="5"/>
    <col min="6656" max="6656" width="6.42578125" style="5" customWidth="1"/>
    <col min="6657" max="6657" width="30.5703125" style="5" customWidth="1"/>
    <col min="6658" max="6658" width="40.85546875" style="5" customWidth="1"/>
    <col min="6659" max="6659" width="19.42578125" style="5" customWidth="1"/>
    <col min="6660" max="6660" width="17.5703125" style="5" customWidth="1"/>
    <col min="6661" max="6662" width="9.140625" style="5"/>
    <col min="6663" max="6663" width="10.85546875" style="5" customWidth="1"/>
    <col min="6664" max="6664" width="10.140625" style="5" customWidth="1"/>
    <col min="6665" max="6665" width="13.28515625" style="5" bestFit="1" customWidth="1"/>
    <col min="6666" max="6911" width="9.140625" style="5"/>
    <col min="6912" max="6912" width="6.42578125" style="5" customWidth="1"/>
    <col min="6913" max="6913" width="30.5703125" style="5" customWidth="1"/>
    <col min="6914" max="6914" width="40.85546875" style="5" customWidth="1"/>
    <col min="6915" max="6915" width="19.42578125" style="5" customWidth="1"/>
    <col min="6916" max="6916" width="17.5703125" style="5" customWidth="1"/>
    <col min="6917" max="6918" width="9.140625" style="5"/>
    <col min="6919" max="6919" width="10.85546875" style="5" customWidth="1"/>
    <col min="6920" max="6920" width="10.140625" style="5" customWidth="1"/>
    <col min="6921" max="6921" width="13.28515625" style="5" bestFit="1" customWidth="1"/>
    <col min="6922" max="7167" width="9.140625" style="5"/>
    <col min="7168" max="7168" width="6.42578125" style="5" customWidth="1"/>
    <col min="7169" max="7169" width="30.5703125" style="5" customWidth="1"/>
    <col min="7170" max="7170" width="40.85546875" style="5" customWidth="1"/>
    <col min="7171" max="7171" width="19.42578125" style="5" customWidth="1"/>
    <col min="7172" max="7172" width="17.5703125" style="5" customWidth="1"/>
    <col min="7173" max="7174" width="9.140625" style="5"/>
    <col min="7175" max="7175" width="10.85546875" style="5" customWidth="1"/>
    <col min="7176" max="7176" width="10.140625" style="5" customWidth="1"/>
    <col min="7177" max="7177" width="13.28515625" style="5" bestFit="1" customWidth="1"/>
    <col min="7178" max="7423" width="9.140625" style="5"/>
    <col min="7424" max="7424" width="6.42578125" style="5" customWidth="1"/>
    <col min="7425" max="7425" width="30.5703125" style="5" customWidth="1"/>
    <col min="7426" max="7426" width="40.85546875" style="5" customWidth="1"/>
    <col min="7427" max="7427" width="19.42578125" style="5" customWidth="1"/>
    <col min="7428" max="7428" width="17.5703125" style="5" customWidth="1"/>
    <col min="7429" max="7430" width="9.140625" style="5"/>
    <col min="7431" max="7431" width="10.85546875" style="5" customWidth="1"/>
    <col min="7432" max="7432" width="10.140625" style="5" customWidth="1"/>
    <col min="7433" max="7433" width="13.28515625" style="5" bestFit="1" customWidth="1"/>
    <col min="7434" max="7679" width="9.140625" style="5"/>
    <col min="7680" max="7680" width="6.42578125" style="5" customWidth="1"/>
    <col min="7681" max="7681" width="30.5703125" style="5" customWidth="1"/>
    <col min="7682" max="7682" width="40.85546875" style="5" customWidth="1"/>
    <col min="7683" max="7683" width="19.42578125" style="5" customWidth="1"/>
    <col min="7684" max="7684" width="17.5703125" style="5" customWidth="1"/>
    <col min="7685" max="7686" width="9.140625" style="5"/>
    <col min="7687" max="7687" width="10.85546875" style="5" customWidth="1"/>
    <col min="7688" max="7688" width="10.140625" style="5" customWidth="1"/>
    <col min="7689" max="7689" width="13.28515625" style="5" bestFit="1" customWidth="1"/>
    <col min="7690" max="7935" width="9.140625" style="5"/>
    <col min="7936" max="7936" width="6.42578125" style="5" customWidth="1"/>
    <col min="7937" max="7937" width="30.5703125" style="5" customWidth="1"/>
    <col min="7938" max="7938" width="40.85546875" style="5" customWidth="1"/>
    <col min="7939" max="7939" width="19.42578125" style="5" customWidth="1"/>
    <col min="7940" max="7940" width="17.5703125" style="5" customWidth="1"/>
    <col min="7941" max="7942" width="9.140625" style="5"/>
    <col min="7943" max="7943" width="10.85546875" style="5" customWidth="1"/>
    <col min="7944" max="7944" width="10.140625" style="5" customWidth="1"/>
    <col min="7945" max="7945" width="13.28515625" style="5" bestFit="1" customWidth="1"/>
    <col min="7946" max="8191" width="9.140625" style="5"/>
    <col min="8192" max="8192" width="6.42578125" style="5" customWidth="1"/>
    <col min="8193" max="8193" width="30.5703125" style="5" customWidth="1"/>
    <col min="8194" max="8194" width="40.85546875" style="5" customWidth="1"/>
    <col min="8195" max="8195" width="19.42578125" style="5" customWidth="1"/>
    <col min="8196" max="8196" width="17.5703125" style="5" customWidth="1"/>
    <col min="8197" max="8198" width="9.140625" style="5"/>
    <col min="8199" max="8199" width="10.85546875" style="5" customWidth="1"/>
    <col min="8200" max="8200" width="10.140625" style="5" customWidth="1"/>
    <col min="8201" max="8201" width="13.28515625" style="5" bestFit="1" customWidth="1"/>
    <col min="8202" max="8447" width="9.140625" style="5"/>
    <col min="8448" max="8448" width="6.42578125" style="5" customWidth="1"/>
    <col min="8449" max="8449" width="30.5703125" style="5" customWidth="1"/>
    <col min="8450" max="8450" width="40.85546875" style="5" customWidth="1"/>
    <col min="8451" max="8451" width="19.42578125" style="5" customWidth="1"/>
    <col min="8452" max="8452" width="17.5703125" style="5" customWidth="1"/>
    <col min="8453" max="8454" width="9.140625" style="5"/>
    <col min="8455" max="8455" width="10.85546875" style="5" customWidth="1"/>
    <col min="8456" max="8456" width="10.140625" style="5" customWidth="1"/>
    <col min="8457" max="8457" width="13.28515625" style="5" bestFit="1" customWidth="1"/>
    <col min="8458" max="8703" width="9.140625" style="5"/>
    <col min="8704" max="8704" width="6.42578125" style="5" customWidth="1"/>
    <col min="8705" max="8705" width="30.5703125" style="5" customWidth="1"/>
    <col min="8706" max="8706" width="40.85546875" style="5" customWidth="1"/>
    <col min="8707" max="8707" width="19.42578125" style="5" customWidth="1"/>
    <col min="8708" max="8708" width="17.5703125" style="5" customWidth="1"/>
    <col min="8709" max="8710" width="9.140625" style="5"/>
    <col min="8711" max="8711" width="10.85546875" style="5" customWidth="1"/>
    <col min="8712" max="8712" width="10.140625" style="5" customWidth="1"/>
    <col min="8713" max="8713" width="13.28515625" style="5" bestFit="1" customWidth="1"/>
    <col min="8714" max="8959" width="9.140625" style="5"/>
    <col min="8960" max="8960" width="6.42578125" style="5" customWidth="1"/>
    <col min="8961" max="8961" width="30.5703125" style="5" customWidth="1"/>
    <col min="8962" max="8962" width="40.85546875" style="5" customWidth="1"/>
    <col min="8963" max="8963" width="19.42578125" style="5" customWidth="1"/>
    <col min="8964" max="8964" width="17.5703125" style="5" customWidth="1"/>
    <col min="8965" max="8966" width="9.140625" style="5"/>
    <col min="8967" max="8967" width="10.85546875" style="5" customWidth="1"/>
    <col min="8968" max="8968" width="10.140625" style="5" customWidth="1"/>
    <col min="8969" max="8969" width="13.28515625" style="5" bestFit="1" customWidth="1"/>
    <col min="8970" max="9215" width="9.140625" style="5"/>
    <col min="9216" max="9216" width="6.42578125" style="5" customWidth="1"/>
    <col min="9217" max="9217" width="30.5703125" style="5" customWidth="1"/>
    <col min="9218" max="9218" width="40.85546875" style="5" customWidth="1"/>
    <col min="9219" max="9219" width="19.42578125" style="5" customWidth="1"/>
    <col min="9220" max="9220" width="17.5703125" style="5" customWidth="1"/>
    <col min="9221" max="9222" width="9.140625" style="5"/>
    <col min="9223" max="9223" width="10.85546875" style="5" customWidth="1"/>
    <col min="9224" max="9224" width="10.140625" style="5" customWidth="1"/>
    <col min="9225" max="9225" width="13.28515625" style="5" bestFit="1" customWidth="1"/>
    <col min="9226" max="9471" width="9.140625" style="5"/>
    <col min="9472" max="9472" width="6.42578125" style="5" customWidth="1"/>
    <col min="9473" max="9473" width="30.5703125" style="5" customWidth="1"/>
    <col min="9474" max="9474" width="40.85546875" style="5" customWidth="1"/>
    <col min="9475" max="9475" width="19.42578125" style="5" customWidth="1"/>
    <col min="9476" max="9476" width="17.5703125" style="5" customWidth="1"/>
    <col min="9477" max="9478" width="9.140625" style="5"/>
    <col min="9479" max="9479" width="10.85546875" style="5" customWidth="1"/>
    <col min="9480" max="9480" width="10.140625" style="5" customWidth="1"/>
    <col min="9481" max="9481" width="13.28515625" style="5" bestFit="1" customWidth="1"/>
    <col min="9482" max="9727" width="9.140625" style="5"/>
    <col min="9728" max="9728" width="6.42578125" style="5" customWidth="1"/>
    <col min="9729" max="9729" width="30.5703125" style="5" customWidth="1"/>
    <col min="9730" max="9730" width="40.85546875" style="5" customWidth="1"/>
    <col min="9731" max="9731" width="19.42578125" style="5" customWidth="1"/>
    <col min="9732" max="9732" width="17.5703125" style="5" customWidth="1"/>
    <col min="9733" max="9734" width="9.140625" style="5"/>
    <col min="9735" max="9735" width="10.85546875" style="5" customWidth="1"/>
    <col min="9736" max="9736" width="10.140625" style="5" customWidth="1"/>
    <col min="9737" max="9737" width="13.28515625" style="5" bestFit="1" customWidth="1"/>
    <col min="9738" max="9983" width="9.140625" style="5"/>
    <col min="9984" max="9984" width="6.42578125" style="5" customWidth="1"/>
    <col min="9985" max="9985" width="30.5703125" style="5" customWidth="1"/>
    <col min="9986" max="9986" width="40.85546875" style="5" customWidth="1"/>
    <col min="9987" max="9987" width="19.42578125" style="5" customWidth="1"/>
    <col min="9988" max="9988" width="17.5703125" style="5" customWidth="1"/>
    <col min="9989" max="9990" width="9.140625" style="5"/>
    <col min="9991" max="9991" width="10.85546875" style="5" customWidth="1"/>
    <col min="9992" max="9992" width="10.140625" style="5" customWidth="1"/>
    <col min="9993" max="9993" width="13.28515625" style="5" bestFit="1" customWidth="1"/>
    <col min="9994" max="10239" width="9.140625" style="5"/>
    <col min="10240" max="10240" width="6.42578125" style="5" customWidth="1"/>
    <col min="10241" max="10241" width="30.5703125" style="5" customWidth="1"/>
    <col min="10242" max="10242" width="40.85546875" style="5" customWidth="1"/>
    <col min="10243" max="10243" width="19.42578125" style="5" customWidth="1"/>
    <col min="10244" max="10244" width="17.5703125" style="5" customWidth="1"/>
    <col min="10245" max="10246" width="9.140625" style="5"/>
    <col min="10247" max="10247" width="10.85546875" style="5" customWidth="1"/>
    <col min="10248" max="10248" width="10.140625" style="5" customWidth="1"/>
    <col min="10249" max="10249" width="13.28515625" style="5" bestFit="1" customWidth="1"/>
    <col min="10250" max="10495" width="9.140625" style="5"/>
    <col min="10496" max="10496" width="6.42578125" style="5" customWidth="1"/>
    <col min="10497" max="10497" width="30.5703125" style="5" customWidth="1"/>
    <col min="10498" max="10498" width="40.85546875" style="5" customWidth="1"/>
    <col min="10499" max="10499" width="19.42578125" style="5" customWidth="1"/>
    <col min="10500" max="10500" width="17.5703125" style="5" customWidth="1"/>
    <col min="10501" max="10502" width="9.140625" style="5"/>
    <col min="10503" max="10503" width="10.85546875" style="5" customWidth="1"/>
    <col min="10504" max="10504" width="10.140625" style="5" customWidth="1"/>
    <col min="10505" max="10505" width="13.28515625" style="5" bestFit="1" customWidth="1"/>
    <col min="10506" max="10751" width="9.140625" style="5"/>
    <col min="10752" max="10752" width="6.42578125" style="5" customWidth="1"/>
    <col min="10753" max="10753" width="30.5703125" style="5" customWidth="1"/>
    <col min="10754" max="10754" width="40.85546875" style="5" customWidth="1"/>
    <col min="10755" max="10755" width="19.42578125" style="5" customWidth="1"/>
    <col min="10756" max="10756" width="17.5703125" style="5" customWidth="1"/>
    <col min="10757" max="10758" width="9.140625" style="5"/>
    <col min="10759" max="10759" width="10.85546875" style="5" customWidth="1"/>
    <col min="10760" max="10760" width="10.140625" style="5" customWidth="1"/>
    <col min="10761" max="10761" width="13.28515625" style="5" bestFit="1" customWidth="1"/>
    <col min="10762" max="11007" width="9.140625" style="5"/>
    <col min="11008" max="11008" width="6.42578125" style="5" customWidth="1"/>
    <col min="11009" max="11009" width="30.5703125" style="5" customWidth="1"/>
    <col min="11010" max="11010" width="40.85546875" style="5" customWidth="1"/>
    <col min="11011" max="11011" width="19.42578125" style="5" customWidth="1"/>
    <col min="11012" max="11012" width="17.5703125" style="5" customWidth="1"/>
    <col min="11013" max="11014" width="9.140625" style="5"/>
    <col min="11015" max="11015" width="10.85546875" style="5" customWidth="1"/>
    <col min="11016" max="11016" width="10.140625" style="5" customWidth="1"/>
    <col min="11017" max="11017" width="13.28515625" style="5" bestFit="1" customWidth="1"/>
    <col min="11018" max="11263" width="9.140625" style="5"/>
    <col min="11264" max="11264" width="6.42578125" style="5" customWidth="1"/>
    <col min="11265" max="11265" width="30.5703125" style="5" customWidth="1"/>
    <col min="11266" max="11266" width="40.85546875" style="5" customWidth="1"/>
    <col min="11267" max="11267" width="19.42578125" style="5" customWidth="1"/>
    <col min="11268" max="11268" width="17.5703125" style="5" customWidth="1"/>
    <col min="11269" max="11270" width="9.140625" style="5"/>
    <col min="11271" max="11271" width="10.85546875" style="5" customWidth="1"/>
    <col min="11272" max="11272" width="10.140625" style="5" customWidth="1"/>
    <col min="11273" max="11273" width="13.28515625" style="5" bestFit="1" customWidth="1"/>
    <col min="11274" max="11519" width="9.140625" style="5"/>
    <col min="11520" max="11520" width="6.42578125" style="5" customWidth="1"/>
    <col min="11521" max="11521" width="30.5703125" style="5" customWidth="1"/>
    <col min="11522" max="11522" width="40.85546875" style="5" customWidth="1"/>
    <col min="11523" max="11523" width="19.42578125" style="5" customWidth="1"/>
    <col min="11524" max="11524" width="17.5703125" style="5" customWidth="1"/>
    <col min="11525" max="11526" width="9.140625" style="5"/>
    <col min="11527" max="11527" width="10.85546875" style="5" customWidth="1"/>
    <col min="11528" max="11528" width="10.140625" style="5" customWidth="1"/>
    <col min="11529" max="11529" width="13.28515625" style="5" bestFit="1" customWidth="1"/>
    <col min="11530" max="11775" width="9.140625" style="5"/>
    <col min="11776" max="11776" width="6.42578125" style="5" customWidth="1"/>
    <col min="11777" max="11777" width="30.5703125" style="5" customWidth="1"/>
    <col min="11778" max="11778" width="40.85546875" style="5" customWidth="1"/>
    <col min="11779" max="11779" width="19.42578125" style="5" customWidth="1"/>
    <col min="11780" max="11780" width="17.5703125" style="5" customWidth="1"/>
    <col min="11781" max="11782" width="9.140625" style="5"/>
    <col min="11783" max="11783" width="10.85546875" style="5" customWidth="1"/>
    <col min="11784" max="11784" width="10.140625" style="5" customWidth="1"/>
    <col min="11785" max="11785" width="13.28515625" style="5" bestFit="1" customWidth="1"/>
    <col min="11786" max="12031" width="9.140625" style="5"/>
    <col min="12032" max="12032" width="6.42578125" style="5" customWidth="1"/>
    <col min="12033" max="12033" width="30.5703125" style="5" customWidth="1"/>
    <col min="12034" max="12034" width="40.85546875" style="5" customWidth="1"/>
    <col min="12035" max="12035" width="19.42578125" style="5" customWidth="1"/>
    <col min="12036" max="12036" width="17.5703125" style="5" customWidth="1"/>
    <col min="12037" max="12038" width="9.140625" style="5"/>
    <col min="12039" max="12039" width="10.85546875" style="5" customWidth="1"/>
    <col min="12040" max="12040" width="10.140625" style="5" customWidth="1"/>
    <col min="12041" max="12041" width="13.28515625" style="5" bestFit="1" customWidth="1"/>
    <col min="12042" max="12287" width="9.140625" style="5"/>
    <col min="12288" max="12288" width="6.42578125" style="5" customWidth="1"/>
    <col min="12289" max="12289" width="30.5703125" style="5" customWidth="1"/>
    <col min="12290" max="12290" width="40.85546875" style="5" customWidth="1"/>
    <col min="12291" max="12291" width="19.42578125" style="5" customWidth="1"/>
    <col min="12292" max="12292" width="17.5703125" style="5" customWidth="1"/>
    <col min="12293" max="12294" width="9.140625" style="5"/>
    <col min="12295" max="12295" width="10.85546875" style="5" customWidth="1"/>
    <col min="12296" max="12296" width="10.140625" style="5" customWidth="1"/>
    <col min="12297" max="12297" width="13.28515625" style="5" bestFit="1" customWidth="1"/>
    <col min="12298" max="12543" width="9.140625" style="5"/>
    <col min="12544" max="12544" width="6.42578125" style="5" customWidth="1"/>
    <col min="12545" max="12545" width="30.5703125" style="5" customWidth="1"/>
    <col min="12546" max="12546" width="40.85546875" style="5" customWidth="1"/>
    <col min="12547" max="12547" width="19.42578125" style="5" customWidth="1"/>
    <col min="12548" max="12548" width="17.5703125" style="5" customWidth="1"/>
    <col min="12549" max="12550" width="9.140625" style="5"/>
    <col min="12551" max="12551" width="10.85546875" style="5" customWidth="1"/>
    <col min="12552" max="12552" width="10.140625" style="5" customWidth="1"/>
    <col min="12553" max="12553" width="13.28515625" style="5" bestFit="1" customWidth="1"/>
    <col min="12554" max="12799" width="9.140625" style="5"/>
    <col min="12800" max="12800" width="6.42578125" style="5" customWidth="1"/>
    <col min="12801" max="12801" width="30.5703125" style="5" customWidth="1"/>
    <col min="12802" max="12802" width="40.85546875" style="5" customWidth="1"/>
    <col min="12803" max="12803" width="19.42578125" style="5" customWidth="1"/>
    <col min="12804" max="12804" width="17.5703125" style="5" customWidth="1"/>
    <col min="12805" max="12806" width="9.140625" style="5"/>
    <col min="12807" max="12807" width="10.85546875" style="5" customWidth="1"/>
    <col min="12808" max="12808" width="10.140625" style="5" customWidth="1"/>
    <col min="12809" max="12809" width="13.28515625" style="5" bestFit="1" customWidth="1"/>
    <col min="12810" max="13055" width="9.140625" style="5"/>
    <col min="13056" max="13056" width="6.42578125" style="5" customWidth="1"/>
    <col min="13057" max="13057" width="30.5703125" style="5" customWidth="1"/>
    <col min="13058" max="13058" width="40.85546875" style="5" customWidth="1"/>
    <col min="13059" max="13059" width="19.42578125" style="5" customWidth="1"/>
    <col min="13060" max="13060" width="17.5703125" style="5" customWidth="1"/>
    <col min="13061" max="13062" width="9.140625" style="5"/>
    <col min="13063" max="13063" width="10.85546875" style="5" customWidth="1"/>
    <col min="13064" max="13064" width="10.140625" style="5" customWidth="1"/>
    <col min="13065" max="13065" width="13.28515625" style="5" bestFit="1" customWidth="1"/>
    <col min="13066" max="13311" width="9.140625" style="5"/>
    <col min="13312" max="13312" width="6.42578125" style="5" customWidth="1"/>
    <col min="13313" max="13313" width="30.5703125" style="5" customWidth="1"/>
    <col min="13314" max="13314" width="40.85546875" style="5" customWidth="1"/>
    <col min="13315" max="13315" width="19.42578125" style="5" customWidth="1"/>
    <col min="13316" max="13316" width="17.5703125" style="5" customWidth="1"/>
    <col min="13317" max="13318" width="9.140625" style="5"/>
    <col min="13319" max="13319" width="10.85546875" style="5" customWidth="1"/>
    <col min="13320" max="13320" width="10.140625" style="5" customWidth="1"/>
    <col min="13321" max="13321" width="13.28515625" style="5" bestFit="1" customWidth="1"/>
    <col min="13322" max="13567" width="9.140625" style="5"/>
    <col min="13568" max="13568" width="6.42578125" style="5" customWidth="1"/>
    <col min="13569" max="13569" width="30.5703125" style="5" customWidth="1"/>
    <col min="13570" max="13570" width="40.85546875" style="5" customWidth="1"/>
    <col min="13571" max="13571" width="19.42578125" style="5" customWidth="1"/>
    <col min="13572" max="13572" width="17.5703125" style="5" customWidth="1"/>
    <col min="13573" max="13574" width="9.140625" style="5"/>
    <col min="13575" max="13575" width="10.85546875" style="5" customWidth="1"/>
    <col min="13576" max="13576" width="10.140625" style="5" customWidth="1"/>
    <col min="13577" max="13577" width="13.28515625" style="5" bestFit="1" customWidth="1"/>
    <col min="13578" max="13823" width="9.140625" style="5"/>
    <col min="13824" max="13824" width="6.42578125" style="5" customWidth="1"/>
    <col min="13825" max="13825" width="30.5703125" style="5" customWidth="1"/>
    <col min="13826" max="13826" width="40.85546875" style="5" customWidth="1"/>
    <col min="13827" max="13827" width="19.42578125" style="5" customWidth="1"/>
    <col min="13828" max="13828" width="17.5703125" style="5" customWidth="1"/>
    <col min="13829" max="13830" width="9.140625" style="5"/>
    <col min="13831" max="13831" width="10.85546875" style="5" customWidth="1"/>
    <col min="13832" max="13832" width="10.140625" style="5" customWidth="1"/>
    <col min="13833" max="13833" width="13.28515625" style="5" bestFit="1" customWidth="1"/>
    <col min="13834" max="14079" width="9.140625" style="5"/>
    <col min="14080" max="14080" width="6.42578125" style="5" customWidth="1"/>
    <col min="14081" max="14081" width="30.5703125" style="5" customWidth="1"/>
    <col min="14082" max="14082" width="40.85546875" style="5" customWidth="1"/>
    <col min="14083" max="14083" width="19.42578125" style="5" customWidth="1"/>
    <col min="14084" max="14084" width="17.5703125" style="5" customWidth="1"/>
    <col min="14085" max="14086" width="9.140625" style="5"/>
    <col min="14087" max="14087" width="10.85546875" style="5" customWidth="1"/>
    <col min="14088" max="14088" width="10.140625" style="5" customWidth="1"/>
    <col min="14089" max="14089" width="13.28515625" style="5" bestFit="1" customWidth="1"/>
    <col min="14090" max="14335" width="9.140625" style="5"/>
    <col min="14336" max="14336" width="6.42578125" style="5" customWidth="1"/>
    <col min="14337" max="14337" width="30.5703125" style="5" customWidth="1"/>
    <col min="14338" max="14338" width="40.85546875" style="5" customWidth="1"/>
    <col min="14339" max="14339" width="19.42578125" style="5" customWidth="1"/>
    <col min="14340" max="14340" width="17.5703125" style="5" customWidth="1"/>
    <col min="14341" max="14342" width="9.140625" style="5"/>
    <col min="14343" max="14343" width="10.85546875" style="5" customWidth="1"/>
    <col min="14344" max="14344" width="10.140625" style="5" customWidth="1"/>
    <col min="14345" max="14345" width="13.28515625" style="5" bestFit="1" customWidth="1"/>
    <col min="14346" max="14591" width="9.140625" style="5"/>
    <col min="14592" max="14592" width="6.42578125" style="5" customWidth="1"/>
    <col min="14593" max="14593" width="30.5703125" style="5" customWidth="1"/>
    <col min="14594" max="14594" width="40.85546875" style="5" customWidth="1"/>
    <col min="14595" max="14595" width="19.42578125" style="5" customWidth="1"/>
    <col min="14596" max="14596" width="17.5703125" style="5" customWidth="1"/>
    <col min="14597" max="14598" width="9.140625" style="5"/>
    <col min="14599" max="14599" width="10.85546875" style="5" customWidth="1"/>
    <col min="14600" max="14600" width="10.140625" style="5" customWidth="1"/>
    <col min="14601" max="14601" width="13.28515625" style="5" bestFit="1" customWidth="1"/>
    <col min="14602" max="14847" width="9.140625" style="5"/>
    <col min="14848" max="14848" width="6.42578125" style="5" customWidth="1"/>
    <col min="14849" max="14849" width="30.5703125" style="5" customWidth="1"/>
    <col min="14850" max="14850" width="40.85546875" style="5" customWidth="1"/>
    <col min="14851" max="14851" width="19.42578125" style="5" customWidth="1"/>
    <col min="14852" max="14852" width="17.5703125" style="5" customWidth="1"/>
    <col min="14853" max="14854" width="9.140625" style="5"/>
    <col min="14855" max="14855" width="10.85546875" style="5" customWidth="1"/>
    <col min="14856" max="14856" width="10.140625" style="5" customWidth="1"/>
    <col min="14857" max="14857" width="13.28515625" style="5" bestFit="1" customWidth="1"/>
    <col min="14858" max="15103" width="9.140625" style="5"/>
    <col min="15104" max="15104" width="6.42578125" style="5" customWidth="1"/>
    <col min="15105" max="15105" width="30.5703125" style="5" customWidth="1"/>
    <col min="15106" max="15106" width="40.85546875" style="5" customWidth="1"/>
    <col min="15107" max="15107" width="19.42578125" style="5" customWidth="1"/>
    <col min="15108" max="15108" width="17.5703125" style="5" customWidth="1"/>
    <col min="15109" max="15110" width="9.140625" style="5"/>
    <col min="15111" max="15111" width="10.85546875" style="5" customWidth="1"/>
    <col min="15112" max="15112" width="10.140625" style="5" customWidth="1"/>
    <col min="15113" max="15113" width="13.28515625" style="5" bestFit="1" customWidth="1"/>
    <col min="15114" max="15359" width="9.140625" style="5"/>
    <col min="15360" max="15360" width="6.42578125" style="5" customWidth="1"/>
    <col min="15361" max="15361" width="30.5703125" style="5" customWidth="1"/>
    <col min="15362" max="15362" width="40.85546875" style="5" customWidth="1"/>
    <col min="15363" max="15363" width="19.42578125" style="5" customWidth="1"/>
    <col min="15364" max="15364" width="17.5703125" style="5" customWidth="1"/>
    <col min="15365" max="15366" width="9.140625" style="5"/>
    <col min="15367" max="15367" width="10.85546875" style="5" customWidth="1"/>
    <col min="15368" max="15368" width="10.140625" style="5" customWidth="1"/>
    <col min="15369" max="15369" width="13.28515625" style="5" bestFit="1" customWidth="1"/>
    <col min="15370" max="15615" width="9.140625" style="5"/>
    <col min="15616" max="15616" width="6.42578125" style="5" customWidth="1"/>
    <col min="15617" max="15617" width="30.5703125" style="5" customWidth="1"/>
    <col min="15618" max="15618" width="40.85546875" style="5" customWidth="1"/>
    <col min="15619" max="15619" width="19.42578125" style="5" customWidth="1"/>
    <col min="15620" max="15620" width="17.5703125" style="5" customWidth="1"/>
    <col min="15621" max="15622" width="9.140625" style="5"/>
    <col min="15623" max="15623" width="10.85546875" style="5" customWidth="1"/>
    <col min="15624" max="15624" width="10.140625" style="5" customWidth="1"/>
    <col min="15625" max="15625" width="13.28515625" style="5" bestFit="1" customWidth="1"/>
    <col min="15626" max="15871" width="9.140625" style="5"/>
    <col min="15872" max="15872" width="6.42578125" style="5" customWidth="1"/>
    <col min="15873" max="15873" width="30.5703125" style="5" customWidth="1"/>
    <col min="15874" max="15874" width="40.85546875" style="5" customWidth="1"/>
    <col min="15875" max="15875" width="19.42578125" style="5" customWidth="1"/>
    <col min="15876" max="15876" width="17.5703125" style="5" customWidth="1"/>
    <col min="15877" max="15878" width="9.140625" style="5"/>
    <col min="15879" max="15879" width="10.85546875" style="5" customWidth="1"/>
    <col min="15880" max="15880" width="10.140625" style="5" customWidth="1"/>
    <col min="15881" max="15881" width="13.28515625" style="5" bestFit="1" customWidth="1"/>
    <col min="15882" max="16127" width="9.140625" style="5"/>
    <col min="16128" max="16128" width="6.42578125" style="5" customWidth="1"/>
    <col min="16129" max="16129" width="30.5703125" style="5" customWidth="1"/>
    <col min="16130" max="16130" width="40.85546875" style="5" customWidth="1"/>
    <col min="16131" max="16131" width="19.42578125" style="5" customWidth="1"/>
    <col min="16132" max="16132" width="17.5703125" style="5" customWidth="1"/>
    <col min="16133" max="16134" width="9.140625" style="5"/>
    <col min="16135" max="16135" width="10.85546875" style="5" customWidth="1"/>
    <col min="16136" max="16136" width="10.140625" style="5" customWidth="1"/>
    <col min="16137" max="16137" width="13.28515625" style="5" bestFit="1" customWidth="1"/>
    <col min="16138" max="16384" width="9.140625" style="5"/>
  </cols>
  <sheetData>
    <row r="1" spans="1:11">
      <c r="A1" s="841" t="s">
        <v>612</v>
      </c>
      <c r="B1" s="841"/>
      <c r="C1" s="841"/>
      <c r="D1" s="841"/>
      <c r="E1" s="841"/>
      <c r="F1" s="841"/>
      <c r="G1" s="841"/>
      <c r="H1" s="841"/>
      <c r="I1" s="841"/>
      <c r="J1" s="841"/>
    </row>
    <row r="2" spans="1:11">
      <c r="A2" s="841"/>
      <c r="B2" s="841"/>
      <c r="C2" s="841"/>
      <c r="D2" s="841"/>
      <c r="E2" s="841"/>
      <c r="F2" s="841"/>
      <c r="G2" s="841"/>
      <c r="H2" s="841"/>
      <c r="I2" s="841"/>
      <c r="J2" s="841"/>
    </row>
    <row r="3" spans="1:11">
      <c r="A3" s="842" t="s">
        <v>17</v>
      </c>
      <c r="B3" s="842" t="s">
        <v>18</v>
      </c>
      <c r="C3" s="842" t="s">
        <v>19</v>
      </c>
      <c r="D3" s="842" t="s">
        <v>20</v>
      </c>
      <c r="E3" s="842"/>
      <c r="F3" s="842" t="s">
        <v>21</v>
      </c>
      <c r="G3" s="842" t="s">
        <v>22</v>
      </c>
      <c r="H3" s="843" t="s">
        <v>23</v>
      </c>
      <c r="I3" s="842" t="s">
        <v>24</v>
      </c>
      <c r="J3" s="842"/>
    </row>
    <row r="4" spans="1:11">
      <c r="A4" s="842"/>
      <c r="B4" s="842"/>
      <c r="C4" s="842"/>
      <c r="D4" s="842"/>
      <c r="E4" s="842"/>
      <c r="F4" s="842"/>
      <c r="G4" s="842"/>
      <c r="H4" s="844"/>
      <c r="I4" s="239" t="s">
        <v>25</v>
      </c>
      <c r="J4" s="239" t="s">
        <v>26</v>
      </c>
    </row>
    <row r="5" spans="1:11" s="9" customFormat="1">
      <c r="A5" s="242">
        <v>1</v>
      </c>
      <c r="B5" s="272" t="s">
        <v>661</v>
      </c>
      <c r="C5" s="242" t="s">
        <v>27</v>
      </c>
      <c r="D5" s="840" t="s">
        <v>727</v>
      </c>
      <c r="E5" s="840" t="s">
        <v>28</v>
      </c>
      <c r="F5" s="242">
        <v>1</v>
      </c>
      <c r="G5" s="242" t="s">
        <v>29</v>
      </c>
      <c r="H5" s="242">
        <v>1.1200000000000001</v>
      </c>
      <c r="I5" s="242">
        <v>1.68</v>
      </c>
      <c r="J5" s="849">
        <f>I5*F5*2</f>
        <v>3.36</v>
      </c>
      <c r="K5" s="5"/>
    </row>
    <row r="6" spans="1:11" s="9" customFormat="1">
      <c r="A6" s="242">
        <v>2</v>
      </c>
      <c r="B6" s="272" t="s">
        <v>662</v>
      </c>
      <c r="C6" s="242" t="s">
        <v>30</v>
      </c>
      <c r="D6" s="840"/>
      <c r="E6" s="840"/>
      <c r="F6" s="242">
        <v>1</v>
      </c>
      <c r="G6" s="242" t="s">
        <v>29</v>
      </c>
      <c r="H6" s="242">
        <v>1.1200000000000001</v>
      </c>
      <c r="I6" s="242">
        <v>1.68</v>
      </c>
      <c r="J6" s="850"/>
      <c r="K6" s="5"/>
    </row>
    <row r="7" spans="1:11" s="9" customFormat="1" ht="47.25">
      <c r="A7" s="242">
        <v>3</v>
      </c>
      <c r="B7" s="272" t="s">
        <v>663</v>
      </c>
      <c r="C7" s="242" t="s">
        <v>38</v>
      </c>
      <c r="D7" s="242" t="s">
        <v>693</v>
      </c>
      <c r="E7" s="242" t="s">
        <v>31</v>
      </c>
      <c r="F7" s="242">
        <v>1</v>
      </c>
      <c r="G7" s="242" t="s">
        <v>29</v>
      </c>
      <c r="H7" s="242">
        <v>0.04</v>
      </c>
      <c r="I7" s="242">
        <v>0.11899999999999999</v>
      </c>
      <c r="J7" s="242">
        <f>I7*F7</f>
        <v>0.11899999999999999</v>
      </c>
      <c r="K7" s="5"/>
    </row>
    <row r="8" spans="1:11" s="9" customFormat="1" ht="31.5">
      <c r="A8" s="242">
        <v>4</v>
      </c>
      <c r="B8" s="242" t="s">
        <v>650</v>
      </c>
      <c r="C8" s="242" t="s">
        <v>32</v>
      </c>
      <c r="D8" s="271" t="s">
        <v>714</v>
      </c>
      <c r="E8" s="242" t="s">
        <v>33</v>
      </c>
      <c r="F8" s="242">
        <v>1</v>
      </c>
      <c r="G8" s="242" t="s">
        <v>29</v>
      </c>
      <c r="H8" s="242">
        <v>5.7000000000000002E-2</v>
      </c>
      <c r="I8" s="242">
        <v>0.24199999999999999</v>
      </c>
      <c r="J8" s="242">
        <f>I8*F8</f>
        <v>0.24199999999999999</v>
      </c>
      <c r="K8" s="5"/>
    </row>
    <row r="9" spans="1:11" ht="31.5">
      <c r="A9" s="272">
        <v>5</v>
      </c>
      <c r="B9" s="272" t="s">
        <v>626</v>
      </c>
      <c r="C9" s="272" t="s">
        <v>34</v>
      </c>
      <c r="D9" s="271" t="s">
        <v>726</v>
      </c>
      <c r="E9" s="271" t="s">
        <v>35</v>
      </c>
      <c r="F9" s="272">
        <v>1</v>
      </c>
      <c r="G9" s="272" t="s">
        <v>29</v>
      </c>
      <c r="H9" s="272">
        <v>0.114</v>
      </c>
      <c r="I9" s="272">
        <v>0.17100000000000001</v>
      </c>
      <c r="J9" s="242">
        <f>I9*F9</f>
        <v>0.17100000000000001</v>
      </c>
    </row>
    <row r="10" spans="1:11" s="9" customFormat="1" ht="15.6">
      <c r="A10" s="830"/>
      <c r="B10" s="831"/>
      <c r="C10" s="831"/>
      <c r="D10" s="831"/>
      <c r="E10" s="831"/>
      <c r="F10" s="831"/>
      <c r="G10" s="831"/>
      <c r="H10" s="831"/>
      <c r="I10" s="831"/>
      <c r="J10" s="832"/>
      <c r="K10" s="22"/>
    </row>
    <row r="11" spans="1:11" s="9" customFormat="1">
      <c r="A11" s="12"/>
      <c r="B11" s="12"/>
      <c r="C11" s="13" t="s">
        <v>2</v>
      </c>
      <c r="D11" s="12"/>
      <c r="E11" s="12"/>
      <c r="F11" s="12"/>
      <c r="G11" s="12"/>
      <c r="H11" s="12"/>
      <c r="I11" s="12"/>
      <c r="J11" s="12"/>
      <c r="K11" s="22"/>
    </row>
    <row r="12" spans="1:11" ht="31.5">
      <c r="A12" s="244">
        <v>6</v>
      </c>
      <c r="B12" s="242" t="s">
        <v>651</v>
      </c>
      <c r="C12" s="242" t="s">
        <v>652</v>
      </c>
      <c r="D12" s="272" t="s">
        <v>730</v>
      </c>
      <c r="E12" s="272" t="s">
        <v>36</v>
      </c>
      <c r="F12" s="242">
        <v>1</v>
      </c>
      <c r="G12" s="242" t="s">
        <v>1030</v>
      </c>
      <c r="H12" s="242">
        <v>4.0000000000000001E-3</v>
      </c>
      <c r="I12" s="242">
        <v>4.0000000000000001E-3</v>
      </c>
      <c r="J12" s="242">
        <f t="shared" ref="J12:J17" si="0">I12*F12</f>
        <v>4.0000000000000001E-3</v>
      </c>
      <c r="K12" s="22"/>
    </row>
    <row r="13" spans="1:11" ht="31.5">
      <c r="A13" s="244">
        <v>7</v>
      </c>
      <c r="B13" s="272" t="s">
        <v>653</v>
      </c>
      <c r="C13" s="272" t="s">
        <v>110</v>
      </c>
      <c r="D13" s="271" t="s">
        <v>732</v>
      </c>
      <c r="E13" s="272" t="s">
        <v>111</v>
      </c>
      <c r="F13" s="242">
        <v>1</v>
      </c>
      <c r="G13" s="242" t="s">
        <v>29</v>
      </c>
      <c r="H13" s="242">
        <v>2E-3</v>
      </c>
      <c r="I13" s="242">
        <v>0.01</v>
      </c>
      <c r="J13" s="242">
        <f t="shared" si="0"/>
        <v>0.01</v>
      </c>
    </row>
    <row r="14" spans="1:11" ht="31.5">
      <c r="A14" s="244">
        <v>8</v>
      </c>
      <c r="B14" s="272" t="s">
        <v>664</v>
      </c>
      <c r="C14" s="242" t="s">
        <v>607</v>
      </c>
      <c r="D14" s="234" t="s">
        <v>727</v>
      </c>
      <c r="E14" s="12" t="s">
        <v>28</v>
      </c>
      <c r="F14" s="242">
        <v>1</v>
      </c>
      <c r="G14" s="242" t="s">
        <v>29</v>
      </c>
      <c r="H14" s="242">
        <v>8.0000000000000002E-3</v>
      </c>
      <c r="I14" s="237">
        <f>37/903</f>
        <v>4.0974529346622372E-2</v>
      </c>
      <c r="J14" s="237">
        <f t="shared" si="0"/>
        <v>4.0974529346622372E-2</v>
      </c>
    </row>
    <row r="15" spans="1:11" s="9" customFormat="1" ht="31.5">
      <c r="A15" s="244">
        <v>9</v>
      </c>
      <c r="B15" s="272" t="s">
        <v>654</v>
      </c>
      <c r="C15" s="272" t="s">
        <v>4</v>
      </c>
      <c r="D15" s="271" t="s">
        <v>726</v>
      </c>
      <c r="E15" s="271" t="s">
        <v>35</v>
      </c>
      <c r="F15" s="242">
        <v>1</v>
      </c>
      <c r="G15" s="242" t="s">
        <v>29</v>
      </c>
      <c r="H15" s="242">
        <v>1E-3</v>
      </c>
      <c r="I15" s="238">
        <f>73.59/900</f>
        <v>8.1766666666666668E-2</v>
      </c>
      <c r="J15" s="237">
        <f t="shared" si="0"/>
        <v>8.1766666666666668E-2</v>
      </c>
      <c r="K15" s="5"/>
    </row>
    <row r="16" spans="1:11" s="9" customFormat="1" ht="31.5">
      <c r="A16" s="244">
        <v>10</v>
      </c>
      <c r="B16" s="272" t="s">
        <v>665</v>
      </c>
      <c r="C16" s="272" t="s">
        <v>608</v>
      </c>
      <c r="D16" s="271" t="s">
        <v>725</v>
      </c>
      <c r="E16" s="160" t="s">
        <v>28</v>
      </c>
      <c r="F16" s="242">
        <v>1</v>
      </c>
      <c r="G16" s="242" t="s">
        <v>29</v>
      </c>
      <c r="H16" s="242">
        <v>3.0000000000000001E-3</v>
      </c>
      <c r="I16" s="238">
        <f>49/649</f>
        <v>7.5500770416024654E-2</v>
      </c>
      <c r="J16" s="237">
        <f t="shared" si="0"/>
        <v>7.5500770416024654E-2</v>
      </c>
      <c r="K16" s="5"/>
    </row>
    <row r="17" spans="1:11" s="9" customFormat="1" ht="31.5">
      <c r="A17" s="244">
        <v>11</v>
      </c>
      <c r="B17" s="272" t="s">
        <v>655</v>
      </c>
      <c r="C17" s="272" t="s">
        <v>609</v>
      </c>
      <c r="D17" s="242" t="s">
        <v>715</v>
      </c>
      <c r="E17" s="242" t="s">
        <v>33</v>
      </c>
      <c r="F17" s="242">
        <v>1</v>
      </c>
      <c r="G17" s="242" t="s">
        <v>29</v>
      </c>
      <c r="H17" s="242">
        <v>0.16400000000000001</v>
      </c>
      <c r="I17" s="272">
        <v>0.29099999999999998</v>
      </c>
      <c r="J17" s="242">
        <f t="shared" si="0"/>
        <v>0.29099999999999998</v>
      </c>
      <c r="K17" s="5"/>
    </row>
    <row r="18" spans="1:11" s="9" customFormat="1" ht="15.6">
      <c r="A18" s="823"/>
      <c r="B18" s="833"/>
      <c r="C18" s="833"/>
      <c r="D18" s="833"/>
      <c r="E18" s="833"/>
      <c r="F18" s="833"/>
      <c r="G18" s="833"/>
      <c r="H18" s="833"/>
      <c r="I18" s="833"/>
      <c r="J18" s="824"/>
      <c r="K18" s="5"/>
    </row>
    <row r="19" spans="1:11" s="9" customFormat="1">
      <c r="A19" s="12"/>
      <c r="B19" s="161"/>
      <c r="C19" s="161" t="s">
        <v>40</v>
      </c>
      <c r="D19" s="274"/>
      <c r="E19" s="274"/>
      <c r="F19" s="274"/>
      <c r="G19" s="274"/>
      <c r="H19" s="274"/>
      <c r="I19" s="274"/>
      <c r="J19" s="274"/>
      <c r="K19" s="5"/>
    </row>
    <row r="20" spans="1:11" s="9" customFormat="1" ht="31.5">
      <c r="A20" s="242">
        <v>12</v>
      </c>
      <c r="B20" s="242" t="s">
        <v>657</v>
      </c>
      <c r="C20" s="242" t="s">
        <v>627</v>
      </c>
      <c r="D20" s="234" t="s">
        <v>716</v>
      </c>
      <c r="E20" s="234" t="s">
        <v>41</v>
      </c>
      <c r="F20" s="246">
        <v>1</v>
      </c>
      <c r="G20" s="246" t="s">
        <v>29</v>
      </c>
      <c r="H20" s="246">
        <v>0.156</v>
      </c>
      <c r="I20" s="246">
        <v>0.52200000000000002</v>
      </c>
      <c r="J20" s="246">
        <f>I20*F20</f>
        <v>0.52200000000000002</v>
      </c>
      <c r="K20" s="5"/>
    </row>
    <row r="21" spans="1:11" s="9" customFormat="1" ht="31.5">
      <c r="A21" s="242">
        <v>13</v>
      </c>
      <c r="B21" s="242" t="s">
        <v>658</v>
      </c>
      <c r="C21" s="272" t="s">
        <v>610</v>
      </c>
      <c r="D21" s="272" t="s">
        <v>730</v>
      </c>
      <c r="E21" s="272" t="s">
        <v>36</v>
      </c>
      <c r="F21" s="272">
        <v>1</v>
      </c>
      <c r="G21" s="272" t="s">
        <v>1030</v>
      </c>
      <c r="H21" s="272">
        <v>2E-3</v>
      </c>
      <c r="I21" s="272">
        <v>2E-3</v>
      </c>
      <c r="J21" s="242">
        <f>I21*F21</f>
        <v>2E-3</v>
      </c>
      <c r="K21" s="5"/>
    </row>
    <row r="22" spans="1:11" s="9" customFormat="1" ht="31.5">
      <c r="A22" s="242">
        <v>14</v>
      </c>
      <c r="B22" s="242" t="s">
        <v>628</v>
      </c>
      <c r="C22" s="242" t="s">
        <v>42</v>
      </c>
      <c r="D22" s="234" t="s">
        <v>728</v>
      </c>
      <c r="E22" s="242" t="s">
        <v>43</v>
      </c>
      <c r="F22" s="246">
        <v>1</v>
      </c>
      <c r="G22" s="242" t="s">
        <v>29</v>
      </c>
      <c r="H22" s="242">
        <v>1E-3</v>
      </c>
      <c r="I22" s="246">
        <v>2E-3</v>
      </c>
      <c r="J22" s="246">
        <f>I22*F22</f>
        <v>2E-3</v>
      </c>
      <c r="K22" s="5"/>
    </row>
    <row r="23" spans="1:11" s="9" customFormat="1">
      <c r="A23" s="242">
        <v>15</v>
      </c>
      <c r="B23" s="242" t="s">
        <v>629</v>
      </c>
      <c r="C23" s="242" t="s">
        <v>126</v>
      </c>
      <c r="D23" s="834" t="s">
        <v>733</v>
      </c>
      <c r="E23" s="835"/>
      <c r="F23" s="246">
        <v>1</v>
      </c>
      <c r="G23" s="242" t="s">
        <v>44</v>
      </c>
      <c r="H23" s="242"/>
      <c r="I23" s="246">
        <v>1</v>
      </c>
      <c r="J23" s="246">
        <f t="shared" ref="J23:J29" si="1">I23*F23</f>
        <v>1</v>
      </c>
      <c r="K23" s="5"/>
    </row>
    <row r="24" spans="1:11" s="9" customFormat="1">
      <c r="A24" s="242">
        <v>16</v>
      </c>
      <c r="B24" s="242" t="s">
        <v>630</v>
      </c>
      <c r="C24" s="242" t="s">
        <v>631</v>
      </c>
      <c r="D24" s="836" t="s">
        <v>46</v>
      </c>
      <c r="E24" s="836" t="s">
        <v>47</v>
      </c>
      <c r="F24" s="246" t="s">
        <v>128</v>
      </c>
      <c r="G24" s="246" t="s">
        <v>29</v>
      </c>
      <c r="H24" s="246">
        <v>2E-3</v>
      </c>
      <c r="I24" s="242">
        <v>4.0000000000000001E-3</v>
      </c>
      <c r="J24" s="246">
        <f>I24</f>
        <v>4.0000000000000001E-3</v>
      </c>
      <c r="K24" s="5"/>
    </row>
    <row r="25" spans="1:11" s="9" customFormat="1">
      <c r="A25" s="242">
        <v>17</v>
      </c>
      <c r="B25" s="242" t="s">
        <v>632</v>
      </c>
      <c r="C25" s="242" t="s">
        <v>45</v>
      </c>
      <c r="D25" s="837"/>
      <c r="E25" s="837"/>
      <c r="F25" s="246">
        <v>1</v>
      </c>
      <c r="G25" s="246" t="s">
        <v>29</v>
      </c>
      <c r="H25" s="246">
        <v>1E-3</v>
      </c>
      <c r="I25" s="246">
        <v>3.0000000000000001E-3</v>
      </c>
      <c r="J25" s="246">
        <f t="shared" si="1"/>
        <v>3.0000000000000001E-3</v>
      </c>
      <c r="K25" s="5"/>
    </row>
    <row r="26" spans="1:11" s="9" customFormat="1" ht="31.5">
      <c r="A26" s="242">
        <v>18</v>
      </c>
      <c r="B26" s="242" t="s">
        <v>666</v>
      </c>
      <c r="C26" s="242" t="s">
        <v>633</v>
      </c>
      <c r="D26" s="242" t="s">
        <v>729</v>
      </c>
      <c r="E26" s="234" t="s">
        <v>139</v>
      </c>
      <c r="F26" s="246">
        <v>1</v>
      </c>
      <c r="G26" s="246" t="s">
        <v>29</v>
      </c>
      <c r="H26" s="246">
        <v>1.4E-2</v>
      </c>
      <c r="I26" s="242">
        <v>3.2000000000000001E-2</v>
      </c>
      <c r="J26" s="246">
        <f t="shared" si="1"/>
        <v>3.2000000000000001E-2</v>
      </c>
      <c r="K26" s="5"/>
    </row>
    <row r="27" spans="1:11" s="9" customFormat="1" ht="31.5">
      <c r="A27" s="242">
        <v>19</v>
      </c>
      <c r="B27" s="242" t="s">
        <v>634</v>
      </c>
      <c r="C27" s="242" t="s">
        <v>48</v>
      </c>
      <c r="D27" s="234" t="s">
        <v>731</v>
      </c>
      <c r="E27" s="234" t="s">
        <v>49</v>
      </c>
      <c r="F27" s="246">
        <v>1</v>
      </c>
      <c r="G27" s="240" t="s">
        <v>39</v>
      </c>
      <c r="H27" s="240">
        <v>5.0000000000000001E-4</v>
      </c>
      <c r="I27" s="246">
        <v>0.03</v>
      </c>
      <c r="J27" s="246">
        <f t="shared" si="1"/>
        <v>0.03</v>
      </c>
      <c r="K27" s="5"/>
    </row>
    <row r="28" spans="1:11" s="9" customFormat="1" ht="31.5">
      <c r="A28" s="242">
        <v>20</v>
      </c>
      <c r="B28" s="242" t="s">
        <v>667</v>
      </c>
      <c r="C28" s="242" t="s">
        <v>635</v>
      </c>
      <c r="D28" s="234" t="s">
        <v>50</v>
      </c>
      <c r="E28" s="242" t="s">
        <v>51</v>
      </c>
      <c r="F28" s="246">
        <v>1</v>
      </c>
      <c r="G28" s="242" t="s">
        <v>44</v>
      </c>
      <c r="H28" s="242"/>
      <c r="I28" s="246">
        <v>1</v>
      </c>
      <c r="J28" s="246">
        <f t="shared" si="1"/>
        <v>1</v>
      </c>
      <c r="K28" s="5"/>
    </row>
    <row r="29" spans="1:11" s="9" customFormat="1">
      <c r="A29" s="242">
        <v>21</v>
      </c>
      <c r="B29" s="242" t="s">
        <v>636</v>
      </c>
      <c r="C29" s="242" t="s">
        <v>129</v>
      </c>
      <c r="D29" s="838" t="s">
        <v>733</v>
      </c>
      <c r="E29" s="839"/>
      <c r="F29" s="246">
        <v>3</v>
      </c>
      <c r="G29" s="242" t="s">
        <v>44</v>
      </c>
      <c r="H29" s="242"/>
      <c r="I29" s="246">
        <v>1</v>
      </c>
      <c r="J29" s="246">
        <f t="shared" si="1"/>
        <v>3</v>
      </c>
      <c r="K29" s="5"/>
    </row>
    <row r="30" spans="1:11" s="9" customFormat="1">
      <c r="A30" s="275"/>
      <c r="B30" s="275"/>
      <c r="C30" s="273" t="s">
        <v>52</v>
      </c>
      <c r="D30" s="275"/>
      <c r="E30" s="275"/>
      <c r="F30" s="275"/>
      <c r="G30" s="275"/>
      <c r="H30" s="275"/>
      <c r="I30" s="275"/>
      <c r="J30" s="275"/>
      <c r="K30" s="5"/>
    </row>
    <row r="31" spans="1:11" s="9" customFormat="1">
      <c r="A31" s="244">
        <v>22</v>
      </c>
      <c r="B31" s="275"/>
      <c r="C31" s="242" t="s">
        <v>236</v>
      </c>
      <c r="D31" s="840" t="s">
        <v>53</v>
      </c>
      <c r="E31" s="840"/>
      <c r="F31" s="242">
        <v>1</v>
      </c>
      <c r="G31" s="242" t="s">
        <v>44</v>
      </c>
      <c r="H31" s="242"/>
      <c r="I31" s="242">
        <v>1</v>
      </c>
      <c r="J31" s="242">
        <f>I31*F31</f>
        <v>1</v>
      </c>
      <c r="K31" s="5"/>
    </row>
    <row r="32" spans="1:11" s="9" customFormat="1">
      <c r="A32" s="244"/>
      <c r="B32" s="275"/>
      <c r="C32" s="273" t="s">
        <v>54</v>
      </c>
      <c r="D32" s="242"/>
      <c r="E32" s="242"/>
      <c r="F32" s="242"/>
      <c r="G32" s="242"/>
      <c r="H32" s="242"/>
      <c r="I32" s="242"/>
      <c r="J32" s="242"/>
      <c r="K32" s="5"/>
    </row>
    <row r="33" spans="1:11" s="9" customFormat="1" ht="31.5">
      <c r="A33" s="244">
        <v>23</v>
      </c>
      <c r="B33" s="244"/>
      <c r="C33" s="242" t="s">
        <v>484</v>
      </c>
      <c r="D33" s="828" t="s">
        <v>55</v>
      </c>
      <c r="E33" s="828"/>
      <c r="F33" s="246">
        <v>1</v>
      </c>
      <c r="G33" s="242" t="s">
        <v>44</v>
      </c>
      <c r="H33" s="242"/>
      <c r="I33" s="246">
        <v>1.2500000000000001E-2</v>
      </c>
      <c r="J33" s="246">
        <f>I33*F33</f>
        <v>1.2500000000000001E-2</v>
      </c>
      <c r="K33" s="5"/>
    </row>
    <row r="34" spans="1:11" s="9" customFormat="1">
      <c r="A34" s="827"/>
      <c r="B34" s="827"/>
      <c r="C34" s="827"/>
      <c r="D34" s="827"/>
      <c r="E34" s="827"/>
      <c r="F34" s="827"/>
      <c r="G34" s="827"/>
      <c r="H34" s="827"/>
      <c r="I34" s="827"/>
      <c r="J34" s="827"/>
      <c r="K34" s="5"/>
    </row>
    <row r="35" spans="1:11" s="9" customFormat="1">
      <c r="A35" s="236"/>
      <c r="B35" s="242"/>
      <c r="C35" s="17" t="s">
        <v>56</v>
      </c>
      <c r="D35" s="19"/>
      <c r="E35" s="19"/>
      <c r="F35" s="246"/>
      <c r="G35" s="242"/>
      <c r="H35" s="242"/>
      <c r="I35" s="246"/>
      <c r="J35" s="246"/>
      <c r="K35" s="5"/>
    </row>
    <row r="36" spans="1:11">
      <c r="A36" s="236">
        <v>24</v>
      </c>
      <c r="B36" s="242"/>
      <c r="C36" s="18" t="s">
        <v>57</v>
      </c>
      <c r="D36" s="18"/>
      <c r="E36" s="18"/>
      <c r="F36" s="18">
        <v>1</v>
      </c>
      <c r="G36" s="18" t="s">
        <v>44</v>
      </c>
      <c r="H36" s="31"/>
      <c r="I36" s="31">
        <v>1</v>
      </c>
      <c r="J36" s="246">
        <v>1</v>
      </c>
    </row>
    <row r="37" spans="1:11">
      <c r="A37" s="236">
        <v>25</v>
      </c>
      <c r="B37" s="242"/>
      <c r="C37" s="18" t="s">
        <v>58</v>
      </c>
      <c r="D37" s="18"/>
      <c r="E37" s="18"/>
      <c r="F37" s="18">
        <v>1</v>
      </c>
      <c r="G37" s="18" t="s">
        <v>44</v>
      </c>
      <c r="H37" s="31"/>
      <c r="I37" s="31">
        <v>1</v>
      </c>
      <c r="J37" s="246">
        <v>1</v>
      </c>
    </row>
    <row r="38" spans="1:11">
      <c r="A38" s="236">
        <v>26</v>
      </c>
      <c r="B38" s="242"/>
      <c r="C38" s="18" t="s">
        <v>113</v>
      </c>
      <c r="D38" s="18"/>
      <c r="E38" s="18"/>
      <c r="F38" s="18">
        <v>1</v>
      </c>
      <c r="G38" s="18" t="s">
        <v>44</v>
      </c>
      <c r="H38" s="31"/>
      <c r="I38" s="31">
        <v>1</v>
      </c>
      <c r="J38" s="242">
        <f>I38*F38</f>
        <v>1</v>
      </c>
    </row>
    <row r="39" spans="1:11">
      <c r="A39" s="236">
        <v>27</v>
      </c>
      <c r="B39" s="242"/>
      <c r="C39" s="18" t="s">
        <v>675</v>
      </c>
      <c r="D39" s="18"/>
      <c r="E39" s="18"/>
      <c r="F39" s="18">
        <v>1</v>
      </c>
      <c r="G39" s="18" t="s">
        <v>44</v>
      </c>
      <c r="H39" s="31"/>
      <c r="I39" s="31">
        <v>1</v>
      </c>
      <c r="J39" s="242">
        <f>I39*F39</f>
        <v>1</v>
      </c>
    </row>
    <row r="40" spans="1:11">
      <c r="A40" s="236">
        <v>28</v>
      </c>
      <c r="B40" s="242"/>
      <c r="C40" s="18" t="s">
        <v>130</v>
      </c>
      <c r="D40" s="27"/>
      <c r="E40" s="18"/>
      <c r="F40" s="18">
        <v>1</v>
      </c>
      <c r="G40" s="18" t="s">
        <v>44</v>
      </c>
      <c r="H40" s="246"/>
      <c r="I40" s="242">
        <v>1</v>
      </c>
      <c r="J40" s="242">
        <v>1</v>
      </c>
    </row>
    <row r="41" spans="1:11">
      <c r="A41" s="236">
        <v>29</v>
      </c>
      <c r="B41" s="242"/>
      <c r="C41" s="18" t="s">
        <v>613</v>
      </c>
      <c r="D41" s="829" t="s">
        <v>59</v>
      </c>
      <c r="E41" s="829"/>
      <c r="F41" s="18">
        <v>1</v>
      </c>
      <c r="G41" s="18" t="s">
        <v>44</v>
      </c>
      <c r="H41" s="242"/>
      <c r="I41" s="246">
        <v>1</v>
      </c>
      <c r="J41" s="246">
        <v>1</v>
      </c>
    </row>
    <row r="42" spans="1:11">
      <c r="A42" s="236">
        <v>30</v>
      </c>
      <c r="B42" s="242"/>
      <c r="C42" s="18" t="s">
        <v>60</v>
      </c>
      <c r="D42" s="739" t="s">
        <v>61</v>
      </c>
      <c r="E42" s="739"/>
      <c r="F42" s="18">
        <v>1</v>
      </c>
      <c r="G42" s="18" t="s">
        <v>29</v>
      </c>
      <c r="H42" s="242"/>
      <c r="I42" s="246">
        <v>6.05</v>
      </c>
      <c r="J42" s="236">
        <v>6.05</v>
      </c>
    </row>
    <row r="43" spans="1:11">
      <c r="A43" s="236">
        <v>31</v>
      </c>
      <c r="B43" s="15"/>
      <c r="C43" s="18" t="s">
        <v>6</v>
      </c>
      <c r="D43" s="739" t="s">
        <v>63</v>
      </c>
      <c r="E43" s="739"/>
      <c r="F43" s="18">
        <v>1</v>
      </c>
      <c r="G43" s="18" t="s">
        <v>44</v>
      </c>
      <c r="H43" s="242"/>
      <c r="I43" s="242">
        <v>1</v>
      </c>
      <c r="J43" s="242">
        <v>1</v>
      </c>
    </row>
    <row r="44" spans="1:11">
      <c r="A44" s="236">
        <v>32</v>
      </c>
      <c r="B44" s="15"/>
      <c r="C44" s="18" t="s">
        <v>64</v>
      </c>
      <c r="D44" s="739" t="s">
        <v>63</v>
      </c>
      <c r="E44" s="739"/>
      <c r="F44" s="18">
        <v>3</v>
      </c>
      <c r="G44" s="18" t="s">
        <v>44</v>
      </c>
      <c r="H44" s="15"/>
      <c r="I44" s="32">
        <v>1</v>
      </c>
      <c r="J44" s="32">
        <v>3</v>
      </c>
    </row>
    <row r="45" spans="1:11">
      <c r="A45" s="236">
        <v>33</v>
      </c>
      <c r="B45" s="15"/>
      <c r="C45" s="18" t="s">
        <v>66</v>
      </c>
      <c r="D45" s="739" t="s">
        <v>63</v>
      </c>
      <c r="E45" s="739"/>
      <c r="F45" s="18">
        <v>1</v>
      </c>
      <c r="G45" s="245" t="s">
        <v>67</v>
      </c>
      <c r="H45" s="33"/>
      <c r="I45" s="236">
        <v>8.3000000000000004E-2</v>
      </c>
      <c r="J45" s="236">
        <v>8.3000000000000004E-2</v>
      </c>
    </row>
    <row r="46" spans="1:11">
      <c r="A46" s="236">
        <v>34</v>
      </c>
      <c r="B46" s="242"/>
      <c r="C46" s="242" t="s">
        <v>71</v>
      </c>
      <c r="D46" s="823" t="s">
        <v>72</v>
      </c>
      <c r="E46" s="824"/>
      <c r="F46" s="18">
        <v>1</v>
      </c>
      <c r="G46" s="18" t="s">
        <v>39</v>
      </c>
      <c r="H46" s="242"/>
      <c r="I46" s="242">
        <v>10.3</v>
      </c>
      <c r="J46" s="242">
        <v>10.3</v>
      </c>
    </row>
    <row r="47" spans="1:11">
      <c r="A47" s="236">
        <v>35</v>
      </c>
      <c r="B47" s="244"/>
      <c r="C47" s="242" t="s">
        <v>73</v>
      </c>
      <c r="D47" s="823" t="s">
        <v>74</v>
      </c>
      <c r="E47" s="824"/>
      <c r="F47" s="242">
        <v>1</v>
      </c>
      <c r="G47" s="242" t="s">
        <v>29</v>
      </c>
      <c r="H47" s="242"/>
      <c r="I47" s="242">
        <v>2E-3</v>
      </c>
      <c r="J47" s="242">
        <f>I47*F47</f>
        <v>2E-3</v>
      </c>
    </row>
    <row r="48" spans="1:11">
      <c r="A48" s="236">
        <v>36</v>
      </c>
      <c r="B48" s="242"/>
      <c r="C48" s="242" t="s">
        <v>736</v>
      </c>
      <c r="D48" s="823" t="s">
        <v>72</v>
      </c>
      <c r="E48" s="824"/>
      <c r="F48" s="242">
        <v>1</v>
      </c>
      <c r="G48" s="242" t="s">
        <v>29</v>
      </c>
      <c r="H48" s="242"/>
      <c r="I48" s="242">
        <v>3.0000000000000001E-3</v>
      </c>
      <c r="J48" s="242">
        <f>I48*F48</f>
        <v>3.0000000000000001E-3</v>
      </c>
    </row>
    <row r="49" spans="1:13">
      <c r="A49" s="236">
        <v>37</v>
      </c>
      <c r="B49" s="244"/>
      <c r="C49" s="18" t="s">
        <v>75</v>
      </c>
      <c r="D49" s="825" t="s">
        <v>76</v>
      </c>
      <c r="E49" s="826"/>
      <c r="F49" s="18">
        <v>1</v>
      </c>
      <c r="G49" s="18" t="s">
        <v>29</v>
      </c>
      <c r="H49" s="242"/>
      <c r="I49" s="242">
        <v>9.0999999999999998E-2</v>
      </c>
      <c r="J49" s="242">
        <v>9.0999999999999998E-2</v>
      </c>
    </row>
    <row r="50" spans="1:13">
      <c r="A50" s="236">
        <v>38</v>
      </c>
      <c r="B50" s="15"/>
      <c r="C50" s="18" t="s">
        <v>77</v>
      </c>
      <c r="D50" s="819" t="s">
        <v>78</v>
      </c>
      <c r="E50" s="820"/>
      <c r="F50" s="18">
        <v>1</v>
      </c>
      <c r="G50" s="18" t="s">
        <v>44</v>
      </c>
      <c r="H50" s="242"/>
      <c r="I50" s="242">
        <v>0.01</v>
      </c>
      <c r="J50" s="242">
        <f t="shared" ref="J50:J55" si="2">I50*F50</f>
        <v>0.01</v>
      </c>
    </row>
    <row r="51" spans="1:13">
      <c r="A51" s="236">
        <v>39</v>
      </c>
      <c r="B51" s="20"/>
      <c r="C51" s="18" t="s">
        <v>79</v>
      </c>
      <c r="D51" s="819" t="s">
        <v>80</v>
      </c>
      <c r="E51" s="820"/>
      <c r="F51" s="18">
        <v>1</v>
      </c>
      <c r="G51" s="18" t="s">
        <v>29</v>
      </c>
      <c r="H51" s="242"/>
      <c r="I51" s="242">
        <v>5.0000000000000001E-3</v>
      </c>
      <c r="J51" s="242">
        <f t="shared" si="2"/>
        <v>5.0000000000000001E-3</v>
      </c>
    </row>
    <row r="52" spans="1:13">
      <c r="A52" s="236">
        <v>40</v>
      </c>
      <c r="B52" s="20"/>
      <c r="C52" s="245" t="s">
        <v>83</v>
      </c>
      <c r="D52" s="821" t="s">
        <v>84</v>
      </c>
      <c r="E52" s="822"/>
      <c r="F52" s="245">
        <v>1</v>
      </c>
      <c r="G52" s="245" t="s">
        <v>44</v>
      </c>
      <c r="H52" s="245"/>
      <c r="I52" s="245">
        <v>3.0000000000000001E-3</v>
      </c>
      <c r="J52" s="242">
        <f t="shared" si="2"/>
        <v>3.0000000000000001E-3</v>
      </c>
    </row>
    <row r="53" spans="1:13">
      <c r="A53" s="236">
        <v>41</v>
      </c>
      <c r="B53" s="20"/>
      <c r="C53" s="18" t="s">
        <v>81</v>
      </c>
      <c r="D53" s="819" t="s">
        <v>82</v>
      </c>
      <c r="E53" s="820"/>
      <c r="F53" s="18">
        <v>1</v>
      </c>
      <c r="G53" s="18" t="s">
        <v>29</v>
      </c>
      <c r="H53" s="242"/>
      <c r="I53" s="242">
        <v>1.2999999999999999E-2</v>
      </c>
      <c r="J53" s="242">
        <f t="shared" si="2"/>
        <v>1.2999999999999999E-2</v>
      </c>
      <c r="K53" s="21" t="s">
        <v>96</v>
      </c>
    </row>
    <row r="54" spans="1:13">
      <c r="A54" s="236">
        <v>42</v>
      </c>
      <c r="B54" s="20"/>
      <c r="C54" s="18" t="s">
        <v>309</v>
      </c>
      <c r="D54" s="819"/>
      <c r="E54" s="820"/>
      <c r="F54" s="18">
        <v>1</v>
      </c>
      <c r="G54" s="18" t="s">
        <v>29</v>
      </c>
      <c r="H54" s="242"/>
      <c r="I54" s="242">
        <v>1E-3</v>
      </c>
      <c r="J54" s="242">
        <f t="shared" si="2"/>
        <v>1E-3</v>
      </c>
      <c r="K54" s="21" t="s">
        <v>611</v>
      </c>
    </row>
    <row r="55" spans="1:13">
      <c r="A55" s="236">
        <v>43</v>
      </c>
      <c r="B55" s="20"/>
      <c r="C55" s="18" t="s">
        <v>132</v>
      </c>
      <c r="D55" s="819" t="s">
        <v>86</v>
      </c>
      <c r="E55" s="820"/>
      <c r="F55" s="18">
        <v>1</v>
      </c>
      <c r="G55" s="18" t="s">
        <v>29</v>
      </c>
      <c r="H55" s="242"/>
      <c r="I55" s="242">
        <v>5.0000000000000001E-3</v>
      </c>
      <c r="J55" s="242">
        <f t="shared" si="2"/>
        <v>5.0000000000000001E-3</v>
      </c>
    </row>
    <row r="56" spans="1:13" ht="31.5">
      <c r="A56" s="236">
        <v>44</v>
      </c>
      <c r="B56" s="20"/>
      <c r="C56" s="18" t="s">
        <v>89</v>
      </c>
      <c r="D56" s="819" t="s">
        <v>90</v>
      </c>
      <c r="E56" s="820"/>
      <c r="F56" s="18">
        <v>1</v>
      </c>
      <c r="G56" s="18" t="s">
        <v>29</v>
      </c>
      <c r="H56" s="242"/>
      <c r="I56" s="242">
        <v>0.02</v>
      </c>
      <c r="J56" s="242">
        <v>0.02</v>
      </c>
      <c r="K56" s="21" t="s">
        <v>497</v>
      </c>
    </row>
    <row r="57" spans="1:13">
      <c r="A57" s="236">
        <v>45</v>
      </c>
      <c r="B57" s="20"/>
      <c r="C57" s="18" t="s">
        <v>91</v>
      </c>
      <c r="D57" s="819" t="s">
        <v>92</v>
      </c>
      <c r="E57" s="820"/>
      <c r="F57" s="18">
        <v>1</v>
      </c>
      <c r="G57" s="18" t="s">
        <v>44</v>
      </c>
      <c r="H57" s="242"/>
      <c r="I57" s="242">
        <v>0.11</v>
      </c>
      <c r="J57" s="242">
        <f t="shared" ref="J57:J62" si="3">I57*F57</f>
        <v>0.11</v>
      </c>
      <c r="K57" s="21" t="s">
        <v>637</v>
      </c>
    </row>
    <row r="58" spans="1:13">
      <c r="A58" s="236">
        <v>46</v>
      </c>
      <c r="B58" s="20"/>
      <c r="C58" s="18" t="s">
        <v>93</v>
      </c>
      <c r="D58" s="819" t="s">
        <v>92</v>
      </c>
      <c r="E58" s="820"/>
      <c r="F58" s="18">
        <v>1</v>
      </c>
      <c r="G58" s="18" t="s">
        <v>44</v>
      </c>
      <c r="H58" s="242"/>
      <c r="I58" s="242">
        <v>1E-3</v>
      </c>
      <c r="J58" s="242">
        <f t="shared" si="3"/>
        <v>1E-3</v>
      </c>
      <c r="K58" s="21"/>
    </row>
    <row r="59" spans="1:13">
      <c r="A59" s="236">
        <v>47</v>
      </c>
      <c r="B59" s="20"/>
      <c r="C59" s="18" t="s">
        <v>133</v>
      </c>
      <c r="D59" s="819"/>
      <c r="E59" s="820"/>
      <c r="F59" s="18">
        <v>1</v>
      </c>
      <c r="G59" s="245" t="s">
        <v>67</v>
      </c>
      <c r="H59" s="242"/>
      <c r="I59" s="242">
        <v>0.02</v>
      </c>
      <c r="J59" s="242">
        <f t="shared" si="3"/>
        <v>0.02</v>
      </c>
      <c r="K59" s="21" t="s">
        <v>638</v>
      </c>
    </row>
    <row r="60" spans="1:13">
      <c r="A60" s="236">
        <v>48</v>
      </c>
      <c r="B60" s="20"/>
      <c r="C60" s="18" t="s">
        <v>97</v>
      </c>
      <c r="D60" s="819" t="s">
        <v>98</v>
      </c>
      <c r="E60" s="820"/>
      <c r="F60" s="18">
        <v>1</v>
      </c>
      <c r="G60" s="18" t="s">
        <v>44</v>
      </c>
      <c r="H60" s="242"/>
      <c r="I60" s="242">
        <v>4.0000000000000001E-3</v>
      </c>
      <c r="J60" s="242">
        <f t="shared" si="3"/>
        <v>4.0000000000000001E-3</v>
      </c>
      <c r="K60" s="21"/>
      <c r="L60" s="22"/>
      <c r="M60" s="22"/>
    </row>
    <row r="61" spans="1:13">
      <c r="A61" s="236">
        <v>49</v>
      </c>
      <c r="B61" s="23"/>
      <c r="C61" s="18" t="s">
        <v>99</v>
      </c>
      <c r="D61" s="823" t="s">
        <v>100</v>
      </c>
      <c r="E61" s="824"/>
      <c r="F61" s="18">
        <v>1</v>
      </c>
      <c r="G61" s="18" t="s">
        <v>44</v>
      </c>
      <c r="H61" s="242"/>
      <c r="I61" s="242">
        <v>1E-3</v>
      </c>
      <c r="J61" s="242">
        <f t="shared" si="3"/>
        <v>1E-3</v>
      </c>
      <c r="K61" s="21" t="s">
        <v>639</v>
      </c>
      <c r="L61" s="22"/>
      <c r="M61" s="22"/>
    </row>
    <row r="62" spans="1:13" s="24" customFormat="1">
      <c r="A62" s="236">
        <v>50</v>
      </c>
      <c r="B62" s="23"/>
      <c r="C62" s="34" t="s">
        <v>121</v>
      </c>
      <c r="D62" s="821" t="s">
        <v>122</v>
      </c>
      <c r="E62" s="822"/>
      <c r="F62" s="34">
        <v>1</v>
      </c>
      <c r="G62" s="35" t="s">
        <v>123</v>
      </c>
      <c r="H62" s="242"/>
      <c r="I62" s="242">
        <v>1E-3</v>
      </c>
      <c r="J62" s="242">
        <f t="shared" si="3"/>
        <v>1E-3</v>
      </c>
      <c r="K62" s="21"/>
      <c r="L62" s="22"/>
      <c r="M62" s="22"/>
    </row>
    <row r="63" spans="1:13" s="24" customFormat="1" ht="16.5" thickBot="1">
      <c r="A63" s="236">
        <v>51</v>
      </c>
      <c r="B63" s="23"/>
      <c r="C63" s="245" t="s">
        <v>101</v>
      </c>
      <c r="D63" s="847" t="s">
        <v>102</v>
      </c>
      <c r="E63" s="848"/>
      <c r="F63" s="18">
        <v>1</v>
      </c>
      <c r="G63" s="18" t="s">
        <v>44</v>
      </c>
      <c r="H63" s="242"/>
      <c r="I63" s="242">
        <v>3.0000000000000001E-3</v>
      </c>
      <c r="J63" s="242">
        <v>3.0000000000000001E-3</v>
      </c>
      <c r="K63" s="21" t="s">
        <v>640</v>
      </c>
      <c r="L63" s="22"/>
      <c r="M63" s="22"/>
    </row>
    <row r="64" spans="1:13">
      <c r="A64" s="236">
        <v>52</v>
      </c>
      <c r="B64" s="23"/>
      <c r="C64" s="240" t="s">
        <v>104</v>
      </c>
      <c r="D64" s="851" t="s">
        <v>105</v>
      </c>
      <c r="E64" s="852"/>
      <c r="F64" s="235">
        <v>1</v>
      </c>
      <c r="G64" s="240" t="s">
        <v>106</v>
      </c>
      <c r="H64" s="240"/>
      <c r="I64" s="235">
        <v>1.2999999999999999E-2</v>
      </c>
      <c r="J64" s="246">
        <f>I64*F64</f>
        <v>1.2999999999999999E-2</v>
      </c>
      <c r="K64" s="21"/>
      <c r="L64" s="22"/>
      <c r="M64" s="22"/>
    </row>
    <row r="65" spans="1:13">
      <c r="A65" s="236">
        <v>53</v>
      </c>
      <c r="B65" s="20"/>
      <c r="C65" s="243" t="s">
        <v>107</v>
      </c>
      <c r="D65" s="846" t="s">
        <v>108</v>
      </c>
      <c r="E65" s="846"/>
      <c r="F65" s="244">
        <v>1</v>
      </c>
      <c r="G65" s="244" t="s">
        <v>44</v>
      </c>
      <c r="H65" s="244"/>
      <c r="I65" s="244">
        <v>1E-3</v>
      </c>
      <c r="J65" s="244">
        <v>1E-3</v>
      </c>
      <c r="K65" s="21" t="s">
        <v>103</v>
      </c>
      <c r="L65" s="22"/>
      <c r="M65" s="22"/>
    </row>
    <row r="66" spans="1:13">
      <c r="A66" s="236">
        <v>54</v>
      </c>
      <c r="B66" s="15"/>
      <c r="C66" s="245" t="s">
        <v>87</v>
      </c>
      <c r="D66" s="821" t="s">
        <v>88</v>
      </c>
      <c r="E66" s="822"/>
      <c r="F66" s="245">
        <v>1</v>
      </c>
      <c r="G66" s="245" t="s">
        <v>29</v>
      </c>
      <c r="H66" s="8"/>
      <c r="I66" s="245">
        <v>5.0000000000000001E-3</v>
      </c>
      <c r="J66" s="28">
        <f>I66*F66</f>
        <v>5.0000000000000001E-3</v>
      </c>
      <c r="K66" s="21" t="s">
        <v>641</v>
      </c>
    </row>
    <row r="78" spans="1:13">
      <c r="F78" s="5"/>
      <c r="G78" s="5"/>
      <c r="H78" s="5"/>
      <c r="I78" s="5"/>
    </row>
    <row r="79" spans="1:13">
      <c r="F79" s="5"/>
      <c r="G79" s="5"/>
      <c r="H79" s="5"/>
      <c r="I79" s="5"/>
      <c r="K79" s="22"/>
      <c r="L79" s="22"/>
      <c r="M79" s="22"/>
    </row>
    <row r="80" spans="1:13">
      <c r="F80" s="5"/>
      <c r="G80" s="5"/>
      <c r="H80" s="5"/>
      <c r="I80" s="5"/>
      <c r="K80" s="22"/>
      <c r="L80" s="22"/>
      <c r="M80" s="22"/>
    </row>
    <row r="81" spans="10:13" s="5" customFormat="1">
      <c r="J81" s="26"/>
      <c r="K81" s="22"/>
      <c r="L81" s="22"/>
      <c r="M81" s="22"/>
    </row>
    <row r="82" spans="10:13" s="5" customFormat="1">
      <c r="J82" s="26"/>
      <c r="K82" s="22"/>
      <c r="L82" s="22"/>
      <c r="M82" s="22"/>
    </row>
    <row r="83" spans="10:13" s="5" customFormat="1">
      <c r="J83" s="26"/>
      <c r="K83" s="22"/>
      <c r="L83" s="22"/>
      <c r="M83" s="22"/>
    </row>
    <row r="84" spans="10:13" s="5" customFormat="1">
      <c r="J84" s="26"/>
      <c r="K84" s="22"/>
      <c r="L84" s="22"/>
      <c r="M84" s="22"/>
    </row>
    <row r="85" spans="10:13" s="5" customFormat="1">
      <c r="J85" s="26"/>
      <c r="K85" s="22"/>
      <c r="L85" s="22"/>
      <c r="M85" s="22"/>
    </row>
  </sheetData>
  <mergeCells count="47">
    <mergeCell ref="D55:E55"/>
    <mergeCell ref="D56:E56"/>
    <mergeCell ref="D57:E57"/>
    <mergeCell ref="D65:E65"/>
    <mergeCell ref="D66:E66"/>
    <mergeCell ref="D58:E58"/>
    <mergeCell ref="D59:E59"/>
    <mergeCell ref="D60:E60"/>
    <mergeCell ref="D62:E62"/>
    <mergeCell ref="D63:E63"/>
    <mergeCell ref="D64:E64"/>
    <mergeCell ref="D61:E61"/>
    <mergeCell ref="D41:E41"/>
    <mergeCell ref="D44:E44"/>
    <mergeCell ref="D45:E45"/>
    <mergeCell ref="D53:E53"/>
    <mergeCell ref="D54:E54"/>
    <mergeCell ref="D42:E42"/>
    <mergeCell ref="D43:E43"/>
    <mergeCell ref="D46:E46"/>
    <mergeCell ref="D47:E47"/>
    <mergeCell ref="D48:E48"/>
    <mergeCell ref="D49:E49"/>
    <mergeCell ref="D50:E50"/>
    <mergeCell ref="D51:E51"/>
    <mergeCell ref="D52:E52"/>
    <mergeCell ref="A18:J18"/>
    <mergeCell ref="D23:E23"/>
    <mergeCell ref="D31:E31"/>
    <mergeCell ref="D33:E33"/>
    <mergeCell ref="A34:J34"/>
    <mergeCell ref="D24:D25"/>
    <mergeCell ref="E24:E25"/>
    <mergeCell ref="D29:E29"/>
    <mergeCell ref="D5:D6"/>
    <mergeCell ref="E5:E6"/>
    <mergeCell ref="J5:J6"/>
    <mergeCell ref="A10:J10"/>
    <mergeCell ref="A1:J2"/>
    <mergeCell ref="A3:A4"/>
    <mergeCell ref="B3:B4"/>
    <mergeCell ref="C3:C4"/>
    <mergeCell ref="D3:E4"/>
    <mergeCell ref="F3:F4"/>
    <mergeCell ref="G3:G4"/>
    <mergeCell ref="H3:H4"/>
    <mergeCell ref="I3:J3"/>
  </mergeCells>
  <pageMargins left="3.937007874015748E-2" right="3.937007874015748E-2" top="0.19685039370078741" bottom="0" header="0.11811023622047244" footer="0.1181102362204724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1"/>
  <sheetViews>
    <sheetView topLeftCell="A7" workbookViewId="0">
      <selection activeCell="E14" sqref="E14:E16"/>
    </sheetView>
  </sheetViews>
  <sheetFormatPr defaultRowHeight="15"/>
  <cols>
    <col min="1" max="1" width="8.42578125" customWidth="1"/>
    <col min="2" max="2" width="31.140625" customWidth="1"/>
    <col min="3" max="3" width="22.28515625" customWidth="1"/>
    <col min="4" max="4" width="21" customWidth="1"/>
    <col min="5" max="5" width="18" customWidth="1"/>
    <col min="6" max="6" width="19.140625" customWidth="1"/>
    <col min="7" max="7" width="8.42578125" customWidth="1"/>
    <col min="8" max="8" width="31.140625" customWidth="1"/>
    <col min="9" max="9" width="22.28515625" customWidth="1"/>
    <col min="10" max="10" width="21" customWidth="1"/>
    <col min="11" max="11" width="18" customWidth="1"/>
    <col min="12" max="14" width="19.140625" customWidth="1"/>
  </cols>
  <sheetData>
    <row r="2" spans="1:11" ht="16.5" thickBot="1">
      <c r="B2" s="454" t="s">
        <v>1482</v>
      </c>
      <c r="I2" s="455" t="s">
        <v>1483</v>
      </c>
    </row>
    <row r="3" spans="1:11" ht="35.25" thickBot="1">
      <c r="A3" s="456" t="s">
        <v>17</v>
      </c>
      <c r="B3" s="457" t="s">
        <v>1484</v>
      </c>
      <c r="C3" s="457" t="s">
        <v>1485</v>
      </c>
      <c r="D3" s="457" t="s">
        <v>1486</v>
      </c>
      <c r="E3" s="457" t="s">
        <v>1487</v>
      </c>
      <c r="G3" s="456" t="s">
        <v>17</v>
      </c>
      <c r="H3" s="457" t="s">
        <v>1484</v>
      </c>
      <c r="I3" s="457" t="s">
        <v>1485</v>
      </c>
      <c r="J3" s="458" t="s">
        <v>1488</v>
      </c>
      <c r="K3" s="457" t="s">
        <v>1487</v>
      </c>
    </row>
    <row r="4" spans="1:11" ht="16.5" thickBot="1">
      <c r="A4" s="459" t="s">
        <v>1489</v>
      </c>
      <c r="B4" s="460" t="s">
        <v>1490</v>
      </c>
      <c r="C4" s="460" t="s">
        <v>642</v>
      </c>
      <c r="D4" s="383">
        <v>0.3</v>
      </c>
      <c r="E4" s="383">
        <v>81</v>
      </c>
      <c r="G4" s="461" t="s">
        <v>1491</v>
      </c>
      <c r="H4" s="460" t="s">
        <v>901</v>
      </c>
      <c r="I4" s="460" t="s">
        <v>138</v>
      </c>
      <c r="J4" s="383">
        <v>2.8000000000000001E-2</v>
      </c>
      <c r="K4" s="383">
        <v>3.06</v>
      </c>
    </row>
    <row r="5" spans="1:11" ht="16.5" thickBot="1">
      <c r="A5" s="459" t="s">
        <v>1492</v>
      </c>
      <c r="B5" s="460" t="s">
        <v>1493</v>
      </c>
      <c r="C5" s="460" t="s">
        <v>644</v>
      </c>
      <c r="D5" s="383">
        <v>0.37</v>
      </c>
      <c r="E5" s="383">
        <v>99.9</v>
      </c>
      <c r="G5" s="461" t="s">
        <v>1494</v>
      </c>
      <c r="H5" s="460" t="s">
        <v>845</v>
      </c>
      <c r="I5" s="460" t="s">
        <v>1107</v>
      </c>
      <c r="J5" s="383">
        <v>4.7000000000000002E-3</v>
      </c>
      <c r="K5" s="383">
        <v>0.68</v>
      </c>
    </row>
    <row r="6" spans="1:11" ht="16.5" thickBot="1">
      <c r="A6" s="459">
        <v>3</v>
      </c>
      <c r="B6" s="460" t="s">
        <v>1495</v>
      </c>
      <c r="C6" s="460" t="s">
        <v>624</v>
      </c>
      <c r="D6" s="383">
        <v>0.4</v>
      </c>
      <c r="E6" s="383">
        <v>108</v>
      </c>
      <c r="G6" s="461" t="s">
        <v>1496</v>
      </c>
      <c r="H6" s="460" t="s">
        <v>872</v>
      </c>
      <c r="I6" s="460" t="s">
        <v>1497</v>
      </c>
      <c r="J6" s="383">
        <v>0.14899999999999999</v>
      </c>
      <c r="K6" s="383">
        <v>12.33</v>
      </c>
    </row>
    <row r="7" spans="1:11" ht="16.5" thickBot="1">
      <c r="A7" s="459">
        <v>4</v>
      </c>
      <c r="B7" s="460" t="s">
        <v>1498</v>
      </c>
      <c r="C7" s="460" t="s">
        <v>645</v>
      </c>
      <c r="D7" s="383">
        <v>0.45</v>
      </c>
      <c r="E7" s="383">
        <v>121.5</v>
      </c>
      <c r="G7" s="461" t="s">
        <v>1499</v>
      </c>
      <c r="H7" s="460" t="s">
        <v>896</v>
      </c>
      <c r="I7" s="460" t="s">
        <v>897</v>
      </c>
      <c r="J7" s="383">
        <v>1.2999999999999999E-2</v>
      </c>
      <c r="K7" s="383">
        <v>1.89</v>
      </c>
    </row>
    <row r="8" spans="1:11" ht="16.5" thickBot="1">
      <c r="A8" s="459">
        <v>5</v>
      </c>
      <c r="B8" s="460" t="s">
        <v>1500</v>
      </c>
      <c r="C8" s="460" t="s">
        <v>1111</v>
      </c>
      <c r="D8" s="383">
        <v>1.7000000000000001E-2</v>
      </c>
      <c r="E8" s="383">
        <v>10</v>
      </c>
      <c r="G8" s="461" t="s">
        <v>1501</v>
      </c>
      <c r="H8" s="460" t="s">
        <v>836</v>
      </c>
      <c r="I8" s="460" t="s">
        <v>1502</v>
      </c>
      <c r="J8" s="383">
        <v>1.7000000000000001E-2</v>
      </c>
      <c r="K8" s="383">
        <v>1.35</v>
      </c>
    </row>
    <row r="9" spans="1:11" ht="16.5" thickBot="1">
      <c r="A9" s="459">
        <v>6</v>
      </c>
      <c r="B9" s="460" t="s">
        <v>849</v>
      </c>
      <c r="C9" s="460" t="s">
        <v>850</v>
      </c>
      <c r="D9" s="383">
        <v>8.9999999999999993E-3</v>
      </c>
      <c r="E9" s="383">
        <v>10</v>
      </c>
      <c r="G9" s="461" t="s">
        <v>1503</v>
      </c>
      <c r="H9" s="460" t="s">
        <v>830</v>
      </c>
      <c r="I9" s="460" t="s">
        <v>5</v>
      </c>
      <c r="J9" s="383">
        <v>6.0000000000000001E-3</v>
      </c>
      <c r="K9" s="383">
        <v>0.72</v>
      </c>
    </row>
    <row r="10" spans="1:11" ht="16.5" thickBot="1">
      <c r="A10" s="459">
        <v>7</v>
      </c>
      <c r="B10" s="460" t="s">
        <v>891</v>
      </c>
      <c r="C10" s="460" t="s">
        <v>892</v>
      </c>
      <c r="D10" s="383">
        <v>7.0000000000000001E-3</v>
      </c>
      <c r="E10" s="383">
        <v>8</v>
      </c>
    </row>
    <row r="11" spans="1:11" ht="32.25" thickBot="1">
      <c r="A11" s="459">
        <v>8</v>
      </c>
      <c r="B11" s="460" t="s">
        <v>1504</v>
      </c>
      <c r="C11" s="460" t="s">
        <v>9</v>
      </c>
      <c r="D11" s="383">
        <v>8.9999999999999993E-3</v>
      </c>
      <c r="E11" s="383">
        <v>10</v>
      </c>
    </row>
    <row r="12" spans="1:11" ht="16.5" thickBot="1">
      <c r="A12" s="459">
        <v>9</v>
      </c>
      <c r="B12" s="460" t="s">
        <v>826</v>
      </c>
      <c r="C12" s="460" t="s">
        <v>827</v>
      </c>
      <c r="D12" s="383">
        <v>5.0000000000000001E-3</v>
      </c>
      <c r="E12" s="383">
        <v>10</v>
      </c>
    </row>
    <row r="13" spans="1:11">
      <c r="B13" s="360" t="s">
        <v>16</v>
      </c>
    </row>
    <row r="14" spans="1:11" ht="15.75">
      <c r="C14" s="627" t="s">
        <v>1505</v>
      </c>
      <c r="D14" s="628"/>
      <c r="E14" s="462">
        <f>E4+SUM(E8:E12)</f>
        <v>129</v>
      </c>
      <c r="I14" s="627" t="s">
        <v>1505</v>
      </c>
      <c r="J14" s="628"/>
      <c r="K14" s="462">
        <f>K4+2*K5+K6+K7+K8+K9</f>
        <v>20.71</v>
      </c>
    </row>
    <row r="15" spans="1:11" ht="15.75">
      <c r="C15" s="627" t="s">
        <v>1506</v>
      </c>
      <c r="D15" s="628"/>
      <c r="E15" s="462">
        <f>E5+SUM(E8:E12)</f>
        <v>147.9</v>
      </c>
      <c r="I15" s="627" t="s">
        <v>1506</v>
      </c>
      <c r="J15" s="628"/>
      <c r="K15" s="462">
        <f>K4+2*K5+K6+K7+K8+K9</f>
        <v>20.71</v>
      </c>
    </row>
    <row r="16" spans="1:11" ht="15.75">
      <c r="C16" s="627" t="s">
        <v>1507</v>
      </c>
      <c r="D16" s="628"/>
      <c r="E16" s="462">
        <f>E6+SUM(E8:E12)</f>
        <v>156</v>
      </c>
      <c r="I16" s="627" t="s">
        <v>1507</v>
      </c>
      <c r="J16" s="628"/>
      <c r="K16" s="462">
        <f>K4+2*K5+K6+K7+K8+K9</f>
        <v>20.71</v>
      </c>
    </row>
    <row r="17" spans="1:11" ht="15.75">
      <c r="C17" s="627" t="s">
        <v>1508</v>
      </c>
      <c r="D17" s="628"/>
      <c r="E17" s="462">
        <f>E7+SUM(E8:E12)</f>
        <v>169.5</v>
      </c>
      <c r="I17" s="627" t="s">
        <v>1508</v>
      </c>
      <c r="J17" s="628"/>
      <c r="K17" s="462">
        <f>K4+2*K5+K6+K7+K8+K9</f>
        <v>20.71</v>
      </c>
    </row>
    <row r="18" spans="1:11" ht="16.5" thickBot="1">
      <c r="B18" s="455" t="s">
        <v>1509</v>
      </c>
      <c r="I18" s="455" t="s">
        <v>1510</v>
      </c>
    </row>
    <row r="19" spans="1:11" ht="17.25" thickBot="1">
      <c r="A19" s="456" t="s">
        <v>17</v>
      </c>
      <c r="B19" s="457" t="s">
        <v>1484</v>
      </c>
      <c r="C19" s="457" t="s">
        <v>1485</v>
      </c>
      <c r="D19" s="458" t="s">
        <v>1511</v>
      </c>
      <c r="E19" s="458" t="s">
        <v>1512</v>
      </c>
      <c r="G19" s="456" t="s">
        <v>17</v>
      </c>
      <c r="H19" s="457" t="s">
        <v>1484</v>
      </c>
      <c r="I19" s="457" t="s">
        <v>1485</v>
      </c>
      <c r="J19" s="458" t="s">
        <v>1488</v>
      </c>
      <c r="K19" s="457" t="s">
        <v>1487</v>
      </c>
    </row>
    <row r="20" spans="1:11" ht="16.5" thickBot="1">
      <c r="A20" s="459" t="s">
        <v>1489</v>
      </c>
      <c r="B20" s="460" t="s">
        <v>1513</v>
      </c>
      <c r="C20" s="460" t="s">
        <v>1514</v>
      </c>
      <c r="D20" s="383">
        <v>0.13</v>
      </c>
      <c r="E20" s="383">
        <v>35.1</v>
      </c>
      <c r="G20" s="459" t="s">
        <v>1489</v>
      </c>
      <c r="H20" s="460" t="s">
        <v>664</v>
      </c>
      <c r="I20" s="460" t="s">
        <v>1515</v>
      </c>
      <c r="J20" s="383">
        <v>8.8999999999999999E-3</v>
      </c>
      <c r="K20" s="383">
        <v>2.52</v>
      </c>
    </row>
    <row r="21" spans="1:11" ht="16.5" thickBot="1">
      <c r="A21" s="459" t="s">
        <v>1492</v>
      </c>
      <c r="B21" s="460" t="s">
        <v>1516</v>
      </c>
      <c r="C21" s="460" t="s">
        <v>1517</v>
      </c>
      <c r="D21" s="383">
        <v>0.19</v>
      </c>
      <c r="E21" s="383">
        <v>51.3</v>
      </c>
      <c r="G21" s="459" t="s">
        <v>1492</v>
      </c>
      <c r="H21" s="460" t="s">
        <v>654</v>
      </c>
      <c r="I21" s="460" t="s">
        <v>4</v>
      </c>
      <c r="J21" s="383">
        <v>8.6999999999999994E-3</v>
      </c>
      <c r="K21" s="383">
        <v>1.62</v>
      </c>
    </row>
    <row r="22" spans="1:11" ht="16.5" thickBot="1">
      <c r="A22" s="459" t="s">
        <v>1518</v>
      </c>
      <c r="B22" s="460" t="s">
        <v>1519</v>
      </c>
      <c r="C22" s="460" t="s">
        <v>1520</v>
      </c>
      <c r="D22" s="383">
        <v>0.24</v>
      </c>
      <c r="E22" s="383">
        <v>64.8</v>
      </c>
    </row>
    <row r="23" spans="1:11" ht="16.5" thickBot="1">
      <c r="A23" s="459" t="s">
        <v>1521</v>
      </c>
      <c r="B23" s="460" t="s">
        <v>1522</v>
      </c>
      <c r="C23" s="460" t="s">
        <v>1523</v>
      </c>
      <c r="D23" s="383">
        <v>0.28999999999999998</v>
      </c>
      <c r="E23" s="383">
        <v>78.3</v>
      </c>
    </row>
    <row r="24" spans="1:11" ht="16.5" thickBot="1">
      <c r="A24" s="459" t="s">
        <v>1524</v>
      </c>
      <c r="B24" s="460" t="s">
        <v>1525</v>
      </c>
      <c r="C24" s="460" t="s">
        <v>1526</v>
      </c>
      <c r="D24" s="383">
        <v>1.2999999999999999E-2</v>
      </c>
      <c r="E24" s="383">
        <v>10</v>
      </c>
    </row>
    <row r="25" spans="1:11" ht="16.5" thickBot="1">
      <c r="A25" s="459" t="s">
        <v>1527</v>
      </c>
      <c r="B25" s="460" t="s">
        <v>1528</v>
      </c>
      <c r="C25" s="460" t="s">
        <v>1529</v>
      </c>
      <c r="D25" s="383">
        <v>1.4999999999999999E-2</v>
      </c>
      <c r="E25" s="383">
        <v>12</v>
      </c>
    </row>
    <row r="26" spans="1:11" ht="16.5" thickBot="1">
      <c r="A26" s="459" t="s">
        <v>1530</v>
      </c>
      <c r="B26" s="460" t="s">
        <v>1531</v>
      </c>
      <c r="C26" s="460" t="s">
        <v>1532</v>
      </c>
      <c r="D26" s="383">
        <v>1.0999999999999999E-2</v>
      </c>
      <c r="E26" s="383">
        <v>12</v>
      </c>
    </row>
    <row r="27" spans="1:11" ht="32.25" thickBot="1">
      <c r="A27" s="459" t="s">
        <v>1533</v>
      </c>
      <c r="B27" s="460" t="s">
        <v>648</v>
      </c>
      <c r="C27" s="460" t="s">
        <v>649</v>
      </c>
      <c r="D27" s="383">
        <v>2.2000000000000001E-3</v>
      </c>
      <c r="E27" s="383">
        <v>6</v>
      </c>
    </row>
    <row r="28" spans="1:11" ht="32.25" thickBot="1">
      <c r="A28" s="459" t="s">
        <v>1534</v>
      </c>
      <c r="B28" s="460" t="s">
        <v>1535</v>
      </c>
      <c r="C28" s="460" t="s">
        <v>112</v>
      </c>
      <c r="D28" s="383">
        <v>5.7000000000000002E-2</v>
      </c>
      <c r="E28" s="383">
        <v>25</v>
      </c>
    </row>
    <row r="29" spans="1:11" ht="32.25" thickBot="1">
      <c r="A29" s="459" t="s">
        <v>1536</v>
      </c>
      <c r="B29" s="460" t="s">
        <v>1537</v>
      </c>
      <c r="C29" s="460" t="s">
        <v>112</v>
      </c>
      <c r="D29" s="383">
        <v>5.7000000000000002E-2</v>
      </c>
      <c r="E29" s="383">
        <v>25</v>
      </c>
    </row>
    <row r="30" spans="1:11" ht="16.5" thickBot="1">
      <c r="A30" s="459" t="s">
        <v>1538</v>
      </c>
      <c r="B30" s="460" t="s">
        <v>1539</v>
      </c>
      <c r="C30" s="460" t="s">
        <v>1540</v>
      </c>
      <c r="D30" s="383">
        <v>0.06</v>
      </c>
      <c r="E30" s="383">
        <v>25</v>
      </c>
    </row>
    <row r="31" spans="1:11" ht="16.5" thickBot="1">
      <c r="A31" s="459" t="s">
        <v>1541</v>
      </c>
      <c r="B31" s="460" t="s">
        <v>655</v>
      </c>
      <c r="C31" s="460" t="s">
        <v>1542</v>
      </c>
      <c r="D31" s="383">
        <v>0.32</v>
      </c>
      <c r="E31" s="383">
        <v>89.6</v>
      </c>
    </row>
    <row r="32" spans="1:11" ht="16.5" thickBot="1">
      <c r="A32" s="459" t="s">
        <v>1543</v>
      </c>
      <c r="B32" s="460" t="s">
        <v>1544</v>
      </c>
      <c r="C32" s="460" t="s">
        <v>1545</v>
      </c>
      <c r="D32" s="383">
        <v>0.23</v>
      </c>
      <c r="E32" s="383">
        <v>64.400000000000006</v>
      </c>
    </row>
    <row r="33" spans="1:17" ht="16.5" thickBot="1">
      <c r="A33" s="459" t="s">
        <v>1546</v>
      </c>
      <c r="B33" s="460" t="s">
        <v>1547</v>
      </c>
      <c r="C33" s="460" t="s">
        <v>1542</v>
      </c>
      <c r="D33" s="383">
        <v>0.26</v>
      </c>
      <c r="E33" s="383">
        <v>72.8</v>
      </c>
    </row>
    <row r="34" spans="1:17">
      <c r="B34" s="360" t="s">
        <v>16</v>
      </c>
    </row>
    <row r="35" spans="1:17" ht="15.75">
      <c r="C35" s="627" t="s">
        <v>1548</v>
      </c>
      <c r="D35" s="628"/>
      <c r="E35" s="462">
        <f>E20+E26+E27</f>
        <v>53.1</v>
      </c>
      <c r="I35" s="627" t="s">
        <v>1548</v>
      </c>
      <c r="J35" s="628"/>
      <c r="K35" s="462">
        <f>K21</f>
        <v>1.62</v>
      </c>
    </row>
    <row r="36" spans="1:17" ht="15.75">
      <c r="C36" s="627" t="s">
        <v>1549</v>
      </c>
      <c r="D36" s="628"/>
      <c r="E36" s="462">
        <f>E21+E24+E25</f>
        <v>73.3</v>
      </c>
      <c r="I36" s="627" t="s">
        <v>1549</v>
      </c>
      <c r="J36" s="628"/>
      <c r="K36" s="462">
        <f>K20+K21</f>
        <v>4.1400000000000006</v>
      </c>
    </row>
    <row r="37" spans="1:17" ht="15.75">
      <c r="C37" s="627" t="s">
        <v>1550</v>
      </c>
      <c r="D37" s="628"/>
      <c r="E37" s="462">
        <f>E22+E24+E25</f>
        <v>86.8</v>
      </c>
      <c r="I37" s="627" t="s">
        <v>1550</v>
      </c>
      <c r="J37" s="628"/>
      <c r="K37" s="462">
        <f>K20+K21</f>
        <v>4.1400000000000006</v>
      </c>
    </row>
    <row r="38" spans="1:17" ht="15.75">
      <c r="C38" s="627" t="s">
        <v>1551</v>
      </c>
      <c r="D38" s="628"/>
      <c r="E38" s="462">
        <f>E22+E24+E26</f>
        <v>86.8</v>
      </c>
      <c r="I38" s="627" t="s">
        <v>1551</v>
      </c>
      <c r="J38" s="628"/>
      <c r="K38" s="462">
        <f>K21</f>
        <v>1.62</v>
      </c>
    </row>
    <row r="39" spans="1:17" ht="15.75">
      <c r="C39" s="627" t="s">
        <v>1552</v>
      </c>
      <c r="D39" s="628"/>
      <c r="E39" s="462">
        <f>E23+E24+E26</f>
        <v>100.3</v>
      </c>
      <c r="I39" s="627" t="s">
        <v>1552</v>
      </c>
      <c r="J39" s="628"/>
      <c r="K39" s="462">
        <f>K21</f>
        <v>1.62</v>
      </c>
    </row>
    <row r="40" spans="1:17" ht="16.5" thickBot="1">
      <c r="B40" s="455" t="s">
        <v>1553</v>
      </c>
      <c r="I40" s="455" t="s">
        <v>1554</v>
      </c>
      <c r="M40" s="455" t="s">
        <v>1555</v>
      </c>
    </row>
    <row r="41" spans="1:17" ht="48" thickBot="1">
      <c r="A41" s="456" t="s">
        <v>17</v>
      </c>
      <c r="B41" s="457" t="s">
        <v>1484</v>
      </c>
      <c r="C41" s="457" t="s">
        <v>1485</v>
      </c>
      <c r="D41" s="457" t="s">
        <v>1486</v>
      </c>
      <c r="E41" s="457" t="s">
        <v>1556</v>
      </c>
      <c r="G41" s="456" t="s">
        <v>17</v>
      </c>
      <c r="H41" s="457" t="s">
        <v>1484</v>
      </c>
      <c r="I41" s="457" t="s">
        <v>1485</v>
      </c>
      <c r="J41" s="458" t="s">
        <v>1488</v>
      </c>
      <c r="K41" s="457" t="s">
        <v>1487</v>
      </c>
      <c r="M41" s="456" t="s">
        <v>17</v>
      </c>
      <c r="N41" s="457" t="s">
        <v>1484</v>
      </c>
      <c r="O41" s="457" t="s">
        <v>1557</v>
      </c>
      <c r="P41" s="458" t="s">
        <v>1488</v>
      </c>
      <c r="Q41" s="457" t="s">
        <v>1487</v>
      </c>
    </row>
    <row r="42" spans="1:17" ht="32.25" thickBot="1">
      <c r="A42" s="459" t="s">
        <v>1489</v>
      </c>
      <c r="B42" s="460" t="s">
        <v>1123</v>
      </c>
      <c r="C42" s="460" t="s">
        <v>1558</v>
      </c>
      <c r="D42" s="383">
        <v>3.5999999999999997E-2</v>
      </c>
      <c r="E42" s="383"/>
      <c r="G42" s="459" t="s">
        <v>1489</v>
      </c>
      <c r="H42" s="463" t="s">
        <v>1041</v>
      </c>
      <c r="I42" s="460" t="s">
        <v>1559</v>
      </c>
      <c r="J42" s="383">
        <v>0.41899999999999998</v>
      </c>
      <c r="K42" s="383">
        <v>11.61</v>
      </c>
      <c r="M42" s="459">
        <v>1</v>
      </c>
      <c r="N42" s="463" t="s">
        <v>1043</v>
      </c>
      <c r="O42" s="460" t="s">
        <v>1560</v>
      </c>
      <c r="P42" s="383">
        <v>1.4999999999999999E-2</v>
      </c>
      <c r="Q42" s="383"/>
    </row>
    <row r="43" spans="1:17" ht="16.5" thickBot="1">
      <c r="A43" s="459" t="s">
        <v>1492</v>
      </c>
      <c r="B43" s="460" t="s">
        <v>1561</v>
      </c>
      <c r="C43" s="460" t="s">
        <v>1558</v>
      </c>
      <c r="D43" s="383">
        <v>3.5999999999999997E-2</v>
      </c>
      <c r="E43" s="383"/>
      <c r="G43" s="459" t="s">
        <v>1492</v>
      </c>
      <c r="H43" s="463" t="s">
        <v>1562</v>
      </c>
      <c r="I43" s="460" t="s">
        <v>1563</v>
      </c>
      <c r="J43" s="383">
        <v>0.02</v>
      </c>
      <c r="K43" s="383">
        <v>0.99</v>
      </c>
    </row>
    <row r="44" spans="1:17" ht="16.5" thickBot="1">
      <c r="A44" s="459" t="s">
        <v>1518</v>
      </c>
      <c r="B44" s="460" t="s">
        <v>1125</v>
      </c>
      <c r="C44" s="460" t="s">
        <v>1564</v>
      </c>
      <c r="D44" s="383">
        <v>0.15</v>
      </c>
      <c r="E44" s="383">
        <v>42</v>
      </c>
      <c r="G44" s="459" t="s">
        <v>1518</v>
      </c>
      <c r="H44" s="463" t="s">
        <v>1047</v>
      </c>
      <c r="I44" s="460" t="s">
        <v>1565</v>
      </c>
      <c r="J44" s="383">
        <v>8.8000000000000005E-3</v>
      </c>
      <c r="K44" s="383">
        <v>3.24</v>
      </c>
    </row>
    <row r="45" spans="1:17" ht="32.25" thickBot="1">
      <c r="A45" s="459" t="s">
        <v>1521</v>
      </c>
      <c r="B45" s="460" t="s">
        <v>1126</v>
      </c>
      <c r="C45" s="460" t="s">
        <v>1127</v>
      </c>
      <c r="D45" s="383">
        <v>4.7999999999999996E-3</v>
      </c>
      <c r="E45" s="383">
        <v>8</v>
      </c>
      <c r="G45" s="459" t="s">
        <v>1521</v>
      </c>
      <c r="H45" s="463" t="s">
        <v>1128</v>
      </c>
      <c r="I45" s="460" t="s">
        <v>1566</v>
      </c>
      <c r="J45" s="383">
        <v>3.5999999999999997E-2</v>
      </c>
      <c r="K45" s="383">
        <v>2.25</v>
      </c>
    </row>
    <row r="46" spans="1:17" ht="16.5" thickBot="1">
      <c r="A46" s="459" t="s">
        <v>1524</v>
      </c>
      <c r="B46" s="460" t="s">
        <v>1567</v>
      </c>
      <c r="C46" s="460" t="s">
        <v>1526</v>
      </c>
      <c r="D46" s="383">
        <v>7.2999999999999995E-2</v>
      </c>
      <c r="E46" s="383">
        <v>30</v>
      </c>
      <c r="G46" s="459" t="s">
        <v>1524</v>
      </c>
      <c r="H46" s="463" t="s">
        <v>1568</v>
      </c>
      <c r="I46" s="460" t="s">
        <v>1050</v>
      </c>
      <c r="J46" s="383">
        <v>1.0800000000000001E-2</v>
      </c>
      <c r="K46" s="383">
        <v>2.7</v>
      </c>
    </row>
    <row r="47" spans="1:17" ht="16.5" thickBot="1">
      <c r="A47" s="459" t="s">
        <v>1527</v>
      </c>
      <c r="B47" s="460" t="s">
        <v>1194</v>
      </c>
      <c r="C47" s="460" t="s">
        <v>1558</v>
      </c>
      <c r="D47" s="383">
        <v>4.5999999999999999E-2</v>
      </c>
      <c r="E47" s="383"/>
      <c r="G47" s="459" t="s">
        <v>1527</v>
      </c>
      <c r="H47" s="463" t="s">
        <v>1569</v>
      </c>
      <c r="I47" s="460" t="s">
        <v>1050</v>
      </c>
      <c r="J47" s="383">
        <v>1.0800000000000001E-2</v>
      </c>
      <c r="K47" s="383">
        <v>3.15</v>
      </c>
    </row>
    <row r="48" spans="1:17" ht="32.25" thickBot="1">
      <c r="A48" s="459" t="s">
        <v>1530</v>
      </c>
      <c r="B48" s="460" t="s">
        <v>1195</v>
      </c>
      <c r="C48" s="460" t="s">
        <v>1564</v>
      </c>
      <c r="D48" s="383">
        <v>0.18</v>
      </c>
      <c r="E48" s="383">
        <v>50.4</v>
      </c>
      <c r="G48" s="459" t="s">
        <v>1530</v>
      </c>
      <c r="H48" s="463" t="s">
        <v>1054</v>
      </c>
      <c r="I48" s="460" t="s">
        <v>1570</v>
      </c>
      <c r="J48" s="383">
        <v>2.4E-2</v>
      </c>
      <c r="K48" s="383">
        <v>4.05</v>
      </c>
    </row>
    <row r="49" spans="1:17" ht="16.5" thickBot="1">
      <c r="A49" s="459" t="s">
        <v>1533</v>
      </c>
      <c r="B49" s="460" t="s">
        <v>1041</v>
      </c>
      <c r="C49" s="460" t="s">
        <v>1559</v>
      </c>
      <c r="D49" s="383">
        <v>8.0000000000000002E-3</v>
      </c>
      <c r="E49" s="383">
        <v>10</v>
      </c>
      <c r="G49" s="459" t="s">
        <v>1533</v>
      </c>
      <c r="H49" s="463" t="s">
        <v>1100</v>
      </c>
      <c r="I49" s="460" t="s">
        <v>1559</v>
      </c>
      <c r="J49" s="383">
        <v>1.0999999999999999E-2</v>
      </c>
      <c r="K49" s="383">
        <v>1.35</v>
      </c>
    </row>
    <row r="50" spans="1:17" ht="16.5" thickBot="1">
      <c r="G50" s="459" t="s">
        <v>1534</v>
      </c>
      <c r="H50" s="463" t="s">
        <v>1102</v>
      </c>
      <c r="I50" s="460" t="s">
        <v>1571</v>
      </c>
      <c r="J50" s="383">
        <v>2.5999999999999999E-3</v>
      </c>
      <c r="K50" s="383">
        <v>0.32</v>
      </c>
    </row>
    <row r="51" spans="1:17" ht="16.5" thickBot="1">
      <c r="G51" s="459" t="s">
        <v>1536</v>
      </c>
      <c r="H51" s="463" t="s">
        <v>1106</v>
      </c>
      <c r="I51" s="460" t="s">
        <v>1572</v>
      </c>
      <c r="J51" s="383"/>
      <c r="K51" s="383">
        <v>1.44</v>
      </c>
    </row>
    <row r="52" spans="1:17" ht="16.5" thickBot="1">
      <c r="G52" s="459" t="s">
        <v>1538</v>
      </c>
      <c r="H52" s="463" t="s">
        <v>1573</v>
      </c>
      <c r="I52" s="460" t="s">
        <v>1093</v>
      </c>
      <c r="J52" s="383">
        <v>8.3000000000000004E-2</v>
      </c>
      <c r="K52" s="383">
        <v>9</v>
      </c>
    </row>
    <row r="53" spans="1:17" ht="16.5" thickBot="1">
      <c r="G53" s="519" t="s">
        <v>1541</v>
      </c>
      <c r="H53" s="521" t="s">
        <v>1254</v>
      </c>
      <c r="I53" s="522" t="s">
        <v>1744</v>
      </c>
      <c r="J53" s="520"/>
      <c r="K53" s="520"/>
    </row>
    <row r="54" spans="1:17" ht="16.5" thickBot="1">
      <c r="G54" s="519" t="s">
        <v>1543</v>
      </c>
      <c r="H54" s="521" t="s">
        <v>1253</v>
      </c>
      <c r="I54" s="522" t="s">
        <v>1743</v>
      </c>
      <c r="J54" s="520"/>
      <c r="K54" s="520"/>
    </row>
    <row r="55" spans="1:17">
      <c r="B55" s="360" t="s">
        <v>16</v>
      </c>
    </row>
    <row r="56" spans="1:17" ht="15.75">
      <c r="C56" s="627" t="s">
        <v>1574</v>
      </c>
      <c r="D56" s="628"/>
      <c r="E56" s="462">
        <f>E42+E44+E49+E45+E46</f>
        <v>90</v>
      </c>
      <c r="I56" s="523" t="s">
        <v>1574</v>
      </c>
      <c r="J56" s="524"/>
      <c r="K56" s="462">
        <f>K42+K43+K44+K45+K46+K48+K49+K50+K51+K52</f>
        <v>36.950000000000003</v>
      </c>
      <c r="O56" s="627" t="s">
        <v>1574</v>
      </c>
      <c r="P56" s="628"/>
      <c r="Q56" s="462">
        <f>Q42</f>
        <v>0</v>
      </c>
    </row>
    <row r="57" spans="1:17" ht="15.75">
      <c r="C57" s="517" t="s">
        <v>1575</v>
      </c>
      <c r="D57" s="518"/>
      <c r="E57" s="462">
        <f>E47+E48+E49</f>
        <v>60.4</v>
      </c>
      <c r="I57" s="523" t="s">
        <v>1575</v>
      </c>
      <c r="J57" s="523"/>
      <c r="K57" s="462">
        <f>K42+K43+K44+K45+K47+K48+K49+K50+K51+K52</f>
        <v>37.400000000000006</v>
      </c>
      <c r="O57" s="517" t="s">
        <v>1575</v>
      </c>
      <c r="P57" s="518"/>
      <c r="Q57" s="462">
        <f>Q42</f>
        <v>0</v>
      </c>
    </row>
    <row r="58" spans="1:17" ht="16.5" thickBot="1">
      <c r="B58" s="455" t="s">
        <v>1576</v>
      </c>
      <c r="I58" s="526" t="s">
        <v>1745</v>
      </c>
      <c r="J58" s="2"/>
      <c r="K58" s="525">
        <f>K53+K54+K45+K9+K43+K44+K49+K50+K51</f>
        <v>10.31</v>
      </c>
    </row>
    <row r="59" spans="1:17" ht="16.5" thickBot="1">
      <c r="A59" s="456" t="s">
        <v>17</v>
      </c>
      <c r="B59" s="457" t="s">
        <v>1484</v>
      </c>
      <c r="C59" s="457" t="s">
        <v>1485</v>
      </c>
      <c r="D59" s="457" t="s">
        <v>1577</v>
      </c>
      <c r="E59" s="457" t="s">
        <v>1487</v>
      </c>
    </row>
    <row r="60" spans="1:17" ht="32.25" thickBot="1">
      <c r="A60" s="459" t="s">
        <v>1489</v>
      </c>
      <c r="B60" s="463" t="s">
        <v>1578</v>
      </c>
      <c r="C60" s="460" t="s">
        <v>1579</v>
      </c>
      <c r="D60" s="383">
        <v>1.2999999999999999E-2</v>
      </c>
      <c r="E60" s="383">
        <v>10</v>
      </c>
    </row>
    <row r="61" spans="1:17" ht="16.5" thickBot="1">
      <c r="A61" s="459" t="s">
        <v>1492</v>
      </c>
      <c r="B61" s="463" t="s">
        <v>1580</v>
      </c>
      <c r="C61" s="460" t="s">
        <v>1581</v>
      </c>
      <c r="D61" s="383">
        <v>1.9E-2</v>
      </c>
      <c r="E61" s="383">
        <v>13</v>
      </c>
    </row>
  </sheetData>
  <mergeCells count="20">
    <mergeCell ref="C14:D14"/>
    <mergeCell ref="I14:J14"/>
    <mergeCell ref="C15:D15"/>
    <mergeCell ref="I15:J15"/>
    <mergeCell ref="C16:D16"/>
    <mergeCell ref="I16:J16"/>
    <mergeCell ref="C17:D17"/>
    <mergeCell ref="I17:J17"/>
    <mergeCell ref="C35:D35"/>
    <mergeCell ref="I35:J35"/>
    <mergeCell ref="C36:D36"/>
    <mergeCell ref="I36:J36"/>
    <mergeCell ref="C56:D56"/>
    <mergeCell ref="O56:P56"/>
    <mergeCell ref="C37:D37"/>
    <mergeCell ref="I37:J37"/>
    <mergeCell ref="C38:D38"/>
    <mergeCell ref="I38:J38"/>
    <mergeCell ref="C39:D39"/>
    <mergeCell ref="I39:J39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view="pageBreakPreview" zoomScale="90" zoomScaleSheetLayoutView="90" workbookViewId="0">
      <selection activeCell="C50" sqref="C50"/>
    </sheetView>
  </sheetViews>
  <sheetFormatPr defaultRowHeight="15.75"/>
  <cols>
    <col min="1" max="1" width="6.42578125" style="5" customWidth="1"/>
    <col min="2" max="2" width="30.5703125" style="5" customWidth="1"/>
    <col min="3" max="3" width="40.85546875" style="5" customWidth="1"/>
    <col min="4" max="4" width="19.42578125" style="5" customWidth="1"/>
    <col min="5" max="5" width="17.5703125" style="5" customWidth="1"/>
    <col min="6" max="8" width="9.140625" style="25"/>
    <col min="9" max="9" width="10.85546875" style="25" customWidth="1"/>
    <col min="10" max="10" width="10.140625" style="26" customWidth="1"/>
    <col min="11" max="11" width="15.85546875" style="5" customWidth="1"/>
    <col min="12" max="255" width="9.140625" style="5"/>
    <col min="256" max="256" width="6.42578125" style="5" customWidth="1"/>
    <col min="257" max="257" width="30.5703125" style="5" customWidth="1"/>
    <col min="258" max="258" width="40.85546875" style="5" customWidth="1"/>
    <col min="259" max="259" width="19.42578125" style="5" customWidth="1"/>
    <col min="260" max="260" width="17.5703125" style="5" customWidth="1"/>
    <col min="261" max="262" width="9.140625" style="5"/>
    <col min="263" max="263" width="10.85546875" style="5" customWidth="1"/>
    <col min="264" max="264" width="10.140625" style="5" customWidth="1"/>
    <col min="265" max="265" width="13.28515625" style="5" bestFit="1" customWidth="1"/>
    <col min="266" max="511" width="9.140625" style="5"/>
    <col min="512" max="512" width="6.42578125" style="5" customWidth="1"/>
    <col min="513" max="513" width="30.5703125" style="5" customWidth="1"/>
    <col min="514" max="514" width="40.85546875" style="5" customWidth="1"/>
    <col min="515" max="515" width="19.42578125" style="5" customWidth="1"/>
    <col min="516" max="516" width="17.5703125" style="5" customWidth="1"/>
    <col min="517" max="518" width="9.140625" style="5"/>
    <col min="519" max="519" width="10.85546875" style="5" customWidth="1"/>
    <col min="520" max="520" width="10.140625" style="5" customWidth="1"/>
    <col min="521" max="521" width="13.28515625" style="5" bestFit="1" customWidth="1"/>
    <col min="522" max="767" width="9.140625" style="5"/>
    <col min="768" max="768" width="6.42578125" style="5" customWidth="1"/>
    <col min="769" max="769" width="30.5703125" style="5" customWidth="1"/>
    <col min="770" max="770" width="40.85546875" style="5" customWidth="1"/>
    <col min="771" max="771" width="19.42578125" style="5" customWidth="1"/>
    <col min="772" max="772" width="17.5703125" style="5" customWidth="1"/>
    <col min="773" max="774" width="9.140625" style="5"/>
    <col min="775" max="775" width="10.85546875" style="5" customWidth="1"/>
    <col min="776" max="776" width="10.140625" style="5" customWidth="1"/>
    <col min="777" max="777" width="13.28515625" style="5" bestFit="1" customWidth="1"/>
    <col min="778" max="1023" width="9.140625" style="5"/>
    <col min="1024" max="1024" width="6.42578125" style="5" customWidth="1"/>
    <col min="1025" max="1025" width="30.5703125" style="5" customWidth="1"/>
    <col min="1026" max="1026" width="40.85546875" style="5" customWidth="1"/>
    <col min="1027" max="1027" width="19.42578125" style="5" customWidth="1"/>
    <col min="1028" max="1028" width="17.5703125" style="5" customWidth="1"/>
    <col min="1029" max="1030" width="9.140625" style="5"/>
    <col min="1031" max="1031" width="10.85546875" style="5" customWidth="1"/>
    <col min="1032" max="1032" width="10.140625" style="5" customWidth="1"/>
    <col min="1033" max="1033" width="13.28515625" style="5" bestFit="1" customWidth="1"/>
    <col min="1034" max="1279" width="9.140625" style="5"/>
    <col min="1280" max="1280" width="6.42578125" style="5" customWidth="1"/>
    <col min="1281" max="1281" width="30.5703125" style="5" customWidth="1"/>
    <col min="1282" max="1282" width="40.85546875" style="5" customWidth="1"/>
    <col min="1283" max="1283" width="19.42578125" style="5" customWidth="1"/>
    <col min="1284" max="1284" width="17.5703125" style="5" customWidth="1"/>
    <col min="1285" max="1286" width="9.140625" style="5"/>
    <col min="1287" max="1287" width="10.85546875" style="5" customWidth="1"/>
    <col min="1288" max="1288" width="10.140625" style="5" customWidth="1"/>
    <col min="1289" max="1289" width="13.28515625" style="5" bestFit="1" customWidth="1"/>
    <col min="1290" max="1535" width="9.140625" style="5"/>
    <col min="1536" max="1536" width="6.42578125" style="5" customWidth="1"/>
    <col min="1537" max="1537" width="30.5703125" style="5" customWidth="1"/>
    <col min="1538" max="1538" width="40.85546875" style="5" customWidth="1"/>
    <col min="1539" max="1539" width="19.42578125" style="5" customWidth="1"/>
    <col min="1540" max="1540" width="17.5703125" style="5" customWidth="1"/>
    <col min="1541" max="1542" width="9.140625" style="5"/>
    <col min="1543" max="1543" width="10.85546875" style="5" customWidth="1"/>
    <col min="1544" max="1544" width="10.140625" style="5" customWidth="1"/>
    <col min="1545" max="1545" width="13.28515625" style="5" bestFit="1" customWidth="1"/>
    <col min="1546" max="1791" width="9.140625" style="5"/>
    <col min="1792" max="1792" width="6.42578125" style="5" customWidth="1"/>
    <col min="1793" max="1793" width="30.5703125" style="5" customWidth="1"/>
    <col min="1794" max="1794" width="40.85546875" style="5" customWidth="1"/>
    <col min="1795" max="1795" width="19.42578125" style="5" customWidth="1"/>
    <col min="1796" max="1796" width="17.5703125" style="5" customWidth="1"/>
    <col min="1797" max="1798" width="9.140625" style="5"/>
    <col min="1799" max="1799" width="10.85546875" style="5" customWidth="1"/>
    <col min="1800" max="1800" width="10.140625" style="5" customWidth="1"/>
    <col min="1801" max="1801" width="13.28515625" style="5" bestFit="1" customWidth="1"/>
    <col min="1802" max="2047" width="9.140625" style="5"/>
    <col min="2048" max="2048" width="6.42578125" style="5" customWidth="1"/>
    <col min="2049" max="2049" width="30.5703125" style="5" customWidth="1"/>
    <col min="2050" max="2050" width="40.85546875" style="5" customWidth="1"/>
    <col min="2051" max="2051" width="19.42578125" style="5" customWidth="1"/>
    <col min="2052" max="2052" width="17.5703125" style="5" customWidth="1"/>
    <col min="2053" max="2054" width="9.140625" style="5"/>
    <col min="2055" max="2055" width="10.85546875" style="5" customWidth="1"/>
    <col min="2056" max="2056" width="10.140625" style="5" customWidth="1"/>
    <col min="2057" max="2057" width="13.28515625" style="5" bestFit="1" customWidth="1"/>
    <col min="2058" max="2303" width="9.140625" style="5"/>
    <col min="2304" max="2304" width="6.42578125" style="5" customWidth="1"/>
    <col min="2305" max="2305" width="30.5703125" style="5" customWidth="1"/>
    <col min="2306" max="2306" width="40.85546875" style="5" customWidth="1"/>
    <col min="2307" max="2307" width="19.42578125" style="5" customWidth="1"/>
    <col min="2308" max="2308" width="17.5703125" style="5" customWidth="1"/>
    <col min="2309" max="2310" width="9.140625" style="5"/>
    <col min="2311" max="2311" width="10.85546875" style="5" customWidth="1"/>
    <col min="2312" max="2312" width="10.140625" style="5" customWidth="1"/>
    <col min="2313" max="2313" width="13.28515625" style="5" bestFit="1" customWidth="1"/>
    <col min="2314" max="2559" width="9.140625" style="5"/>
    <col min="2560" max="2560" width="6.42578125" style="5" customWidth="1"/>
    <col min="2561" max="2561" width="30.5703125" style="5" customWidth="1"/>
    <col min="2562" max="2562" width="40.85546875" style="5" customWidth="1"/>
    <col min="2563" max="2563" width="19.42578125" style="5" customWidth="1"/>
    <col min="2564" max="2564" width="17.5703125" style="5" customWidth="1"/>
    <col min="2565" max="2566" width="9.140625" style="5"/>
    <col min="2567" max="2567" width="10.85546875" style="5" customWidth="1"/>
    <col min="2568" max="2568" width="10.140625" style="5" customWidth="1"/>
    <col min="2569" max="2569" width="13.28515625" style="5" bestFit="1" customWidth="1"/>
    <col min="2570" max="2815" width="9.140625" style="5"/>
    <col min="2816" max="2816" width="6.42578125" style="5" customWidth="1"/>
    <col min="2817" max="2817" width="30.5703125" style="5" customWidth="1"/>
    <col min="2818" max="2818" width="40.85546875" style="5" customWidth="1"/>
    <col min="2819" max="2819" width="19.42578125" style="5" customWidth="1"/>
    <col min="2820" max="2820" width="17.5703125" style="5" customWidth="1"/>
    <col min="2821" max="2822" width="9.140625" style="5"/>
    <col min="2823" max="2823" width="10.85546875" style="5" customWidth="1"/>
    <col min="2824" max="2824" width="10.140625" style="5" customWidth="1"/>
    <col min="2825" max="2825" width="13.28515625" style="5" bestFit="1" customWidth="1"/>
    <col min="2826" max="3071" width="9.140625" style="5"/>
    <col min="3072" max="3072" width="6.42578125" style="5" customWidth="1"/>
    <col min="3073" max="3073" width="30.5703125" style="5" customWidth="1"/>
    <col min="3074" max="3074" width="40.85546875" style="5" customWidth="1"/>
    <col min="3075" max="3075" width="19.42578125" style="5" customWidth="1"/>
    <col min="3076" max="3076" width="17.5703125" style="5" customWidth="1"/>
    <col min="3077" max="3078" width="9.140625" style="5"/>
    <col min="3079" max="3079" width="10.85546875" style="5" customWidth="1"/>
    <col min="3080" max="3080" width="10.140625" style="5" customWidth="1"/>
    <col min="3081" max="3081" width="13.28515625" style="5" bestFit="1" customWidth="1"/>
    <col min="3082" max="3327" width="9.140625" style="5"/>
    <col min="3328" max="3328" width="6.42578125" style="5" customWidth="1"/>
    <col min="3329" max="3329" width="30.5703125" style="5" customWidth="1"/>
    <col min="3330" max="3330" width="40.85546875" style="5" customWidth="1"/>
    <col min="3331" max="3331" width="19.42578125" style="5" customWidth="1"/>
    <col min="3332" max="3332" width="17.5703125" style="5" customWidth="1"/>
    <col min="3333" max="3334" width="9.140625" style="5"/>
    <col min="3335" max="3335" width="10.85546875" style="5" customWidth="1"/>
    <col min="3336" max="3336" width="10.140625" style="5" customWidth="1"/>
    <col min="3337" max="3337" width="13.28515625" style="5" bestFit="1" customWidth="1"/>
    <col min="3338" max="3583" width="9.140625" style="5"/>
    <col min="3584" max="3584" width="6.42578125" style="5" customWidth="1"/>
    <col min="3585" max="3585" width="30.5703125" style="5" customWidth="1"/>
    <col min="3586" max="3586" width="40.85546875" style="5" customWidth="1"/>
    <col min="3587" max="3587" width="19.42578125" style="5" customWidth="1"/>
    <col min="3588" max="3588" width="17.5703125" style="5" customWidth="1"/>
    <col min="3589" max="3590" width="9.140625" style="5"/>
    <col min="3591" max="3591" width="10.85546875" style="5" customWidth="1"/>
    <col min="3592" max="3592" width="10.140625" style="5" customWidth="1"/>
    <col min="3593" max="3593" width="13.28515625" style="5" bestFit="1" customWidth="1"/>
    <col min="3594" max="3839" width="9.140625" style="5"/>
    <col min="3840" max="3840" width="6.42578125" style="5" customWidth="1"/>
    <col min="3841" max="3841" width="30.5703125" style="5" customWidth="1"/>
    <col min="3842" max="3842" width="40.85546875" style="5" customWidth="1"/>
    <col min="3843" max="3843" width="19.42578125" style="5" customWidth="1"/>
    <col min="3844" max="3844" width="17.5703125" style="5" customWidth="1"/>
    <col min="3845" max="3846" width="9.140625" style="5"/>
    <col min="3847" max="3847" width="10.85546875" style="5" customWidth="1"/>
    <col min="3848" max="3848" width="10.140625" style="5" customWidth="1"/>
    <col min="3849" max="3849" width="13.28515625" style="5" bestFit="1" customWidth="1"/>
    <col min="3850" max="4095" width="9.140625" style="5"/>
    <col min="4096" max="4096" width="6.42578125" style="5" customWidth="1"/>
    <col min="4097" max="4097" width="30.5703125" style="5" customWidth="1"/>
    <col min="4098" max="4098" width="40.85546875" style="5" customWidth="1"/>
    <col min="4099" max="4099" width="19.42578125" style="5" customWidth="1"/>
    <col min="4100" max="4100" width="17.5703125" style="5" customWidth="1"/>
    <col min="4101" max="4102" width="9.140625" style="5"/>
    <col min="4103" max="4103" width="10.85546875" style="5" customWidth="1"/>
    <col min="4104" max="4104" width="10.140625" style="5" customWidth="1"/>
    <col min="4105" max="4105" width="13.28515625" style="5" bestFit="1" customWidth="1"/>
    <col min="4106" max="4351" width="9.140625" style="5"/>
    <col min="4352" max="4352" width="6.42578125" style="5" customWidth="1"/>
    <col min="4353" max="4353" width="30.5703125" style="5" customWidth="1"/>
    <col min="4354" max="4354" width="40.85546875" style="5" customWidth="1"/>
    <col min="4355" max="4355" width="19.42578125" style="5" customWidth="1"/>
    <col min="4356" max="4356" width="17.5703125" style="5" customWidth="1"/>
    <col min="4357" max="4358" width="9.140625" style="5"/>
    <col min="4359" max="4359" width="10.85546875" style="5" customWidth="1"/>
    <col min="4360" max="4360" width="10.140625" style="5" customWidth="1"/>
    <col min="4361" max="4361" width="13.28515625" style="5" bestFit="1" customWidth="1"/>
    <col min="4362" max="4607" width="9.140625" style="5"/>
    <col min="4608" max="4608" width="6.42578125" style="5" customWidth="1"/>
    <col min="4609" max="4609" width="30.5703125" style="5" customWidth="1"/>
    <col min="4610" max="4610" width="40.85546875" style="5" customWidth="1"/>
    <col min="4611" max="4611" width="19.42578125" style="5" customWidth="1"/>
    <col min="4612" max="4612" width="17.5703125" style="5" customWidth="1"/>
    <col min="4613" max="4614" width="9.140625" style="5"/>
    <col min="4615" max="4615" width="10.85546875" style="5" customWidth="1"/>
    <col min="4616" max="4616" width="10.140625" style="5" customWidth="1"/>
    <col min="4617" max="4617" width="13.28515625" style="5" bestFit="1" customWidth="1"/>
    <col min="4618" max="4863" width="9.140625" style="5"/>
    <col min="4864" max="4864" width="6.42578125" style="5" customWidth="1"/>
    <col min="4865" max="4865" width="30.5703125" style="5" customWidth="1"/>
    <col min="4866" max="4866" width="40.85546875" style="5" customWidth="1"/>
    <col min="4867" max="4867" width="19.42578125" style="5" customWidth="1"/>
    <col min="4868" max="4868" width="17.5703125" style="5" customWidth="1"/>
    <col min="4869" max="4870" width="9.140625" style="5"/>
    <col min="4871" max="4871" width="10.85546875" style="5" customWidth="1"/>
    <col min="4872" max="4872" width="10.140625" style="5" customWidth="1"/>
    <col min="4873" max="4873" width="13.28515625" style="5" bestFit="1" customWidth="1"/>
    <col min="4874" max="5119" width="9.140625" style="5"/>
    <col min="5120" max="5120" width="6.42578125" style="5" customWidth="1"/>
    <col min="5121" max="5121" width="30.5703125" style="5" customWidth="1"/>
    <col min="5122" max="5122" width="40.85546875" style="5" customWidth="1"/>
    <col min="5123" max="5123" width="19.42578125" style="5" customWidth="1"/>
    <col min="5124" max="5124" width="17.5703125" style="5" customWidth="1"/>
    <col min="5125" max="5126" width="9.140625" style="5"/>
    <col min="5127" max="5127" width="10.85546875" style="5" customWidth="1"/>
    <col min="5128" max="5128" width="10.140625" style="5" customWidth="1"/>
    <col min="5129" max="5129" width="13.28515625" style="5" bestFit="1" customWidth="1"/>
    <col min="5130" max="5375" width="9.140625" style="5"/>
    <col min="5376" max="5376" width="6.42578125" style="5" customWidth="1"/>
    <col min="5377" max="5377" width="30.5703125" style="5" customWidth="1"/>
    <col min="5378" max="5378" width="40.85546875" style="5" customWidth="1"/>
    <col min="5379" max="5379" width="19.42578125" style="5" customWidth="1"/>
    <col min="5380" max="5380" width="17.5703125" style="5" customWidth="1"/>
    <col min="5381" max="5382" width="9.140625" style="5"/>
    <col min="5383" max="5383" width="10.85546875" style="5" customWidth="1"/>
    <col min="5384" max="5384" width="10.140625" style="5" customWidth="1"/>
    <col min="5385" max="5385" width="13.28515625" style="5" bestFit="1" customWidth="1"/>
    <col min="5386" max="5631" width="9.140625" style="5"/>
    <col min="5632" max="5632" width="6.42578125" style="5" customWidth="1"/>
    <col min="5633" max="5633" width="30.5703125" style="5" customWidth="1"/>
    <col min="5634" max="5634" width="40.85546875" style="5" customWidth="1"/>
    <col min="5635" max="5635" width="19.42578125" style="5" customWidth="1"/>
    <col min="5636" max="5636" width="17.5703125" style="5" customWidth="1"/>
    <col min="5637" max="5638" width="9.140625" style="5"/>
    <col min="5639" max="5639" width="10.85546875" style="5" customWidth="1"/>
    <col min="5640" max="5640" width="10.140625" style="5" customWidth="1"/>
    <col min="5641" max="5641" width="13.28515625" style="5" bestFit="1" customWidth="1"/>
    <col min="5642" max="5887" width="9.140625" style="5"/>
    <col min="5888" max="5888" width="6.42578125" style="5" customWidth="1"/>
    <col min="5889" max="5889" width="30.5703125" style="5" customWidth="1"/>
    <col min="5890" max="5890" width="40.85546875" style="5" customWidth="1"/>
    <col min="5891" max="5891" width="19.42578125" style="5" customWidth="1"/>
    <col min="5892" max="5892" width="17.5703125" style="5" customWidth="1"/>
    <col min="5893" max="5894" width="9.140625" style="5"/>
    <col min="5895" max="5895" width="10.85546875" style="5" customWidth="1"/>
    <col min="5896" max="5896" width="10.140625" style="5" customWidth="1"/>
    <col min="5897" max="5897" width="13.28515625" style="5" bestFit="1" customWidth="1"/>
    <col min="5898" max="6143" width="9.140625" style="5"/>
    <col min="6144" max="6144" width="6.42578125" style="5" customWidth="1"/>
    <col min="6145" max="6145" width="30.5703125" style="5" customWidth="1"/>
    <col min="6146" max="6146" width="40.85546875" style="5" customWidth="1"/>
    <col min="6147" max="6147" width="19.42578125" style="5" customWidth="1"/>
    <col min="6148" max="6148" width="17.5703125" style="5" customWidth="1"/>
    <col min="6149" max="6150" width="9.140625" style="5"/>
    <col min="6151" max="6151" width="10.85546875" style="5" customWidth="1"/>
    <col min="6152" max="6152" width="10.140625" style="5" customWidth="1"/>
    <col min="6153" max="6153" width="13.28515625" style="5" bestFit="1" customWidth="1"/>
    <col min="6154" max="6399" width="9.140625" style="5"/>
    <col min="6400" max="6400" width="6.42578125" style="5" customWidth="1"/>
    <col min="6401" max="6401" width="30.5703125" style="5" customWidth="1"/>
    <col min="6402" max="6402" width="40.85546875" style="5" customWidth="1"/>
    <col min="6403" max="6403" width="19.42578125" style="5" customWidth="1"/>
    <col min="6404" max="6404" width="17.5703125" style="5" customWidth="1"/>
    <col min="6405" max="6406" width="9.140625" style="5"/>
    <col min="6407" max="6407" width="10.85546875" style="5" customWidth="1"/>
    <col min="6408" max="6408" width="10.140625" style="5" customWidth="1"/>
    <col min="6409" max="6409" width="13.28515625" style="5" bestFit="1" customWidth="1"/>
    <col min="6410" max="6655" width="9.140625" style="5"/>
    <col min="6656" max="6656" width="6.42578125" style="5" customWidth="1"/>
    <col min="6657" max="6657" width="30.5703125" style="5" customWidth="1"/>
    <col min="6658" max="6658" width="40.85546875" style="5" customWidth="1"/>
    <col min="6659" max="6659" width="19.42578125" style="5" customWidth="1"/>
    <col min="6660" max="6660" width="17.5703125" style="5" customWidth="1"/>
    <col min="6661" max="6662" width="9.140625" style="5"/>
    <col min="6663" max="6663" width="10.85546875" style="5" customWidth="1"/>
    <col min="6664" max="6664" width="10.140625" style="5" customWidth="1"/>
    <col min="6665" max="6665" width="13.28515625" style="5" bestFit="1" customWidth="1"/>
    <col min="6666" max="6911" width="9.140625" style="5"/>
    <col min="6912" max="6912" width="6.42578125" style="5" customWidth="1"/>
    <col min="6913" max="6913" width="30.5703125" style="5" customWidth="1"/>
    <col min="6914" max="6914" width="40.85546875" style="5" customWidth="1"/>
    <col min="6915" max="6915" width="19.42578125" style="5" customWidth="1"/>
    <col min="6916" max="6916" width="17.5703125" style="5" customWidth="1"/>
    <col min="6917" max="6918" width="9.140625" style="5"/>
    <col min="6919" max="6919" width="10.85546875" style="5" customWidth="1"/>
    <col min="6920" max="6920" width="10.140625" style="5" customWidth="1"/>
    <col min="6921" max="6921" width="13.28515625" style="5" bestFit="1" customWidth="1"/>
    <col min="6922" max="7167" width="9.140625" style="5"/>
    <col min="7168" max="7168" width="6.42578125" style="5" customWidth="1"/>
    <col min="7169" max="7169" width="30.5703125" style="5" customWidth="1"/>
    <col min="7170" max="7170" width="40.85546875" style="5" customWidth="1"/>
    <col min="7171" max="7171" width="19.42578125" style="5" customWidth="1"/>
    <col min="7172" max="7172" width="17.5703125" style="5" customWidth="1"/>
    <col min="7173" max="7174" width="9.140625" style="5"/>
    <col min="7175" max="7175" width="10.85546875" style="5" customWidth="1"/>
    <col min="7176" max="7176" width="10.140625" style="5" customWidth="1"/>
    <col min="7177" max="7177" width="13.28515625" style="5" bestFit="1" customWidth="1"/>
    <col min="7178" max="7423" width="9.140625" style="5"/>
    <col min="7424" max="7424" width="6.42578125" style="5" customWidth="1"/>
    <col min="7425" max="7425" width="30.5703125" style="5" customWidth="1"/>
    <col min="7426" max="7426" width="40.85546875" style="5" customWidth="1"/>
    <col min="7427" max="7427" width="19.42578125" style="5" customWidth="1"/>
    <col min="7428" max="7428" width="17.5703125" style="5" customWidth="1"/>
    <col min="7429" max="7430" width="9.140625" style="5"/>
    <col min="7431" max="7431" width="10.85546875" style="5" customWidth="1"/>
    <col min="7432" max="7432" width="10.140625" style="5" customWidth="1"/>
    <col min="7433" max="7433" width="13.28515625" style="5" bestFit="1" customWidth="1"/>
    <col min="7434" max="7679" width="9.140625" style="5"/>
    <col min="7680" max="7680" width="6.42578125" style="5" customWidth="1"/>
    <col min="7681" max="7681" width="30.5703125" style="5" customWidth="1"/>
    <col min="7682" max="7682" width="40.85546875" style="5" customWidth="1"/>
    <col min="7683" max="7683" width="19.42578125" style="5" customWidth="1"/>
    <col min="7684" max="7684" width="17.5703125" style="5" customWidth="1"/>
    <col min="7685" max="7686" width="9.140625" style="5"/>
    <col min="7687" max="7687" width="10.85546875" style="5" customWidth="1"/>
    <col min="7688" max="7688" width="10.140625" style="5" customWidth="1"/>
    <col min="7689" max="7689" width="13.28515625" style="5" bestFit="1" customWidth="1"/>
    <col min="7690" max="7935" width="9.140625" style="5"/>
    <col min="7936" max="7936" width="6.42578125" style="5" customWidth="1"/>
    <col min="7937" max="7937" width="30.5703125" style="5" customWidth="1"/>
    <col min="7938" max="7938" width="40.85546875" style="5" customWidth="1"/>
    <col min="7939" max="7939" width="19.42578125" style="5" customWidth="1"/>
    <col min="7940" max="7940" width="17.5703125" style="5" customWidth="1"/>
    <col min="7941" max="7942" width="9.140625" style="5"/>
    <col min="7943" max="7943" width="10.85546875" style="5" customWidth="1"/>
    <col min="7944" max="7944" width="10.140625" style="5" customWidth="1"/>
    <col min="7945" max="7945" width="13.28515625" style="5" bestFit="1" customWidth="1"/>
    <col min="7946" max="8191" width="9.140625" style="5"/>
    <col min="8192" max="8192" width="6.42578125" style="5" customWidth="1"/>
    <col min="8193" max="8193" width="30.5703125" style="5" customWidth="1"/>
    <col min="8194" max="8194" width="40.85546875" style="5" customWidth="1"/>
    <col min="8195" max="8195" width="19.42578125" style="5" customWidth="1"/>
    <col min="8196" max="8196" width="17.5703125" style="5" customWidth="1"/>
    <col min="8197" max="8198" width="9.140625" style="5"/>
    <col min="8199" max="8199" width="10.85546875" style="5" customWidth="1"/>
    <col min="8200" max="8200" width="10.140625" style="5" customWidth="1"/>
    <col min="8201" max="8201" width="13.28515625" style="5" bestFit="1" customWidth="1"/>
    <col min="8202" max="8447" width="9.140625" style="5"/>
    <col min="8448" max="8448" width="6.42578125" style="5" customWidth="1"/>
    <col min="8449" max="8449" width="30.5703125" style="5" customWidth="1"/>
    <col min="8450" max="8450" width="40.85546875" style="5" customWidth="1"/>
    <col min="8451" max="8451" width="19.42578125" style="5" customWidth="1"/>
    <col min="8452" max="8452" width="17.5703125" style="5" customWidth="1"/>
    <col min="8453" max="8454" width="9.140625" style="5"/>
    <col min="8455" max="8455" width="10.85546875" style="5" customWidth="1"/>
    <col min="8456" max="8456" width="10.140625" style="5" customWidth="1"/>
    <col min="8457" max="8457" width="13.28515625" style="5" bestFit="1" customWidth="1"/>
    <col min="8458" max="8703" width="9.140625" style="5"/>
    <col min="8704" max="8704" width="6.42578125" style="5" customWidth="1"/>
    <col min="8705" max="8705" width="30.5703125" style="5" customWidth="1"/>
    <col min="8706" max="8706" width="40.85546875" style="5" customWidth="1"/>
    <col min="8707" max="8707" width="19.42578125" style="5" customWidth="1"/>
    <col min="8708" max="8708" width="17.5703125" style="5" customWidth="1"/>
    <col min="8709" max="8710" width="9.140625" style="5"/>
    <col min="8711" max="8711" width="10.85546875" style="5" customWidth="1"/>
    <col min="8712" max="8712" width="10.140625" style="5" customWidth="1"/>
    <col min="8713" max="8713" width="13.28515625" style="5" bestFit="1" customWidth="1"/>
    <col min="8714" max="8959" width="9.140625" style="5"/>
    <col min="8960" max="8960" width="6.42578125" style="5" customWidth="1"/>
    <col min="8961" max="8961" width="30.5703125" style="5" customWidth="1"/>
    <col min="8962" max="8962" width="40.85546875" style="5" customWidth="1"/>
    <col min="8963" max="8963" width="19.42578125" style="5" customWidth="1"/>
    <col min="8964" max="8964" width="17.5703125" style="5" customWidth="1"/>
    <col min="8965" max="8966" width="9.140625" style="5"/>
    <col min="8967" max="8967" width="10.85546875" style="5" customWidth="1"/>
    <col min="8968" max="8968" width="10.140625" style="5" customWidth="1"/>
    <col min="8969" max="8969" width="13.28515625" style="5" bestFit="1" customWidth="1"/>
    <col min="8970" max="9215" width="9.140625" style="5"/>
    <col min="9216" max="9216" width="6.42578125" style="5" customWidth="1"/>
    <col min="9217" max="9217" width="30.5703125" style="5" customWidth="1"/>
    <col min="9218" max="9218" width="40.85546875" style="5" customWidth="1"/>
    <col min="9219" max="9219" width="19.42578125" style="5" customWidth="1"/>
    <col min="9220" max="9220" width="17.5703125" style="5" customWidth="1"/>
    <col min="9221" max="9222" width="9.140625" style="5"/>
    <col min="9223" max="9223" width="10.85546875" style="5" customWidth="1"/>
    <col min="9224" max="9224" width="10.140625" style="5" customWidth="1"/>
    <col min="9225" max="9225" width="13.28515625" style="5" bestFit="1" customWidth="1"/>
    <col min="9226" max="9471" width="9.140625" style="5"/>
    <col min="9472" max="9472" width="6.42578125" style="5" customWidth="1"/>
    <col min="9473" max="9473" width="30.5703125" style="5" customWidth="1"/>
    <col min="9474" max="9474" width="40.85546875" style="5" customWidth="1"/>
    <col min="9475" max="9475" width="19.42578125" style="5" customWidth="1"/>
    <col min="9476" max="9476" width="17.5703125" style="5" customWidth="1"/>
    <col min="9477" max="9478" width="9.140625" style="5"/>
    <col min="9479" max="9479" width="10.85546875" style="5" customWidth="1"/>
    <col min="9480" max="9480" width="10.140625" style="5" customWidth="1"/>
    <col min="9481" max="9481" width="13.28515625" style="5" bestFit="1" customWidth="1"/>
    <col min="9482" max="9727" width="9.140625" style="5"/>
    <col min="9728" max="9728" width="6.42578125" style="5" customWidth="1"/>
    <col min="9729" max="9729" width="30.5703125" style="5" customWidth="1"/>
    <col min="9730" max="9730" width="40.85546875" style="5" customWidth="1"/>
    <col min="9731" max="9731" width="19.42578125" style="5" customWidth="1"/>
    <col min="9732" max="9732" width="17.5703125" style="5" customWidth="1"/>
    <col min="9733" max="9734" width="9.140625" style="5"/>
    <col min="9735" max="9735" width="10.85546875" style="5" customWidth="1"/>
    <col min="9736" max="9736" width="10.140625" style="5" customWidth="1"/>
    <col min="9737" max="9737" width="13.28515625" style="5" bestFit="1" customWidth="1"/>
    <col min="9738" max="9983" width="9.140625" style="5"/>
    <col min="9984" max="9984" width="6.42578125" style="5" customWidth="1"/>
    <col min="9985" max="9985" width="30.5703125" style="5" customWidth="1"/>
    <col min="9986" max="9986" width="40.85546875" style="5" customWidth="1"/>
    <col min="9987" max="9987" width="19.42578125" style="5" customWidth="1"/>
    <col min="9988" max="9988" width="17.5703125" style="5" customWidth="1"/>
    <col min="9989" max="9990" width="9.140625" style="5"/>
    <col min="9991" max="9991" width="10.85546875" style="5" customWidth="1"/>
    <col min="9992" max="9992" width="10.140625" style="5" customWidth="1"/>
    <col min="9993" max="9993" width="13.28515625" style="5" bestFit="1" customWidth="1"/>
    <col min="9994" max="10239" width="9.140625" style="5"/>
    <col min="10240" max="10240" width="6.42578125" style="5" customWidth="1"/>
    <col min="10241" max="10241" width="30.5703125" style="5" customWidth="1"/>
    <col min="10242" max="10242" width="40.85546875" style="5" customWidth="1"/>
    <col min="10243" max="10243" width="19.42578125" style="5" customWidth="1"/>
    <col min="10244" max="10244" width="17.5703125" style="5" customWidth="1"/>
    <col min="10245" max="10246" width="9.140625" style="5"/>
    <col min="10247" max="10247" width="10.85546875" style="5" customWidth="1"/>
    <col min="10248" max="10248" width="10.140625" style="5" customWidth="1"/>
    <col min="10249" max="10249" width="13.28515625" style="5" bestFit="1" customWidth="1"/>
    <col min="10250" max="10495" width="9.140625" style="5"/>
    <col min="10496" max="10496" width="6.42578125" style="5" customWidth="1"/>
    <col min="10497" max="10497" width="30.5703125" style="5" customWidth="1"/>
    <col min="10498" max="10498" width="40.85546875" style="5" customWidth="1"/>
    <col min="10499" max="10499" width="19.42578125" style="5" customWidth="1"/>
    <col min="10500" max="10500" width="17.5703125" style="5" customWidth="1"/>
    <col min="10501" max="10502" width="9.140625" style="5"/>
    <col min="10503" max="10503" width="10.85546875" style="5" customWidth="1"/>
    <col min="10504" max="10504" width="10.140625" style="5" customWidth="1"/>
    <col min="10505" max="10505" width="13.28515625" style="5" bestFit="1" customWidth="1"/>
    <col min="10506" max="10751" width="9.140625" style="5"/>
    <col min="10752" max="10752" width="6.42578125" style="5" customWidth="1"/>
    <col min="10753" max="10753" width="30.5703125" style="5" customWidth="1"/>
    <col min="10754" max="10754" width="40.85546875" style="5" customWidth="1"/>
    <col min="10755" max="10755" width="19.42578125" style="5" customWidth="1"/>
    <col min="10756" max="10756" width="17.5703125" style="5" customWidth="1"/>
    <col min="10757" max="10758" width="9.140625" style="5"/>
    <col min="10759" max="10759" width="10.85546875" style="5" customWidth="1"/>
    <col min="10760" max="10760" width="10.140625" style="5" customWidth="1"/>
    <col min="10761" max="10761" width="13.28515625" style="5" bestFit="1" customWidth="1"/>
    <col min="10762" max="11007" width="9.140625" style="5"/>
    <col min="11008" max="11008" width="6.42578125" style="5" customWidth="1"/>
    <col min="11009" max="11009" width="30.5703125" style="5" customWidth="1"/>
    <col min="11010" max="11010" width="40.85546875" style="5" customWidth="1"/>
    <col min="11011" max="11011" width="19.42578125" style="5" customWidth="1"/>
    <col min="11012" max="11012" width="17.5703125" style="5" customWidth="1"/>
    <col min="11013" max="11014" width="9.140625" style="5"/>
    <col min="11015" max="11015" width="10.85546875" style="5" customWidth="1"/>
    <col min="11016" max="11016" width="10.140625" style="5" customWidth="1"/>
    <col min="11017" max="11017" width="13.28515625" style="5" bestFit="1" customWidth="1"/>
    <col min="11018" max="11263" width="9.140625" style="5"/>
    <col min="11264" max="11264" width="6.42578125" style="5" customWidth="1"/>
    <col min="11265" max="11265" width="30.5703125" style="5" customWidth="1"/>
    <col min="11266" max="11266" width="40.85546875" style="5" customWidth="1"/>
    <col min="11267" max="11267" width="19.42578125" style="5" customWidth="1"/>
    <col min="11268" max="11268" width="17.5703125" style="5" customWidth="1"/>
    <col min="11269" max="11270" width="9.140625" style="5"/>
    <col min="11271" max="11271" width="10.85546875" style="5" customWidth="1"/>
    <col min="11272" max="11272" width="10.140625" style="5" customWidth="1"/>
    <col min="11273" max="11273" width="13.28515625" style="5" bestFit="1" customWidth="1"/>
    <col min="11274" max="11519" width="9.140625" style="5"/>
    <col min="11520" max="11520" width="6.42578125" style="5" customWidth="1"/>
    <col min="11521" max="11521" width="30.5703125" style="5" customWidth="1"/>
    <col min="11522" max="11522" width="40.85546875" style="5" customWidth="1"/>
    <col min="11523" max="11523" width="19.42578125" style="5" customWidth="1"/>
    <col min="11524" max="11524" width="17.5703125" style="5" customWidth="1"/>
    <col min="11525" max="11526" width="9.140625" style="5"/>
    <col min="11527" max="11527" width="10.85546875" style="5" customWidth="1"/>
    <col min="11528" max="11528" width="10.140625" style="5" customWidth="1"/>
    <col min="11529" max="11529" width="13.28515625" style="5" bestFit="1" customWidth="1"/>
    <col min="11530" max="11775" width="9.140625" style="5"/>
    <col min="11776" max="11776" width="6.42578125" style="5" customWidth="1"/>
    <col min="11777" max="11777" width="30.5703125" style="5" customWidth="1"/>
    <col min="11778" max="11778" width="40.85546875" style="5" customWidth="1"/>
    <col min="11779" max="11779" width="19.42578125" style="5" customWidth="1"/>
    <col min="11780" max="11780" width="17.5703125" style="5" customWidth="1"/>
    <col min="11781" max="11782" width="9.140625" style="5"/>
    <col min="11783" max="11783" width="10.85546875" style="5" customWidth="1"/>
    <col min="11784" max="11784" width="10.140625" style="5" customWidth="1"/>
    <col min="11785" max="11785" width="13.28515625" style="5" bestFit="1" customWidth="1"/>
    <col min="11786" max="12031" width="9.140625" style="5"/>
    <col min="12032" max="12032" width="6.42578125" style="5" customWidth="1"/>
    <col min="12033" max="12033" width="30.5703125" style="5" customWidth="1"/>
    <col min="12034" max="12034" width="40.85546875" style="5" customWidth="1"/>
    <col min="12035" max="12035" width="19.42578125" style="5" customWidth="1"/>
    <col min="12036" max="12036" width="17.5703125" style="5" customWidth="1"/>
    <col min="12037" max="12038" width="9.140625" style="5"/>
    <col min="12039" max="12039" width="10.85546875" style="5" customWidth="1"/>
    <col min="12040" max="12040" width="10.140625" style="5" customWidth="1"/>
    <col min="12041" max="12041" width="13.28515625" style="5" bestFit="1" customWidth="1"/>
    <col min="12042" max="12287" width="9.140625" style="5"/>
    <col min="12288" max="12288" width="6.42578125" style="5" customWidth="1"/>
    <col min="12289" max="12289" width="30.5703125" style="5" customWidth="1"/>
    <col min="12290" max="12290" width="40.85546875" style="5" customWidth="1"/>
    <col min="12291" max="12291" width="19.42578125" style="5" customWidth="1"/>
    <col min="12292" max="12292" width="17.5703125" style="5" customWidth="1"/>
    <col min="12293" max="12294" width="9.140625" style="5"/>
    <col min="12295" max="12295" width="10.85546875" style="5" customWidth="1"/>
    <col min="12296" max="12296" width="10.140625" style="5" customWidth="1"/>
    <col min="12297" max="12297" width="13.28515625" style="5" bestFit="1" customWidth="1"/>
    <col min="12298" max="12543" width="9.140625" style="5"/>
    <col min="12544" max="12544" width="6.42578125" style="5" customWidth="1"/>
    <col min="12545" max="12545" width="30.5703125" style="5" customWidth="1"/>
    <col min="12546" max="12546" width="40.85546875" style="5" customWidth="1"/>
    <col min="12547" max="12547" width="19.42578125" style="5" customWidth="1"/>
    <col min="12548" max="12548" width="17.5703125" style="5" customWidth="1"/>
    <col min="12549" max="12550" width="9.140625" style="5"/>
    <col min="12551" max="12551" width="10.85546875" style="5" customWidth="1"/>
    <col min="12552" max="12552" width="10.140625" style="5" customWidth="1"/>
    <col min="12553" max="12553" width="13.28515625" style="5" bestFit="1" customWidth="1"/>
    <col min="12554" max="12799" width="9.140625" style="5"/>
    <col min="12800" max="12800" width="6.42578125" style="5" customWidth="1"/>
    <col min="12801" max="12801" width="30.5703125" style="5" customWidth="1"/>
    <col min="12802" max="12802" width="40.85546875" style="5" customWidth="1"/>
    <col min="12803" max="12803" width="19.42578125" style="5" customWidth="1"/>
    <col min="12804" max="12804" width="17.5703125" style="5" customWidth="1"/>
    <col min="12805" max="12806" width="9.140625" style="5"/>
    <col min="12807" max="12807" width="10.85546875" style="5" customWidth="1"/>
    <col min="12808" max="12808" width="10.140625" style="5" customWidth="1"/>
    <col min="12809" max="12809" width="13.28515625" style="5" bestFit="1" customWidth="1"/>
    <col min="12810" max="13055" width="9.140625" style="5"/>
    <col min="13056" max="13056" width="6.42578125" style="5" customWidth="1"/>
    <col min="13057" max="13057" width="30.5703125" style="5" customWidth="1"/>
    <col min="13058" max="13058" width="40.85546875" style="5" customWidth="1"/>
    <col min="13059" max="13059" width="19.42578125" style="5" customWidth="1"/>
    <col min="13060" max="13060" width="17.5703125" style="5" customWidth="1"/>
    <col min="13061" max="13062" width="9.140625" style="5"/>
    <col min="13063" max="13063" width="10.85546875" style="5" customWidth="1"/>
    <col min="13064" max="13064" width="10.140625" style="5" customWidth="1"/>
    <col min="13065" max="13065" width="13.28515625" style="5" bestFit="1" customWidth="1"/>
    <col min="13066" max="13311" width="9.140625" style="5"/>
    <col min="13312" max="13312" width="6.42578125" style="5" customWidth="1"/>
    <col min="13313" max="13313" width="30.5703125" style="5" customWidth="1"/>
    <col min="13314" max="13314" width="40.85546875" style="5" customWidth="1"/>
    <col min="13315" max="13315" width="19.42578125" style="5" customWidth="1"/>
    <col min="13316" max="13316" width="17.5703125" style="5" customWidth="1"/>
    <col min="13317" max="13318" width="9.140625" style="5"/>
    <col min="13319" max="13319" width="10.85546875" style="5" customWidth="1"/>
    <col min="13320" max="13320" width="10.140625" style="5" customWidth="1"/>
    <col min="13321" max="13321" width="13.28515625" style="5" bestFit="1" customWidth="1"/>
    <col min="13322" max="13567" width="9.140625" style="5"/>
    <col min="13568" max="13568" width="6.42578125" style="5" customWidth="1"/>
    <col min="13569" max="13569" width="30.5703125" style="5" customWidth="1"/>
    <col min="13570" max="13570" width="40.85546875" style="5" customWidth="1"/>
    <col min="13571" max="13571" width="19.42578125" style="5" customWidth="1"/>
    <col min="13572" max="13572" width="17.5703125" style="5" customWidth="1"/>
    <col min="13573" max="13574" width="9.140625" style="5"/>
    <col min="13575" max="13575" width="10.85546875" style="5" customWidth="1"/>
    <col min="13576" max="13576" width="10.140625" style="5" customWidth="1"/>
    <col min="13577" max="13577" width="13.28515625" style="5" bestFit="1" customWidth="1"/>
    <col min="13578" max="13823" width="9.140625" style="5"/>
    <col min="13824" max="13824" width="6.42578125" style="5" customWidth="1"/>
    <col min="13825" max="13825" width="30.5703125" style="5" customWidth="1"/>
    <col min="13826" max="13826" width="40.85546875" style="5" customWidth="1"/>
    <col min="13827" max="13827" width="19.42578125" style="5" customWidth="1"/>
    <col min="13828" max="13828" width="17.5703125" style="5" customWidth="1"/>
    <col min="13829" max="13830" width="9.140625" style="5"/>
    <col min="13831" max="13831" width="10.85546875" style="5" customWidth="1"/>
    <col min="13832" max="13832" width="10.140625" style="5" customWidth="1"/>
    <col min="13833" max="13833" width="13.28515625" style="5" bestFit="1" customWidth="1"/>
    <col min="13834" max="14079" width="9.140625" style="5"/>
    <col min="14080" max="14080" width="6.42578125" style="5" customWidth="1"/>
    <col min="14081" max="14081" width="30.5703125" style="5" customWidth="1"/>
    <col min="14082" max="14082" width="40.85546875" style="5" customWidth="1"/>
    <col min="14083" max="14083" width="19.42578125" style="5" customWidth="1"/>
    <col min="14084" max="14084" width="17.5703125" style="5" customWidth="1"/>
    <col min="14085" max="14086" width="9.140625" style="5"/>
    <col min="14087" max="14087" width="10.85546875" style="5" customWidth="1"/>
    <col min="14088" max="14088" width="10.140625" style="5" customWidth="1"/>
    <col min="14089" max="14089" width="13.28515625" style="5" bestFit="1" customWidth="1"/>
    <col min="14090" max="14335" width="9.140625" style="5"/>
    <col min="14336" max="14336" width="6.42578125" style="5" customWidth="1"/>
    <col min="14337" max="14337" width="30.5703125" style="5" customWidth="1"/>
    <col min="14338" max="14338" width="40.85546875" style="5" customWidth="1"/>
    <col min="14339" max="14339" width="19.42578125" style="5" customWidth="1"/>
    <col min="14340" max="14340" width="17.5703125" style="5" customWidth="1"/>
    <col min="14341" max="14342" width="9.140625" style="5"/>
    <col min="14343" max="14343" width="10.85546875" style="5" customWidth="1"/>
    <col min="14344" max="14344" width="10.140625" style="5" customWidth="1"/>
    <col min="14345" max="14345" width="13.28515625" style="5" bestFit="1" customWidth="1"/>
    <col min="14346" max="14591" width="9.140625" style="5"/>
    <col min="14592" max="14592" width="6.42578125" style="5" customWidth="1"/>
    <col min="14593" max="14593" width="30.5703125" style="5" customWidth="1"/>
    <col min="14594" max="14594" width="40.85546875" style="5" customWidth="1"/>
    <col min="14595" max="14595" width="19.42578125" style="5" customWidth="1"/>
    <col min="14596" max="14596" width="17.5703125" style="5" customWidth="1"/>
    <col min="14597" max="14598" width="9.140625" style="5"/>
    <col min="14599" max="14599" width="10.85546875" style="5" customWidth="1"/>
    <col min="14600" max="14600" width="10.140625" style="5" customWidth="1"/>
    <col min="14601" max="14601" width="13.28515625" style="5" bestFit="1" customWidth="1"/>
    <col min="14602" max="14847" width="9.140625" style="5"/>
    <col min="14848" max="14848" width="6.42578125" style="5" customWidth="1"/>
    <col min="14849" max="14849" width="30.5703125" style="5" customWidth="1"/>
    <col min="14850" max="14850" width="40.85546875" style="5" customWidth="1"/>
    <col min="14851" max="14851" width="19.42578125" style="5" customWidth="1"/>
    <col min="14852" max="14852" width="17.5703125" style="5" customWidth="1"/>
    <col min="14853" max="14854" width="9.140625" style="5"/>
    <col min="14855" max="14855" width="10.85546875" style="5" customWidth="1"/>
    <col min="14856" max="14856" width="10.140625" style="5" customWidth="1"/>
    <col min="14857" max="14857" width="13.28515625" style="5" bestFit="1" customWidth="1"/>
    <col min="14858" max="15103" width="9.140625" style="5"/>
    <col min="15104" max="15104" width="6.42578125" style="5" customWidth="1"/>
    <col min="15105" max="15105" width="30.5703125" style="5" customWidth="1"/>
    <col min="15106" max="15106" width="40.85546875" style="5" customWidth="1"/>
    <col min="15107" max="15107" width="19.42578125" style="5" customWidth="1"/>
    <col min="15108" max="15108" width="17.5703125" style="5" customWidth="1"/>
    <col min="15109" max="15110" width="9.140625" style="5"/>
    <col min="15111" max="15111" width="10.85546875" style="5" customWidth="1"/>
    <col min="15112" max="15112" width="10.140625" style="5" customWidth="1"/>
    <col min="15113" max="15113" width="13.28515625" style="5" bestFit="1" customWidth="1"/>
    <col min="15114" max="15359" width="9.140625" style="5"/>
    <col min="15360" max="15360" width="6.42578125" style="5" customWidth="1"/>
    <col min="15361" max="15361" width="30.5703125" style="5" customWidth="1"/>
    <col min="15362" max="15362" width="40.85546875" style="5" customWidth="1"/>
    <col min="15363" max="15363" width="19.42578125" style="5" customWidth="1"/>
    <col min="15364" max="15364" width="17.5703125" style="5" customWidth="1"/>
    <col min="15365" max="15366" width="9.140625" style="5"/>
    <col min="15367" max="15367" width="10.85546875" style="5" customWidth="1"/>
    <col min="15368" max="15368" width="10.140625" style="5" customWidth="1"/>
    <col min="15369" max="15369" width="13.28515625" style="5" bestFit="1" customWidth="1"/>
    <col min="15370" max="15615" width="9.140625" style="5"/>
    <col min="15616" max="15616" width="6.42578125" style="5" customWidth="1"/>
    <col min="15617" max="15617" width="30.5703125" style="5" customWidth="1"/>
    <col min="15618" max="15618" width="40.85546875" style="5" customWidth="1"/>
    <col min="15619" max="15619" width="19.42578125" style="5" customWidth="1"/>
    <col min="15620" max="15620" width="17.5703125" style="5" customWidth="1"/>
    <col min="15621" max="15622" width="9.140625" style="5"/>
    <col min="15623" max="15623" width="10.85546875" style="5" customWidth="1"/>
    <col min="15624" max="15624" width="10.140625" style="5" customWidth="1"/>
    <col min="15625" max="15625" width="13.28515625" style="5" bestFit="1" customWidth="1"/>
    <col min="15626" max="15871" width="9.140625" style="5"/>
    <col min="15872" max="15872" width="6.42578125" style="5" customWidth="1"/>
    <col min="15873" max="15873" width="30.5703125" style="5" customWidth="1"/>
    <col min="15874" max="15874" width="40.85546875" style="5" customWidth="1"/>
    <col min="15875" max="15875" width="19.42578125" style="5" customWidth="1"/>
    <col min="15876" max="15876" width="17.5703125" style="5" customWidth="1"/>
    <col min="15877" max="15878" width="9.140625" style="5"/>
    <col min="15879" max="15879" width="10.85546875" style="5" customWidth="1"/>
    <col min="15880" max="15880" width="10.140625" style="5" customWidth="1"/>
    <col min="15881" max="15881" width="13.28515625" style="5" bestFit="1" customWidth="1"/>
    <col min="15882" max="16127" width="9.140625" style="5"/>
    <col min="16128" max="16128" width="6.42578125" style="5" customWidth="1"/>
    <col min="16129" max="16129" width="30.5703125" style="5" customWidth="1"/>
    <col min="16130" max="16130" width="40.85546875" style="5" customWidth="1"/>
    <col min="16131" max="16131" width="19.42578125" style="5" customWidth="1"/>
    <col min="16132" max="16132" width="17.5703125" style="5" customWidth="1"/>
    <col min="16133" max="16134" width="9.140625" style="5"/>
    <col min="16135" max="16135" width="10.85546875" style="5" customWidth="1"/>
    <col min="16136" max="16136" width="10.140625" style="5" customWidth="1"/>
    <col min="16137" max="16137" width="13.28515625" style="5" bestFit="1" customWidth="1"/>
    <col min="16138" max="16384" width="9.140625" style="5"/>
  </cols>
  <sheetData>
    <row r="1" spans="1:11" ht="15.75" customHeight="1">
      <c r="A1" s="841" t="s">
        <v>614</v>
      </c>
      <c r="B1" s="841"/>
      <c r="C1" s="841"/>
      <c r="D1" s="841"/>
      <c r="E1" s="841"/>
      <c r="F1" s="841"/>
      <c r="G1" s="841"/>
      <c r="H1" s="841"/>
      <c r="I1" s="841"/>
      <c r="J1" s="841"/>
    </row>
    <row r="2" spans="1:11" ht="15.75" customHeight="1">
      <c r="A2" s="841"/>
      <c r="B2" s="841"/>
      <c r="C2" s="841"/>
      <c r="D2" s="841"/>
      <c r="E2" s="841"/>
      <c r="F2" s="841"/>
      <c r="G2" s="841"/>
      <c r="H2" s="841"/>
      <c r="I2" s="841"/>
      <c r="J2" s="841"/>
    </row>
    <row r="3" spans="1:11" ht="15.75" customHeight="1">
      <c r="A3" s="842" t="s">
        <v>17</v>
      </c>
      <c r="B3" s="842" t="s">
        <v>18</v>
      </c>
      <c r="C3" s="842" t="s">
        <v>19</v>
      </c>
      <c r="D3" s="842" t="s">
        <v>20</v>
      </c>
      <c r="E3" s="842"/>
      <c r="F3" s="842" t="s">
        <v>21</v>
      </c>
      <c r="G3" s="842" t="s">
        <v>22</v>
      </c>
      <c r="H3" s="843" t="s">
        <v>23</v>
      </c>
      <c r="I3" s="842" t="s">
        <v>24</v>
      </c>
      <c r="J3" s="842"/>
    </row>
    <row r="4" spans="1:11">
      <c r="A4" s="842"/>
      <c r="B4" s="842"/>
      <c r="C4" s="842"/>
      <c r="D4" s="842"/>
      <c r="E4" s="842"/>
      <c r="F4" s="842"/>
      <c r="G4" s="842"/>
      <c r="H4" s="844"/>
      <c r="I4" s="239" t="s">
        <v>25</v>
      </c>
      <c r="J4" s="239" t="s">
        <v>26</v>
      </c>
    </row>
    <row r="5" spans="1:11" s="9" customFormat="1" ht="15.75" customHeight="1">
      <c r="A5" s="242">
        <v>1</v>
      </c>
      <c r="B5" s="272" t="s">
        <v>668</v>
      </c>
      <c r="C5" s="242" t="s">
        <v>27</v>
      </c>
      <c r="D5" s="840" t="s">
        <v>727</v>
      </c>
      <c r="E5" s="840" t="s">
        <v>28</v>
      </c>
      <c r="F5" s="242">
        <v>1</v>
      </c>
      <c r="G5" s="242" t="s">
        <v>29</v>
      </c>
      <c r="H5" s="242">
        <v>1.1200000000000001</v>
      </c>
      <c r="I5" s="242">
        <v>1.68</v>
      </c>
      <c r="J5" s="849">
        <f>I5*F5*2</f>
        <v>3.36</v>
      </c>
      <c r="K5" s="5"/>
    </row>
    <row r="6" spans="1:11" s="9" customFormat="1">
      <c r="A6" s="242">
        <v>2</v>
      </c>
      <c r="B6" s="272" t="s">
        <v>662</v>
      </c>
      <c r="C6" s="242" t="s">
        <v>30</v>
      </c>
      <c r="D6" s="840"/>
      <c r="E6" s="840"/>
      <c r="F6" s="242">
        <v>1</v>
      </c>
      <c r="G6" s="242" t="s">
        <v>29</v>
      </c>
      <c r="H6" s="242">
        <v>1.1200000000000001</v>
      </c>
      <c r="I6" s="242">
        <v>1.68</v>
      </c>
      <c r="J6" s="850"/>
      <c r="K6" s="5"/>
    </row>
    <row r="7" spans="1:11" s="9" customFormat="1" ht="31.5">
      <c r="A7" s="242">
        <v>3</v>
      </c>
      <c r="B7" s="272" t="s">
        <v>669</v>
      </c>
      <c r="C7" s="242" t="s">
        <v>625</v>
      </c>
      <c r="D7" s="242" t="s">
        <v>727</v>
      </c>
      <c r="E7" s="242" t="s">
        <v>28</v>
      </c>
      <c r="F7" s="242">
        <v>1</v>
      </c>
      <c r="G7" s="242" t="s">
        <v>29</v>
      </c>
      <c r="H7" s="242">
        <v>6.4000000000000001E-2</v>
      </c>
      <c r="I7" s="242">
        <v>0.74</v>
      </c>
      <c r="J7" s="242">
        <f>I7*F7</f>
        <v>0.74</v>
      </c>
      <c r="K7" s="5"/>
    </row>
    <row r="8" spans="1:11" s="9" customFormat="1" ht="47.25">
      <c r="A8" s="242">
        <v>4</v>
      </c>
      <c r="B8" s="272" t="s">
        <v>663</v>
      </c>
      <c r="C8" s="242" t="s">
        <v>38</v>
      </c>
      <c r="D8" s="242" t="s">
        <v>693</v>
      </c>
      <c r="E8" s="242" t="s">
        <v>31</v>
      </c>
      <c r="F8" s="242">
        <v>1</v>
      </c>
      <c r="G8" s="242" t="s">
        <v>29</v>
      </c>
      <c r="H8" s="242">
        <v>0.04</v>
      </c>
      <c r="I8" s="242">
        <v>0.11899999999999999</v>
      </c>
      <c r="J8" s="242">
        <f>I8*F8</f>
        <v>0.11899999999999999</v>
      </c>
      <c r="K8" s="5"/>
    </row>
    <row r="9" spans="1:11" s="9" customFormat="1" ht="31.5">
      <c r="A9" s="242">
        <v>5</v>
      </c>
      <c r="B9" s="242" t="s">
        <v>650</v>
      </c>
      <c r="C9" s="242" t="s">
        <v>32</v>
      </c>
      <c r="D9" s="271" t="s">
        <v>714</v>
      </c>
      <c r="E9" s="242" t="s">
        <v>33</v>
      </c>
      <c r="F9" s="242">
        <v>1</v>
      </c>
      <c r="G9" s="242" t="s">
        <v>29</v>
      </c>
      <c r="H9" s="242">
        <v>5.7000000000000002E-2</v>
      </c>
      <c r="I9" s="242">
        <v>0.24199999999999999</v>
      </c>
      <c r="J9" s="242">
        <f>I9*F9</f>
        <v>0.24199999999999999</v>
      </c>
      <c r="K9" s="5"/>
    </row>
    <row r="10" spans="1:11" ht="31.5">
      <c r="A10" s="242">
        <v>6</v>
      </c>
      <c r="B10" s="272" t="s">
        <v>626</v>
      </c>
      <c r="C10" s="272" t="s">
        <v>34</v>
      </c>
      <c r="D10" s="271" t="s">
        <v>726</v>
      </c>
      <c r="E10" s="271" t="s">
        <v>35</v>
      </c>
      <c r="F10" s="272">
        <v>1</v>
      </c>
      <c r="G10" s="272" t="s">
        <v>29</v>
      </c>
      <c r="H10" s="272">
        <v>0.114</v>
      </c>
      <c r="I10" s="272">
        <v>0.17100000000000001</v>
      </c>
      <c r="J10" s="242">
        <f>I10*F10</f>
        <v>0.17100000000000001</v>
      </c>
    </row>
    <row r="11" spans="1:11" s="9" customFormat="1" ht="15.6" customHeight="1">
      <c r="A11" s="830"/>
      <c r="B11" s="831"/>
      <c r="C11" s="831"/>
      <c r="D11" s="831"/>
      <c r="E11" s="831"/>
      <c r="F11" s="831"/>
      <c r="G11" s="831"/>
      <c r="H11" s="831"/>
      <c r="I11" s="831"/>
      <c r="J11" s="832"/>
      <c r="K11" s="22"/>
    </row>
    <row r="12" spans="1:11" s="9" customFormat="1">
      <c r="A12" s="12"/>
      <c r="B12" s="12"/>
      <c r="C12" s="13" t="s">
        <v>2</v>
      </c>
      <c r="D12" s="12"/>
      <c r="E12" s="12"/>
      <c r="F12" s="12"/>
      <c r="G12" s="12"/>
      <c r="H12" s="12"/>
      <c r="I12" s="12"/>
      <c r="J12" s="12"/>
      <c r="K12" s="22"/>
    </row>
    <row r="13" spans="1:11" ht="31.5">
      <c r="A13" s="244">
        <v>7</v>
      </c>
      <c r="B13" s="242" t="s">
        <v>651</v>
      </c>
      <c r="C13" s="242" t="s">
        <v>652</v>
      </c>
      <c r="D13" s="272" t="s">
        <v>730</v>
      </c>
      <c r="E13" s="272" t="s">
        <v>36</v>
      </c>
      <c r="F13" s="242">
        <v>1</v>
      </c>
      <c r="G13" s="242" t="s">
        <v>29</v>
      </c>
      <c r="H13" s="242">
        <v>2E-3</v>
      </c>
      <c r="I13" s="242">
        <v>2.1000000000000001E-2</v>
      </c>
      <c r="J13" s="242">
        <f t="shared" ref="J13:J18" si="0">I13*F13</f>
        <v>2.1000000000000001E-2</v>
      </c>
      <c r="K13" s="22"/>
    </row>
    <row r="14" spans="1:11" ht="31.5">
      <c r="A14" s="244">
        <v>8</v>
      </c>
      <c r="B14" s="272" t="s">
        <v>653</v>
      </c>
      <c r="C14" s="272" t="s">
        <v>110</v>
      </c>
      <c r="D14" s="271" t="s">
        <v>732</v>
      </c>
      <c r="E14" s="272" t="s">
        <v>111</v>
      </c>
      <c r="F14" s="242">
        <v>1</v>
      </c>
      <c r="G14" s="242" t="s">
        <v>29</v>
      </c>
      <c r="H14" s="242">
        <v>2E-3</v>
      </c>
      <c r="I14" s="242">
        <v>0.01</v>
      </c>
      <c r="J14" s="242">
        <f t="shared" si="0"/>
        <v>0.01</v>
      </c>
    </row>
    <row r="15" spans="1:11" ht="31.5">
      <c r="A15" s="244">
        <v>9</v>
      </c>
      <c r="B15" s="272" t="s">
        <v>664</v>
      </c>
      <c r="C15" s="242" t="s">
        <v>607</v>
      </c>
      <c r="D15" s="234" t="s">
        <v>727</v>
      </c>
      <c r="E15" s="12" t="s">
        <v>28</v>
      </c>
      <c r="F15" s="242">
        <v>1</v>
      </c>
      <c r="G15" s="242" t="s">
        <v>29</v>
      </c>
      <c r="H15" s="242">
        <v>8.0000000000000002E-3</v>
      </c>
      <c r="I15" s="237">
        <f>37/903</f>
        <v>4.0974529346622372E-2</v>
      </c>
      <c r="J15" s="237">
        <f t="shared" si="0"/>
        <v>4.0974529346622372E-2</v>
      </c>
    </row>
    <row r="16" spans="1:11" s="9" customFormat="1" ht="31.5">
      <c r="A16" s="244">
        <v>10</v>
      </c>
      <c r="B16" s="272" t="s">
        <v>654</v>
      </c>
      <c r="C16" s="272" t="s">
        <v>4</v>
      </c>
      <c r="D16" s="271" t="s">
        <v>726</v>
      </c>
      <c r="E16" s="271" t="s">
        <v>35</v>
      </c>
      <c r="F16" s="242">
        <v>1</v>
      </c>
      <c r="G16" s="242" t="s">
        <v>29</v>
      </c>
      <c r="H16" s="242">
        <v>1E-3</v>
      </c>
      <c r="I16" s="238">
        <f>73.59/900</f>
        <v>8.1766666666666668E-2</v>
      </c>
      <c r="J16" s="237">
        <f t="shared" si="0"/>
        <v>8.1766666666666668E-2</v>
      </c>
      <c r="K16" s="5"/>
    </row>
    <row r="17" spans="1:11" s="9" customFormat="1" ht="31.5">
      <c r="A17" s="244">
        <v>11</v>
      </c>
      <c r="B17" s="272" t="s">
        <v>665</v>
      </c>
      <c r="C17" s="272" t="s">
        <v>608</v>
      </c>
      <c r="D17" s="271" t="s">
        <v>725</v>
      </c>
      <c r="E17" s="160" t="s">
        <v>28</v>
      </c>
      <c r="F17" s="242">
        <v>1</v>
      </c>
      <c r="G17" s="242" t="s">
        <v>29</v>
      </c>
      <c r="H17" s="242">
        <v>3.0000000000000001E-3</v>
      </c>
      <c r="I17" s="238">
        <f>49/649</f>
        <v>7.5500770416024654E-2</v>
      </c>
      <c r="J17" s="237">
        <f t="shared" si="0"/>
        <v>7.5500770416024654E-2</v>
      </c>
      <c r="K17" s="5"/>
    </row>
    <row r="18" spans="1:11" s="9" customFormat="1" ht="31.5">
      <c r="A18" s="244">
        <v>12</v>
      </c>
      <c r="B18" s="272" t="s">
        <v>655</v>
      </c>
      <c r="C18" s="272" t="s">
        <v>609</v>
      </c>
      <c r="D18" s="242" t="s">
        <v>715</v>
      </c>
      <c r="E18" s="242" t="s">
        <v>33</v>
      </c>
      <c r="F18" s="242">
        <v>1</v>
      </c>
      <c r="G18" s="242" t="s">
        <v>29</v>
      </c>
      <c r="H18" s="242">
        <v>0.16400000000000001</v>
      </c>
      <c r="I18" s="272">
        <v>0.29099999999999998</v>
      </c>
      <c r="J18" s="242">
        <f t="shared" si="0"/>
        <v>0.29099999999999998</v>
      </c>
      <c r="K18" s="5"/>
    </row>
    <row r="19" spans="1:11" s="9" customFormat="1" ht="15.6" customHeight="1">
      <c r="A19" s="823"/>
      <c r="B19" s="833"/>
      <c r="C19" s="833"/>
      <c r="D19" s="833"/>
      <c r="E19" s="833"/>
      <c r="F19" s="833"/>
      <c r="G19" s="833"/>
      <c r="H19" s="833"/>
      <c r="I19" s="833"/>
      <c r="J19" s="824"/>
      <c r="K19" s="5"/>
    </row>
    <row r="20" spans="1:11" s="9" customFormat="1">
      <c r="A20" s="12"/>
      <c r="B20" s="161"/>
      <c r="C20" s="161" t="s">
        <v>615</v>
      </c>
      <c r="D20" s="274"/>
      <c r="E20" s="274"/>
      <c r="F20" s="274"/>
      <c r="G20" s="274"/>
      <c r="H20" s="274"/>
      <c r="I20" s="274"/>
      <c r="J20" s="274"/>
      <c r="K20" s="5"/>
    </row>
    <row r="21" spans="1:11" s="9" customFormat="1" ht="31.5">
      <c r="A21" s="242">
        <v>13</v>
      </c>
      <c r="B21" s="242" t="s">
        <v>657</v>
      </c>
      <c r="C21" s="242" t="s">
        <v>627</v>
      </c>
      <c r="D21" s="234" t="s">
        <v>716</v>
      </c>
      <c r="E21" s="234" t="s">
        <v>41</v>
      </c>
      <c r="F21" s="246">
        <v>1</v>
      </c>
      <c r="G21" s="246" t="s">
        <v>29</v>
      </c>
      <c r="H21" s="246">
        <v>0.156</v>
      </c>
      <c r="I21" s="246">
        <v>0.52200000000000002</v>
      </c>
      <c r="J21" s="246">
        <f>I21*F21</f>
        <v>0.52200000000000002</v>
      </c>
      <c r="K21" s="5"/>
    </row>
    <row r="22" spans="1:11" s="9" customFormat="1" ht="31.5">
      <c r="A22" s="242">
        <v>14</v>
      </c>
      <c r="B22" s="242" t="s">
        <v>658</v>
      </c>
      <c r="C22" s="272" t="s">
        <v>610</v>
      </c>
      <c r="D22" s="272" t="s">
        <v>730</v>
      </c>
      <c r="E22" s="272" t="s">
        <v>36</v>
      </c>
      <c r="F22" s="272">
        <v>1</v>
      </c>
      <c r="G22" s="272"/>
      <c r="H22" s="272">
        <v>2E-3</v>
      </c>
      <c r="I22" s="272">
        <v>7.4999999999999997E-3</v>
      </c>
      <c r="J22" s="242">
        <f>I22*F22</f>
        <v>7.4999999999999997E-3</v>
      </c>
      <c r="K22" s="5"/>
    </row>
    <row r="23" spans="1:11" s="9" customFormat="1" ht="31.5">
      <c r="A23" s="242">
        <v>15</v>
      </c>
      <c r="B23" s="242" t="s">
        <v>628</v>
      </c>
      <c r="C23" s="242" t="s">
        <v>42</v>
      </c>
      <c r="D23" s="234" t="s">
        <v>728</v>
      </c>
      <c r="E23" s="242" t="s">
        <v>43</v>
      </c>
      <c r="F23" s="246">
        <v>1</v>
      </c>
      <c r="G23" s="242" t="s">
        <v>29</v>
      </c>
      <c r="H23" s="242">
        <v>1E-3</v>
      </c>
      <c r="I23" s="246">
        <v>2E-3</v>
      </c>
      <c r="J23" s="246">
        <f>I23*F23</f>
        <v>2E-3</v>
      </c>
      <c r="K23" s="5"/>
    </row>
    <row r="24" spans="1:11" s="9" customFormat="1" ht="15.75" customHeight="1">
      <c r="A24" s="242">
        <v>16</v>
      </c>
      <c r="B24" s="242" t="s">
        <v>629</v>
      </c>
      <c r="C24" s="242" t="s">
        <v>126</v>
      </c>
      <c r="D24" s="834" t="s">
        <v>733</v>
      </c>
      <c r="E24" s="835"/>
      <c r="F24" s="246">
        <v>1</v>
      </c>
      <c r="G24" s="242" t="s">
        <v>44</v>
      </c>
      <c r="H24" s="242"/>
      <c r="I24" s="246">
        <v>1</v>
      </c>
      <c r="J24" s="246">
        <f t="shared" ref="J24:J30" si="1">I24*F24</f>
        <v>1</v>
      </c>
      <c r="K24" s="5"/>
    </row>
    <row r="25" spans="1:11" s="9" customFormat="1" ht="15.75" customHeight="1">
      <c r="A25" s="242">
        <v>17</v>
      </c>
      <c r="B25" s="242" t="s">
        <v>630</v>
      </c>
      <c r="C25" s="242" t="s">
        <v>631</v>
      </c>
      <c r="D25" s="836" t="s">
        <v>46</v>
      </c>
      <c r="E25" s="836" t="s">
        <v>47</v>
      </c>
      <c r="F25" s="246" t="s">
        <v>128</v>
      </c>
      <c r="G25" s="246" t="s">
        <v>29</v>
      </c>
      <c r="H25" s="246">
        <v>2E-3</v>
      </c>
      <c r="I25" s="242">
        <v>4.0000000000000001E-3</v>
      </c>
      <c r="J25" s="246">
        <f>I25</f>
        <v>4.0000000000000001E-3</v>
      </c>
      <c r="K25" s="5"/>
    </row>
    <row r="26" spans="1:11" s="9" customFormat="1">
      <c r="A26" s="242">
        <v>18</v>
      </c>
      <c r="B26" s="242" t="s">
        <v>632</v>
      </c>
      <c r="C26" s="242" t="s">
        <v>45</v>
      </c>
      <c r="D26" s="837"/>
      <c r="E26" s="837"/>
      <c r="F26" s="246">
        <v>1</v>
      </c>
      <c r="G26" s="246" t="s">
        <v>29</v>
      </c>
      <c r="H26" s="246">
        <v>1E-3</v>
      </c>
      <c r="I26" s="246">
        <v>3.0000000000000001E-3</v>
      </c>
      <c r="J26" s="246">
        <f t="shared" si="1"/>
        <v>3.0000000000000001E-3</v>
      </c>
      <c r="K26" s="5"/>
    </row>
    <row r="27" spans="1:11" s="9" customFormat="1" ht="31.5">
      <c r="A27" s="242">
        <v>19</v>
      </c>
      <c r="B27" s="242" t="s">
        <v>670</v>
      </c>
      <c r="C27" s="242" t="s">
        <v>633</v>
      </c>
      <c r="D27" s="242" t="s">
        <v>729</v>
      </c>
      <c r="E27" s="234" t="s">
        <v>139</v>
      </c>
      <c r="F27" s="246">
        <v>1</v>
      </c>
      <c r="G27" s="246" t="s">
        <v>29</v>
      </c>
      <c r="H27" s="246">
        <v>1.4E-2</v>
      </c>
      <c r="I27" s="242">
        <v>3.2000000000000001E-2</v>
      </c>
      <c r="J27" s="246">
        <f t="shared" si="1"/>
        <v>3.2000000000000001E-2</v>
      </c>
      <c r="K27" s="5"/>
    </row>
    <row r="28" spans="1:11" s="9" customFormat="1" ht="31.5">
      <c r="A28" s="242">
        <v>20</v>
      </c>
      <c r="B28" s="242" t="s">
        <v>634</v>
      </c>
      <c r="C28" s="242" t="s">
        <v>48</v>
      </c>
      <c r="D28" s="234" t="s">
        <v>731</v>
      </c>
      <c r="E28" s="234" t="s">
        <v>49</v>
      </c>
      <c r="F28" s="246">
        <v>1</v>
      </c>
      <c r="G28" s="240" t="s">
        <v>39</v>
      </c>
      <c r="H28" s="240">
        <v>5.0000000000000001E-4</v>
      </c>
      <c r="I28" s="246">
        <v>0.03</v>
      </c>
      <c r="J28" s="246">
        <f t="shared" si="1"/>
        <v>0.03</v>
      </c>
      <c r="K28" s="5"/>
    </row>
    <row r="29" spans="1:11" s="9" customFormat="1" ht="31.5">
      <c r="A29" s="242">
        <v>21</v>
      </c>
      <c r="B29" s="242" t="s">
        <v>671</v>
      </c>
      <c r="C29" s="242" t="s">
        <v>635</v>
      </c>
      <c r="D29" s="234" t="s">
        <v>50</v>
      </c>
      <c r="E29" s="242" t="s">
        <v>51</v>
      </c>
      <c r="F29" s="246">
        <v>1</v>
      </c>
      <c r="G29" s="242" t="s">
        <v>44</v>
      </c>
      <c r="H29" s="242"/>
      <c r="I29" s="246">
        <v>1</v>
      </c>
      <c r="J29" s="246">
        <f t="shared" si="1"/>
        <v>1</v>
      </c>
      <c r="K29" s="5"/>
    </row>
    <row r="30" spans="1:11" s="9" customFormat="1" ht="15.75" customHeight="1">
      <c r="A30" s="242">
        <v>22</v>
      </c>
      <c r="B30" s="242" t="s">
        <v>636</v>
      </c>
      <c r="C30" s="242" t="s">
        <v>129</v>
      </c>
      <c r="D30" s="838" t="s">
        <v>733</v>
      </c>
      <c r="E30" s="839"/>
      <c r="F30" s="246">
        <v>4</v>
      </c>
      <c r="G30" s="242" t="s">
        <v>44</v>
      </c>
      <c r="H30" s="242"/>
      <c r="I30" s="246">
        <v>1</v>
      </c>
      <c r="J30" s="246">
        <f t="shared" si="1"/>
        <v>4</v>
      </c>
      <c r="K30" s="5"/>
    </row>
    <row r="31" spans="1:11" s="9" customFormat="1">
      <c r="A31" s="275"/>
      <c r="B31" s="275"/>
      <c r="C31" s="273" t="s">
        <v>52</v>
      </c>
      <c r="D31" s="275"/>
      <c r="E31" s="275"/>
      <c r="F31" s="275"/>
      <c r="G31" s="275"/>
      <c r="H31" s="275"/>
      <c r="I31" s="275"/>
      <c r="J31" s="275"/>
      <c r="K31" s="5"/>
    </row>
    <row r="32" spans="1:11" s="9" customFormat="1" ht="15.75" customHeight="1">
      <c r="A32" s="244">
        <v>23</v>
      </c>
      <c r="B32" s="275"/>
      <c r="C32" s="242" t="s">
        <v>236</v>
      </c>
      <c r="D32" s="840" t="s">
        <v>53</v>
      </c>
      <c r="E32" s="840"/>
      <c r="F32" s="242">
        <v>1</v>
      </c>
      <c r="G32" s="242" t="s">
        <v>44</v>
      </c>
      <c r="H32" s="242"/>
      <c r="I32" s="242">
        <v>1</v>
      </c>
      <c r="J32" s="242">
        <f>I32*F32</f>
        <v>1</v>
      </c>
      <c r="K32" s="5"/>
    </row>
    <row r="33" spans="1:11" s="9" customFormat="1">
      <c r="A33" s="244"/>
      <c r="B33" s="275"/>
      <c r="C33" s="273" t="s">
        <v>54</v>
      </c>
      <c r="D33" s="242"/>
      <c r="E33" s="242"/>
      <c r="F33" s="242"/>
      <c r="G33" s="242"/>
      <c r="H33" s="242"/>
      <c r="I33" s="242"/>
      <c r="J33" s="242"/>
      <c r="K33" s="5"/>
    </row>
    <row r="34" spans="1:11" s="9" customFormat="1" ht="31.5">
      <c r="A34" s="236">
        <v>24</v>
      </c>
      <c r="B34" s="236"/>
      <c r="C34" s="242" t="s">
        <v>484</v>
      </c>
      <c r="D34" s="828" t="s">
        <v>55</v>
      </c>
      <c r="E34" s="828"/>
      <c r="F34" s="246">
        <v>1</v>
      </c>
      <c r="G34" s="242" t="s">
        <v>44</v>
      </c>
      <c r="H34" s="242"/>
      <c r="I34" s="246">
        <v>1.2500000000000001E-2</v>
      </c>
      <c r="J34" s="246">
        <f>I34*F34</f>
        <v>1.2500000000000001E-2</v>
      </c>
      <c r="K34" s="5"/>
    </row>
    <row r="35" spans="1:11" s="9" customFormat="1" ht="15.6" customHeight="1">
      <c r="A35" s="827"/>
      <c r="B35" s="827"/>
      <c r="C35" s="827"/>
      <c r="D35" s="827"/>
      <c r="E35" s="827"/>
      <c r="F35" s="827"/>
      <c r="G35" s="827"/>
      <c r="H35" s="827"/>
      <c r="I35" s="827"/>
      <c r="J35" s="827"/>
      <c r="K35" s="5"/>
    </row>
    <row r="36" spans="1:11" s="9" customFormat="1">
      <c r="A36" s="236"/>
      <c r="B36" s="242"/>
      <c r="C36" s="17" t="s">
        <v>56</v>
      </c>
      <c r="D36" s="19"/>
      <c r="E36" s="19"/>
      <c r="F36" s="246"/>
      <c r="G36" s="242"/>
      <c r="H36" s="242"/>
      <c r="I36" s="246"/>
      <c r="J36" s="246"/>
      <c r="K36" s="5"/>
    </row>
    <row r="37" spans="1:11">
      <c r="A37" s="236">
        <v>23</v>
      </c>
      <c r="B37" s="242"/>
      <c r="C37" s="18" t="s">
        <v>57</v>
      </c>
      <c r="D37" s="18"/>
      <c r="E37" s="18"/>
      <c r="F37" s="18">
        <v>1</v>
      </c>
      <c r="G37" s="18" t="s">
        <v>44</v>
      </c>
      <c r="H37" s="31"/>
      <c r="I37" s="31">
        <v>1</v>
      </c>
      <c r="J37" s="242">
        <f t="shared" ref="J37:J51" si="2">I37*F37</f>
        <v>1</v>
      </c>
    </row>
    <row r="38" spans="1:11">
      <c r="A38" s="236">
        <v>24</v>
      </c>
      <c r="B38" s="242"/>
      <c r="C38" s="18" t="s">
        <v>58</v>
      </c>
      <c r="D38" s="18"/>
      <c r="E38" s="18"/>
      <c r="F38" s="18">
        <v>1</v>
      </c>
      <c r="G38" s="18" t="s">
        <v>44</v>
      </c>
      <c r="H38" s="31"/>
      <c r="I38" s="31">
        <v>1</v>
      </c>
      <c r="J38" s="242">
        <f t="shared" si="2"/>
        <v>1</v>
      </c>
    </row>
    <row r="39" spans="1:11">
      <c r="A39" s="236">
        <v>25</v>
      </c>
      <c r="B39" s="242"/>
      <c r="C39" s="18" t="s">
        <v>113</v>
      </c>
      <c r="D39" s="18"/>
      <c r="E39" s="18"/>
      <c r="F39" s="18">
        <v>1</v>
      </c>
      <c r="G39" s="18" t="s">
        <v>44</v>
      </c>
      <c r="H39" s="31"/>
      <c r="I39" s="31">
        <v>1</v>
      </c>
      <c r="J39" s="242">
        <f t="shared" si="2"/>
        <v>1</v>
      </c>
    </row>
    <row r="40" spans="1:11" ht="15.75" customHeight="1">
      <c r="A40" s="236">
        <v>26</v>
      </c>
      <c r="B40" s="242"/>
      <c r="C40" s="18" t="s">
        <v>675</v>
      </c>
      <c r="D40" s="18"/>
      <c r="E40" s="18"/>
      <c r="F40" s="18">
        <v>1</v>
      </c>
      <c r="G40" s="18" t="s">
        <v>44</v>
      </c>
      <c r="H40" s="31"/>
      <c r="I40" s="31">
        <v>1</v>
      </c>
      <c r="J40" s="242">
        <f t="shared" si="2"/>
        <v>1</v>
      </c>
    </row>
    <row r="41" spans="1:11" ht="15.75" customHeight="1">
      <c r="A41" s="236">
        <v>27</v>
      </c>
      <c r="B41" s="242"/>
      <c r="C41" s="18" t="s">
        <v>130</v>
      </c>
      <c r="D41" s="27"/>
      <c r="E41" s="18"/>
      <c r="F41" s="18">
        <v>1</v>
      </c>
      <c r="G41" s="18" t="s">
        <v>44</v>
      </c>
      <c r="H41" s="246"/>
      <c r="I41" s="242">
        <v>1</v>
      </c>
      <c r="J41" s="242">
        <f t="shared" si="2"/>
        <v>1</v>
      </c>
    </row>
    <row r="42" spans="1:11">
      <c r="A42" s="236">
        <v>28</v>
      </c>
      <c r="B42" s="242"/>
      <c r="C42" s="18" t="s">
        <v>131</v>
      </c>
      <c r="D42" s="829" t="s">
        <v>59</v>
      </c>
      <c r="E42" s="829"/>
      <c r="F42" s="18">
        <v>1</v>
      </c>
      <c r="G42" s="18" t="s">
        <v>44</v>
      </c>
      <c r="H42" s="242"/>
      <c r="I42" s="246">
        <v>1</v>
      </c>
      <c r="J42" s="242">
        <f t="shared" si="2"/>
        <v>1</v>
      </c>
    </row>
    <row r="43" spans="1:11">
      <c r="A43" s="236">
        <v>29</v>
      </c>
      <c r="B43" s="242"/>
      <c r="C43" s="18" t="s">
        <v>60</v>
      </c>
      <c r="D43" s="739" t="s">
        <v>61</v>
      </c>
      <c r="E43" s="739"/>
      <c r="F43" s="18">
        <v>1</v>
      </c>
      <c r="G43" s="18" t="s">
        <v>29</v>
      </c>
      <c r="H43" s="242"/>
      <c r="I43" s="246">
        <v>9.0500000000000007</v>
      </c>
      <c r="J43" s="242">
        <f t="shared" si="2"/>
        <v>9.0500000000000007</v>
      </c>
    </row>
    <row r="44" spans="1:11">
      <c r="A44" s="236">
        <v>30</v>
      </c>
      <c r="B44" s="15"/>
      <c r="C44" s="18" t="s">
        <v>676</v>
      </c>
      <c r="D44" s="739" t="s">
        <v>63</v>
      </c>
      <c r="E44" s="739"/>
      <c r="F44" s="18">
        <v>1</v>
      </c>
      <c r="G44" s="18" t="s">
        <v>44</v>
      </c>
      <c r="H44" s="242"/>
      <c r="I44" s="242">
        <v>1</v>
      </c>
      <c r="J44" s="242">
        <f t="shared" si="2"/>
        <v>1</v>
      </c>
    </row>
    <row r="45" spans="1:11" ht="15.75" customHeight="1">
      <c r="A45" s="236">
        <v>31</v>
      </c>
      <c r="B45" s="15"/>
      <c r="C45" s="18" t="s">
        <v>64</v>
      </c>
      <c r="D45" s="739" t="s">
        <v>63</v>
      </c>
      <c r="E45" s="739"/>
      <c r="F45" s="18">
        <v>3</v>
      </c>
      <c r="G45" s="18" t="s">
        <v>44</v>
      </c>
      <c r="H45" s="15"/>
      <c r="I45" s="32">
        <v>1</v>
      </c>
      <c r="J45" s="242">
        <f t="shared" si="2"/>
        <v>3</v>
      </c>
    </row>
    <row r="46" spans="1:11" ht="15.75" customHeight="1">
      <c r="A46" s="236">
        <v>32</v>
      </c>
      <c r="B46" s="15"/>
      <c r="C46" s="18" t="s">
        <v>66</v>
      </c>
      <c r="D46" s="739" t="s">
        <v>63</v>
      </c>
      <c r="E46" s="739"/>
      <c r="F46" s="18">
        <v>1</v>
      </c>
      <c r="G46" s="245" t="s">
        <v>67</v>
      </c>
      <c r="H46" s="33"/>
      <c r="I46" s="236">
        <v>8.3000000000000004E-2</v>
      </c>
      <c r="J46" s="242">
        <f t="shared" si="2"/>
        <v>8.3000000000000004E-2</v>
      </c>
    </row>
    <row r="47" spans="1:11" ht="15.75" customHeight="1">
      <c r="A47" s="236">
        <v>33</v>
      </c>
      <c r="B47" s="15"/>
      <c r="C47" s="245" t="s">
        <v>70</v>
      </c>
      <c r="D47" s="245"/>
      <c r="E47" s="245"/>
      <c r="F47" s="245">
        <v>1</v>
      </c>
      <c r="G47" s="245" t="s">
        <v>29</v>
      </c>
      <c r="H47" s="245"/>
      <c r="I47" s="245">
        <v>7.0000000000000001E-3</v>
      </c>
      <c r="J47" s="242">
        <f t="shared" si="2"/>
        <v>7.0000000000000001E-3</v>
      </c>
    </row>
    <row r="48" spans="1:11">
      <c r="A48" s="236">
        <v>34</v>
      </c>
      <c r="B48" s="242"/>
      <c r="C48" s="242" t="s">
        <v>71</v>
      </c>
      <c r="D48" s="823" t="s">
        <v>72</v>
      </c>
      <c r="E48" s="824"/>
      <c r="F48" s="18">
        <v>1</v>
      </c>
      <c r="G48" s="18" t="s">
        <v>39</v>
      </c>
      <c r="H48" s="242"/>
      <c r="I48" s="242">
        <v>10.3</v>
      </c>
      <c r="J48" s="242">
        <f t="shared" si="2"/>
        <v>10.3</v>
      </c>
    </row>
    <row r="49" spans="1:13">
      <c r="A49" s="236">
        <v>35</v>
      </c>
      <c r="B49" s="244"/>
      <c r="C49" s="242" t="s">
        <v>73</v>
      </c>
      <c r="D49" s="823" t="s">
        <v>74</v>
      </c>
      <c r="E49" s="824"/>
      <c r="F49" s="242">
        <v>1</v>
      </c>
      <c r="G49" s="242" t="s">
        <v>29</v>
      </c>
      <c r="H49" s="242"/>
      <c r="I49" s="242">
        <v>2E-3</v>
      </c>
      <c r="J49" s="242">
        <f t="shared" si="2"/>
        <v>2E-3</v>
      </c>
    </row>
    <row r="50" spans="1:13">
      <c r="A50" s="236">
        <v>36</v>
      </c>
      <c r="B50" s="242"/>
      <c r="C50" s="242" t="s">
        <v>736</v>
      </c>
      <c r="D50" s="823" t="s">
        <v>72</v>
      </c>
      <c r="E50" s="824"/>
      <c r="F50" s="242">
        <v>1</v>
      </c>
      <c r="G50" s="242" t="s">
        <v>29</v>
      </c>
      <c r="H50" s="242"/>
      <c r="I50" s="242">
        <v>3.0000000000000001E-3</v>
      </c>
      <c r="J50" s="242">
        <f t="shared" si="2"/>
        <v>3.0000000000000001E-3</v>
      </c>
    </row>
    <row r="51" spans="1:13">
      <c r="A51" s="236">
        <v>37</v>
      </c>
      <c r="B51" s="244"/>
      <c r="C51" s="18" t="s">
        <v>75</v>
      </c>
      <c r="D51" s="825" t="s">
        <v>76</v>
      </c>
      <c r="E51" s="826"/>
      <c r="F51" s="18">
        <v>1</v>
      </c>
      <c r="G51" s="18" t="s">
        <v>29</v>
      </c>
      <c r="H51" s="242"/>
      <c r="I51" s="242">
        <v>9.0999999999999998E-2</v>
      </c>
      <c r="J51" s="242">
        <f t="shared" si="2"/>
        <v>9.0999999999999998E-2</v>
      </c>
    </row>
    <row r="52" spans="1:13" ht="15.75" customHeight="1">
      <c r="A52" s="236">
        <v>38</v>
      </c>
      <c r="B52" s="15"/>
      <c r="C52" s="18" t="s">
        <v>77</v>
      </c>
      <c r="D52" s="819" t="s">
        <v>78</v>
      </c>
      <c r="E52" s="820"/>
      <c r="F52" s="18">
        <v>1</v>
      </c>
      <c r="G52" s="18" t="s">
        <v>44</v>
      </c>
      <c r="H52" s="242"/>
      <c r="I52" s="242">
        <v>0.01</v>
      </c>
      <c r="J52" s="242">
        <f t="shared" ref="J52:J57" si="3">I52*F52</f>
        <v>0.01</v>
      </c>
    </row>
    <row r="53" spans="1:13" ht="15.75" customHeight="1">
      <c r="A53" s="236">
        <v>39</v>
      </c>
      <c r="B53" s="20"/>
      <c r="C53" s="18" t="s">
        <v>79</v>
      </c>
      <c r="D53" s="819" t="s">
        <v>80</v>
      </c>
      <c r="E53" s="820"/>
      <c r="F53" s="18">
        <v>1</v>
      </c>
      <c r="G53" s="18" t="s">
        <v>29</v>
      </c>
      <c r="H53" s="242"/>
      <c r="I53" s="242">
        <v>5.0000000000000001E-3</v>
      </c>
      <c r="J53" s="242">
        <f t="shared" si="3"/>
        <v>5.0000000000000001E-3</v>
      </c>
    </row>
    <row r="54" spans="1:13" ht="15.75" customHeight="1">
      <c r="A54" s="236">
        <v>40</v>
      </c>
      <c r="B54" s="20"/>
      <c r="C54" s="18" t="s">
        <v>309</v>
      </c>
      <c r="D54" s="819"/>
      <c r="E54" s="820"/>
      <c r="F54" s="18">
        <v>1</v>
      </c>
      <c r="G54" s="18" t="s">
        <v>29</v>
      </c>
      <c r="H54" s="242"/>
      <c r="I54" s="242">
        <v>1E-3</v>
      </c>
      <c r="J54" s="242">
        <f t="shared" si="3"/>
        <v>1E-3</v>
      </c>
    </row>
    <row r="55" spans="1:13">
      <c r="A55" s="236">
        <v>41</v>
      </c>
      <c r="B55" s="20"/>
      <c r="C55" s="18" t="s">
        <v>81</v>
      </c>
      <c r="D55" s="819" t="s">
        <v>82</v>
      </c>
      <c r="E55" s="820"/>
      <c r="F55" s="18">
        <v>1</v>
      </c>
      <c r="G55" s="18" t="s">
        <v>29</v>
      </c>
      <c r="H55" s="242"/>
      <c r="I55" s="242">
        <v>1.2999999999999999E-2</v>
      </c>
      <c r="J55" s="242">
        <f t="shared" si="3"/>
        <v>1.2999999999999999E-2</v>
      </c>
      <c r="K55" s="21" t="s">
        <v>96</v>
      </c>
    </row>
    <row r="56" spans="1:13">
      <c r="A56" s="236">
        <v>42</v>
      </c>
      <c r="B56" s="20"/>
      <c r="C56" s="245" t="s">
        <v>83</v>
      </c>
      <c r="D56" s="821" t="s">
        <v>84</v>
      </c>
      <c r="E56" s="822"/>
      <c r="F56" s="245">
        <v>1</v>
      </c>
      <c r="G56" s="245" t="s">
        <v>44</v>
      </c>
      <c r="H56" s="245"/>
      <c r="I56" s="245">
        <v>3.0000000000000001E-3</v>
      </c>
      <c r="J56" s="242">
        <f t="shared" si="3"/>
        <v>3.0000000000000001E-3</v>
      </c>
      <c r="K56" s="21" t="s">
        <v>611</v>
      </c>
    </row>
    <row r="57" spans="1:13">
      <c r="A57" s="236">
        <v>43</v>
      </c>
      <c r="B57" s="20"/>
      <c r="C57" s="18" t="s">
        <v>132</v>
      </c>
      <c r="D57" s="819" t="s">
        <v>86</v>
      </c>
      <c r="E57" s="820"/>
      <c r="F57" s="18">
        <v>1</v>
      </c>
      <c r="G57" s="18" t="s">
        <v>29</v>
      </c>
      <c r="H57" s="242"/>
      <c r="I57" s="242">
        <v>5.0000000000000001E-3</v>
      </c>
      <c r="J57" s="242">
        <f t="shared" si="3"/>
        <v>5.0000000000000001E-3</v>
      </c>
    </row>
    <row r="58" spans="1:13" ht="31.5">
      <c r="A58" s="236">
        <v>44</v>
      </c>
      <c r="B58" s="20"/>
      <c r="C58" s="18" t="s">
        <v>89</v>
      </c>
      <c r="D58" s="819" t="s">
        <v>90</v>
      </c>
      <c r="E58" s="820"/>
      <c r="F58" s="18">
        <v>1</v>
      </c>
      <c r="G58" s="18" t="s">
        <v>29</v>
      </c>
      <c r="H58" s="242"/>
      <c r="I58" s="242">
        <v>0.02</v>
      </c>
      <c r="J58" s="242">
        <v>0.02</v>
      </c>
      <c r="K58" s="21" t="s">
        <v>497</v>
      </c>
    </row>
    <row r="59" spans="1:13">
      <c r="A59" s="236">
        <v>45</v>
      </c>
      <c r="B59" s="20"/>
      <c r="C59" s="18" t="s">
        <v>91</v>
      </c>
      <c r="D59" s="819" t="s">
        <v>92</v>
      </c>
      <c r="E59" s="820"/>
      <c r="F59" s="18">
        <v>1</v>
      </c>
      <c r="G59" s="18" t="s">
        <v>44</v>
      </c>
      <c r="H59" s="242"/>
      <c r="I59" s="242">
        <v>0.11</v>
      </c>
      <c r="J59" s="242">
        <f t="shared" ref="J59:J64" si="4">I59*F59</f>
        <v>0.11</v>
      </c>
      <c r="K59" s="21" t="s">
        <v>637</v>
      </c>
      <c r="L59" s="22"/>
      <c r="M59" s="22"/>
    </row>
    <row r="60" spans="1:13">
      <c r="A60" s="236">
        <v>46</v>
      </c>
      <c r="B60" s="20"/>
      <c r="C60" s="18" t="s">
        <v>93</v>
      </c>
      <c r="D60" s="819" t="s">
        <v>92</v>
      </c>
      <c r="E60" s="820"/>
      <c r="F60" s="18">
        <v>1</v>
      </c>
      <c r="G60" s="18" t="s">
        <v>44</v>
      </c>
      <c r="H60" s="242"/>
      <c r="I60" s="242">
        <v>1E-3</v>
      </c>
      <c r="J60" s="242">
        <f t="shared" si="4"/>
        <v>1E-3</v>
      </c>
      <c r="K60" s="21"/>
      <c r="L60" s="22"/>
      <c r="M60" s="22"/>
    </row>
    <row r="61" spans="1:13" s="24" customFormat="1" ht="15.75" customHeight="1">
      <c r="A61" s="236">
        <v>47</v>
      </c>
      <c r="B61" s="20"/>
      <c r="C61" s="18" t="s">
        <v>133</v>
      </c>
      <c r="D61" s="819"/>
      <c r="E61" s="820"/>
      <c r="F61" s="18">
        <v>1</v>
      </c>
      <c r="G61" s="245" t="s">
        <v>67</v>
      </c>
      <c r="H61" s="242"/>
      <c r="I61" s="242">
        <v>0.02</v>
      </c>
      <c r="J61" s="242">
        <f t="shared" si="4"/>
        <v>0.02</v>
      </c>
      <c r="K61" s="21" t="s">
        <v>638</v>
      </c>
      <c r="L61" s="22"/>
      <c r="M61" s="22"/>
    </row>
    <row r="62" spans="1:13" s="24" customFormat="1" ht="16.5" customHeight="1">
      <c r="A62" s="236">
        <v>48</v>
      </c>
      <c r="B62" s="20"/>
      <c r="C62" s="18" t="s">
        <v>97</v>
      </c>
      <c r="D62" s="819" t="s">
        <v>98</v>
      </c>
      <c r="E62" s="820"/>
      <c r="F62" s="18">
        <v>1</v>
      </c>
      <c r="G62" s="18" t="s">
        <v>44</v>
      </c>
      <c r="H62" s="242"/>
      <c r="I62" s="242">
        <v>4.0000000000000001E-3</v>
      </c>
      <c r="J62" s="242">
        <f t="shared" si="4"/>
        <v>4.0000000000000001E-3</v>
      </c>
      <c r="K62" s="21"/>
      <c r="L62" s="22"/>
      <c r="M62" s="22"/>
    </row>
    <row r="63" spans="1:13">
      <c r="A63" s="236">
        <v>49</v>
      </c>
      <c r="B63" s="23"/>
      <c r="C63" s="18" t="s">
        <v>99</v>
      </c>
      <c r="D63" s="823" t="s">
        <v>100</v>
      </c>
      <c r="E63" s="824"/>
      <c r="F63" s="18">
        <v>1</v>
      </c>
      <c r="G63" s="18" t="s">
        <v>44</v>
      </c>
      <c r="H63" s="242"/>
      <c r="I63" s="242">
        <v>1E-3</v>
      </c>
      <c r="J63" s="242">
        <f t="shared" si="4"/>
        <v>1E-3</v>
      </c>
      <c r="K63" s="21" t="s">
        <v>639</v>
      </c>
      <c r="L63" s="22"/>
      <c r="M63" s="22"/>
    </row>
    <row r="64" spans="1:13">
      <c r="A64" s="236">
        <v>50</v>
      </c>
      <c r="B64" s="23"/>
      <c r="C64" s="34" t="s">
        <v>121</v>
      </c>
      <c r="D64" s="821" t="s">
        <v>122</v>
      </c>
      <c r="E64" s="822"/>
      <c r="F64" s="34">
        <v>1</v>
      </c>
      <c r="G64" s="35" t="s">
        <v>123</v>
      </c>
      <c r="H64" s="242"/>
      <c r="I64" s="242">
        <v>1E-3</v>
      </c>
      <c r="J64" s="242">
        <f t="shared" si="4"/>
        <v>1E-3</v>
      </c>
      <c r="K64" s="21"/>
      <c r="L64" s="22"/>
      <c r="M64" s="22"/>
    </row>
    <row r="65" spans="1:13" ht="15.75" customHeight="1" thickBot="1">
      <c r="A65" s="236">
        <v>51</v>
      </c>
      <c r="B65" s="23"/>
      <c r="C65" s="245" t="s">
        <v>101</v>
      </c>
      <c r="D65" s="847" t="s">
        <v>102</v>
      </c>
      <c r="E65" s="848"/>
      <c r="F65" s="18">
        <v>1</v>
      </c>
      <c r="G65" s="18" t="s">
        <v>44</v>
      </c>
      <c r="H65" s="242"/>
      <c r="I65" s="242">
        <v>3.0000000000000001E-3</v>
      </c>
      <c r="J65" s="242">
        <v>3.0000000000000001E-3</v>
      </c>
      <c r="K65" s="21" t="s">
        <v>640</v>
      </c>
    </row>
    <row r="66" spans="1:13">
      <c r="A66" s="236">
        <v>52</v>
      </c>
      <c r="B66" s="23"/>
      <c r="C66" s="240" t="s">
        <v>104</v>
      </c>
      <c r="D66" s="851" t="s">
        <v>105</v>
      </c>
      <c r="E66" s="852"/>
      <c r="F66" s="235">
        <v>1</v>
      </c>
      <c r="G66" s="240" t="s">
        <v>106</v>
      </c>
      <c r="H66" s="240"/>
      <c r="I66" s="235">
        <v>1.2999999999999999E-2</v>
      </c>
      <c r="J66" s="246">
        <f>I66*F66</f>
        <v>1.2999999999999999E-2</v>
      </c>
      <c r="K66" s="21"/>
    </row>
    <row r="67" spans="1:13">
      <c r="A67" s="236">
        <v>53</v>
      </c>
      <c r="B67" s="20"/>
      <c r="C67" s="243" t="s">
        <v>107</v>
      </c>
      <c r="D67" s="846" t="s">
        <v>108</v>
      </c>
      <c r="E67" s="846"/>
      <c r="F67" s="244">
        <v>1</v>
      </c>
      <c r="G67" s="244" t="s">
        <v>44</v>
      </c>
      <c r="H67" s="244"/>
      <c r="I67" s="244">
        <v>1E-3</v>
      </c>
      <c r="J67" s="244">
        <v>1E-3</v>
      </c>
      <c r="K67" s="21" t="s">
        <v>103</v>
      </c>
    </row>
    <row r="68" spans="1:13">
      <c r="A68" s="236">
        <v>54</v>
      </c>
      <c r="B68" s="15"/>
      <c r="C68" s="245" t="s">
        <v>87</v>
      </c>
      <c r="D68" s="821" t="s">
        <v>88</v>
      </c>
      <c r="E68" s="822"/>
      <c r="F68" s="245">
        <v>1</v>
      </c>
      <c r="G68" s="245" t="s">
        <v>29</v>
      </c>
      <c r="H68" s="8"/>
      <c r="I68" s="245">
        <v>5.0000000000000001E-3</v>
      </c>
      <c r="J68" s="28">
        <f>I68*F68</f>
        <v>5.0000000000000001E-3</v>
      </c>
      <c r="K68" s="21" t="s">
        <v>641</v>
      </c>
    </row>
    <row r="77" spans="1:13">
      <c r="F77" s="5"/>
      <c r="G77" s="5"/>
      <c r="H77" s="5"/>
      <c r="I77" s="5"/>
    </row>
    <row r="78" spans="1:13">
      <c r="F78" s="5"/>
      <c r="G78" s="5"/>
      <c r="H78" s="5"/>
      <c r="I78" s="5"/>
      <c r="K78" s="22"/>
      <c r="L78" s="22"/>
      <c r="M78" s="22"/>
    </row>
    <row r="79" spans="1:13">
      <c r="F79" s="5"/>
      <c r="G79" s="5"/>
      <c r="H79" s="5"/>
      <c r="I79" s="5"/>
      <c r="K79" s="22"/>
      <c r="L79" s="22"/>
      <c r="M79" s="22"/>
    </row>
    <row r="80" spans="1:13">
      <c r="F80" s="5"/>
      <c r="G80" s="5"/>
      <c r="H80" s="5"/>
      <c r="I80" s="5"/>
      <c r="K80" s="22"/>
      <c r="L80" s="22"/>
      <c r="M80" s="22"/>
    </row>
    <row r="81" spans="10:13" s="5" customFormat="1">
      <c r="J81" s="26"/>
      <c r="K81" s="22"/>
      <c r="L81" s="22"/>
      <c r="M81" s="22"/>
    </row>
    <row r="82" spans="10:13" s="5" customFormat="1">
      <c r="J82" s="26"/>
      <c r="K82" s="22"/>
      <c r="L82" s="22"/>
      <c r="M82" s="22"/>
    </row>
    <row r="83" spans="10:13" s="5" customFormat="1">
      <c r="J83" s="26"/>
      <c r="K83" s="22"/>
      <c r="L83" s="22"/>
      <c r="M83" s="22"/>
    </row>
    <row r="84" spans="10:13" s="5" customFormat="1">
      <c r="J84" s="26"/>
      <c r="K84" s="22"/>
      <c r="L84" s="22"/>
      <c r="M84" s="22"/>
    </row>
    <row r="98" s="5" customFormat="1"/>
  </sheetData>
  <mergeCells count="47">
    <mergeCell ref="D66:E66"/>
    <mergeCell ref="D67:E67"/>
    <mergeCell ref="D68:E68"/>
    <mergeCell ref="D63:E63"/>
    <mergeCell ref="D57:E57"/>
    <mergeCell ref="D58:E58"/>
    <mergeCell ref="D59:E59"/>
    <mergeCell ref="D60:E60"/>
    <mergeCell ref="D62:E62"/>
    <mergeCell ref="D61:E61"/>
    <mergeCell ref="D64:E64"/>
    <mergeCell ref="D65:E65"/>
    <mergeCell ref="D56:E56"/>
    <mergeCell ref="D44:E44"/>
    <mergeCell ref="D45:E45"/>
    <mergeCell ref="D48:E48"/>
    <mergeCell ref="D49:E49"/>
    <mergeCell ref="D50:E50"/>
    <mergeCell ref="D51:E51"/>
    <mergeCell ref="D52:E52"/>
    <mergeCell ref="D53:E53"/>
    <mergeCell ref="D55:E55"/>
    <mergeCell ref="D54:E54"/>
    <mergeCell ref="A1:J2"/>
    <mergeCell ref="A3:A4"/>
    <mergeCell ref="B3:B4"/>
    <mergeCell ref="C3:C4"/>
    <mergeCell ref="D3:E4"/>
    <mergeCell ref="F3:F4"/>
    <mergeCell ref="G3:G4"/>
    <mergeCell ref="H3:H4"/>
    <mergeCell ref="I3:J3"/>
    <mergeCell ref="D5:D6"/>
    <mergeCell ref="E5:E6"/>
    <mergeCell ref="D30:E30"/>
    <mergeCell ref="D32:E32"/>
    <mergeCell ref="D46:E46"/>
    <mergeCell ref="D34:E34"/>
    <mergeCell ref="A35:J35"/>
    <mergeCell ref="D42:E42"/>
    <mergeCell ref="D43:E43"/>
    <mergeCell ref="J5:J6"/>
    <mergeCell ref="A11:J11"/>
    <mergeCell ref="A19:J19"/>
    <mergeCell ref="D24:E24"/>
    <mergeCell ref="D25:D26"/>
    <mergeCell ref="E25:E26"/>
  </mergeCells>
  <pageMargins left="3.937007874015748E-2" right="3.937007874015748E-2" top="0.19685039370078741" bottom="0" header="0.11811023622047244" footer="0.11811023622047244"/>
  <pageSetup paperSize="9" scale="67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view="pageBreakPreview" topLeftCell="A25" zoomScale="70" zoomScaleNormal="100" zoomScaleSheetLayoutView="70" workbookViewId="0">
      <selection activeCell="J49" sqref="J49"/>
    </sheetView>
  </sheetViews>
  <sheetFormatPr defaultRowHeight="15.75"/>
  <cols>
    <col min="1" max="1" width="6.42578125" style="5" customWidth="1"/>
    <col min="2" max="2" width="30.5703125" style="5" customWidth="1"/>
    <col min="3" max="3" width="40.85546875" style="5" customWidth="1"/>
    <col min="4" max="4" width="19.42578125" style="5" customWidth="1"/>
    <col min="5" max="5" width="17.5703125" style="5" customWidth="1"/>
    <col min="6" max="8" width="9.140625" style="25"/>
    <col min="9" max="9" width="10.85546875" style="25" customWidth="1"/>
    <col min="10" max="10" width="10.140625" style="26" customWidth="1"/>
    <col min="11" max="11" width="15.85546875" style="5" customWidth="1"/>
    <col min="12" max="255" width="9.140625" style="5"/>
    <col min="256" max="256" width="6.42578125" style="5" customWidth="1"/>
    <col min="257" max="257" width="30.5703125" style="5" customWidth="1"/>
    <col min="258" max="258" width="40.85546875" style="5" customWidth="1"/>
    <col min="259" max="259" width="19.42578125" style="5" customWidth="1"/>
    <col min="260" max="260" width="17.5703125" style="5" customWidth="1"/>
    <col min="261" max="262" width="9.140625" style="5"/>
    <col min="263" max="263" width="10.85546875" style="5" customWidth="1"/>
    <col min="264" max="264" width="10.140625" style="5" customWidth="1"/>
    <col min="265" max="265" width="13.28515625" style="5" bestFit="1" customWidth="1"/>
    <col min="266" max="511" width="9.140625" style="5"/>
    <col min="512" max="512" width="6.42578125" style="5" customWidth="1"/>
    <col min="513" max="513" width="30.5703125" style="5" customWidth="1"/>
    <col min="514" max="514" width="40.85546875" style="5" customWidth="1"/>
    <col min="515" max="515" width="19.42578125" style="5" customWidth="1"/>
    <col min="516" max="516" width="17.5703125" style="5" customWidth="1"/>
    <col min="517" max="518" width="9.140625" style="5"/>
    <col min="519" max="519" width="10.85546875" style="5" customWidth="1"/>
    <col min="520" max="520" width="10.140625" style="5" customWidth="1"/>
    <col min="521" max="521" width="13.28515625" style="5" bestFit="1" customWidth="1"/>
    <col min="522" max="767" width="9.140625" style="5"/>
    <col min="768" max="768" width="6.42578125" style="5" customWidth="1"/>
    <col min="769" max="769" width="30.5703125" style="5" customWidth="1"/>
    <col min="770" max="770" width="40.85546875" style="5" customWidth="1"/>
    <col min="771" max="771" width="19.42578125" style="5" customWidth="1"/>
    <col min="772" max="772" width="17.5703125" style="5" customWidth="1"/>
    <col min="773" max="774" width="9.140625" style="5"/>
    <col min="775" max="775" width="10.85546875" style="5" customWidth="1"/>
    <col min="776" max="776" width="10.140625" style="5" customWidth="1"/>
    <col min="777" max="777" width="13.28515625" style="5" bestFit="1" customWidth="1"/>
    <col min="778" max="1023" width="9.140625" style="5"/>
    <col min="1024" max="1024" width="6.42578125" style="5" customWidth="1"/>
    <col min="1025" max="1025" width="30.5703125" style="5" customWidth="1"/>
    <col min="1026" max="1026" width="40.85546875" style="5" customWidth="1"/>
    <col min="1027" max="1027" width="19.42578125" style="5" customWidth="1"/>
    <col min="1028" max="1028" width="17.5703125" style="5" customWidth="1"/>
    <col min="1029" max="1030" width="9.140625" style="5"/>
    <col min="1031" max="1031" width="10.85546875" style="5" customWidth="1"/>
    <col min="1032" max="1032" width="10.140625" style="5" customWidth="1"/>
    <col min="1033" max="1033" width="13.28515625" style="5" bestFit="1" customWidth="1"/>
    <col min="1034" max="1279" width="9.140625" style="5"/>
    <col min="1280" max="1280" width="6.42578125" style="5" customWidth="1"/>
    <col min="1281" max="1281" width="30.5703125" style="5" customWidth="1"/>
    <col min="1282" max="1282" width="40.85546875" style="5" customWidth="1"/>
    <col min="1283" max="1283" width="19.42578125" style="5" customWidth="1"/>
    <col min="1284" max="1284" width="17.5703125" style="5" customWidth="1"/>
    <col min="1285" max="1286" width="9.140625" style="5"/>
    <col min="1287" max="1287" width="10.85546875" style="5" customWidth="1"/>
    <col min="1288" max="1288" width="10.140625" style="5" customWidth="1"/>
    <col min="1289" max="1289" width="13.28515625" style="5" bestFit="1" customWidth="1"/>
    <col min="1290" max="1535" width="9.140625" style="5"/>
    <col min="1536" max="1536" width="6.42578125" style="5" customWidth="1"/>
    <col min="1537" max="1537" width="30.5703125" style="5" customWidth="1"/>
    <col min="1538" max="1538" width="40.85546875" style="5" customWidth="1"/>
    <col min="1539" max="1539" width="19.42578125" style="5" customWidth="1"/>
    <col min="1540" max="1540" width="17.5703125" style="5" customWidth="1"/>
    <col min="1541" max="1542" width="9.140625" style="5"/>
    <col min="1543" max="1543" width="10.85546875" style="5" customWidth="1"/>
    <col min="1544" max="1544" width="10.140625" style="5" customWidth="1"/>
    <col min="1545" max="1545" width="13.28515625" style="5" bestFit="1" customWidth="1"/>
    <col min="1546" max="1791" width="9.140625" style="5"/>
    <col min="1792" max="1792" width="6.42578125" style="5" customWidth="1"/>
    <col min="1793" max="1793" width="30.5703125" style="5" customWidth="1"/>
    <col min="1794" max="1794" width="40.85546875" style="5" customWidth="1"/>
    <col min="1795" max="1795" width="19.42578125" style="5" customWidth="1"/>
    <col min="1796" max="1796" width="17.5703125" style="5" customWidth="1"/>
    <col min="1797" max="1798" width="9.140625" style="5"/>
    <col min="1799" max="1799" width="10.85546875" style="5" customWidth="1"/>
    <col min="1800" max="1800" width="10.140625" style="5" customWidth="1"/>
    <col min="1801" max="1801" width="13.28515625" style="5" bestFit="1" customWidth="1"/>
    <col min="1802" max="2047" width="9.140625" style="5"/>
    <col min="2048" max="2048" width="6.42578125" style="5" customWidth="1"/>
    <col min="2049" max="2049" width="30.5703125" style="5" customWidth="1"/>
    <col min="2050" max="2050" width="40.85546875" style="5" customWidth="1"/>
    <col min="2051" max="2051" width="19.42578125" style="5" customWidth="1"/>
    <col min="2052" max="2052" width="17.5703125" style="5" customWidth="1"/>
    <col min="2053" max="2054" width="9.140625" style="5"/>
    <col min="2055" max="2055" width="10.85546875" style="5" customWidth="1"/>
    <col min="2056" max="2056" width="10.140625" style="5" customWidth="1"/>
    <col min="2057" max="2057" width="13.28515625" style="5" bestFit="1" customWidth="1"/>
    <col min="2058" max="2303" width="9.140625" style="5"/>
    <col min="2304" max="2304" width="6.42578125" style="5" customWidth="1"/>
    <col min="2305" max="2305" width="30.5703125" style="5" customWidth="1"/>
    <col min="2306" max="2306" width="40.85546875" style="5" customWidth="1"/>
    <col min="2307" max="2307" width="19.42578125" style="5" customWidth="1"/>
    <col min="2308" max="2308" width="17.5703125" style="5" customWidth="1"/>
    <col min="2309" max="2310" width="9.140625" style="5"/>
    <col min="2311" max="2311" width="10.85546875" style="5" customWidth="1"/>
    <col min="2312" max="2312" width="10.140625" style="5" customWidth="1"/>
    <col min="2313" max="2313" width="13.28515625" style="5" bestFit="1" customWidth="1"/>
    <col min="2314" max="2559" width="9.140625" style="5"/>
    <col min="2560" max="2560" width="6.42578125" style="5" customWidth="1"/>
    <col min="2561" max="2561" width="30.5703125" style="5" customWidth="1"/>
    <col min="2562" max="2562" width="40.85546875" style="5" customWidth="1"/>
    <col min="2563" max="2563" width="19.42578125" style="5" customWidth="1"/>
    <col min="2564" max="2564" width="17.5703125" style="5" customWidth="1"/>
    <col min="2565" max="2566" width="9.140625" style="5"/>
    <col min="2567" max="2567" width="10.85546875" style="5" customWidth="1"/>
    <col min="2568" max="2568" width="10.140625" style="5" customWidth="1"/>
    <col min="2569" max="2569" width="13.28515625" style="5" bestFit="1" customWidth="1"/>
    <col min="2570" max="2815" width="9.140625" style="5"/>
    <col min="2816" max="2816" width="6.42578125" style="5" customWidth="1"/>
    <col min="2817" max="2817" width="30.5703125" style="5" customWidth="1"/>
    <col min="2818" max="2818" width="40.85546875" style="5" customWidth="1"/>
    <col min="2819" max="2819" width="19.42578125" style="5" customWidth="1"/>
    <col min="2820" max="2820" width="17.5703125" style="5" customWidth="1"/>
    <col min="2821" max="2822" width="9.140625" style="5"/>
    <col min="2823" max="2823" width="10.85546875" style="5" customWidth="1"/>
    <col min="2824" max="2824" width="10.140625" style="5" customWidth="1"/>
    <col min="2825" max="2825" width="13.28515625" style="5" bestFit="1" customWidth="1"/>
    <col min="2826" max="3071" width="9.140625" style="5"/>
    <col min="3072" max="3072" width="6.42578125" style="5" customWidth="1"/>
    <col min="3073" max="3073" width="30.5703125" style="5" customWidth="1"/>
    <col min="3074" max="3074" width="40.85546875" style="5" customWidth="1"/>
    <col min="3075" max="3075" width="19.42578125" style="5" customWidth="1"/>
    <col min="3076" max="3076" width="17.5703125" style="5" customWidth="1"/>
    <col min="3077" max="3078" width="9.140625" style="5"/>
    <col min="3079" max="3079" width="10.85546875" style="5" customWidth="1"/>
    <col min="3080" max="3080" width="10.140625" style="5" customWidth="1"/>
    <col min="3081" max="3081" width="13.28515625" style="5" bestFit="1" customWidth="1"/>
    <col min="3082" max="3327" width="9.140625" style="5"/>
    <col min="3328" max="3328" width="6.42578125" style="5" customWidth="1"/>
    <col min="3329" max="3329" width="30.5703125" style="5" customWidth="1"/>
    <col min="3330" max="3330" width="40.85546875" style="5" customWidth="1"/>
    <col min="3331" max="3331" width="19.42578125" style="5" customWidth="1"/>
    <col min="3332" max="3332" width="17.5703125" style="5" customWidth="1"/>
    <col min="3333" max="3334" width="9.140625" style="5"/>
    <col min="3335" max="3335" width="10.85546875" style="5" customWidth="1"/>
    <col min="3336" max="3336" width="10.140625" style="5" customWidth="1"/>
    <col min="3337" max="3337" width="13.28515625" style="5" bestFit="1" customWidth="1"/>
    <col min="3338" max="3583" width="9.140625" style="5"/>
    <col min="3584" max="3584" width="6.42578125" style="5" customWidth="1"/>
    <col min="3585" max="3585" width="30.5703125" style="5" customWidth="1"/>
    <col min="3586" max="3586" width="40.85546875" style="5" customWidth="1"/>
    <col min="3587" max="3587" width="19.42578125" style="5" customWidth="1"/>
    <col min="3588" max="3588" width="17.5703125" style="5" customWidth="1"/>
    <col min="3589" max="3590" width="9.140625" style="5"/>
    <col min="3591" max="3591" width="10.85546875" style="5" customWidth="1"/>
    <col min="3592" max="3592" width="10.140625" style="5" customWidth="1"/>
    <col min="3593" max="3593" width="13.28515625" style="5" bestFit="1" customWidth="1"/>
    <col min="3594" max="3839" width="9.140625" style="5"/>
    <col min="3840" max="3840" width="6.42578125" style="5" customWidth="1"/>
    <col min="3841" max="3841" width="30.5703125" style="5" customWidth="1"/>
    <col min="3842" max="3842" width="40.85546875" style="5" customWidth="1"/>
    <col min="3843" max="3843" width="19.42578125" style="5" customWidth="1"/>
    <col min="3844" max="3844" width="17.5703125" style="5" customWidth="1"/>
    <col min="3845" max="3846" width="9.140625" style="5"/>
    <col min="3847" max="3847" width="10.85546875" style="5" customWidth="1"/>
    <col min="3848" max="3848" width="10.140625" style="5" customWidth="1"/>
    <col min="3849" max="3849" width="13.28515625" style="5" bestFit="1" customWidth="1"/>
    <col min="3850" max="4095" width="9.140625" style="5"/>
    <col min="4096" max="4096" width="6.42578125" style="5" customWidth="1"/>
    <col min="4097" max="4097" width="30.5703125" style="5" customWidth="1"/>
    <col min="4098" max="4098" width="40.85546875" style="5" customWidth="1"/>
    <col min="4099" max="4099" width="19.42578125" style="5" customWidth="1"/>
    <col min="4100" max="4100" width="17.5703125" style="5" customWidth="1"/>
    <col min="4101" max="4102" width="9.140625" style="5"/>
    <col min="4103" max="4103" width="10.85546875" style="5" customWidth="1"/>
    <col min="4104" max="4104" width="10.140625" style="5" customWidth="1"/>
    <col min="4105" max="4105" width="13.28515625" style="5" bestFit="1" customWidth="1"/>
    <col min="4106" max="4351" width="9.140625" style="5"/>
    <col min="4352" max="4352" width="6.42578125" style="5" customWidth="1"/>
    <col min="4353" max="4353" width="30.5703125" style="5" customWidth="1"/>
    <col min="4354" max="4354" width="40.85546875" style="5" customWidth="1"/>
    <col min="4355" max="4355" width="19.42578125" style="5" customWidth="1"/>
    <col min="4356" max="4356" width="17.5703125" style="5" customWidth="1"/>
    <col min="4357" max="4358" width="9.140625" style="5"/>
    <col min="4359" max="4359" width="10.85546875" style="5" customWidth="1"/>
    <col min="4360" max="4360" width="10.140625" style="5" customWidth="1"/>
    <col min="4361" max="4361" width="13.28515625" style="5" bestFit="1" customWidth="1"/>
    <col min="4362" max="4607" width="9.140625" style="5"/>
    <col min="4608" max="4608" width="6.42578125" style="5" customWidth="1"/>
    <col min="4609" max="4609" width="30.5703125" style="5" customWidth="1"/>
    <col min="4610" max="4610" width="40.85546875" style="5" customWidth="1"/>
    <col min="4611" max="4611" width="19.42578125" style="5" customWidth="1"/>
    <col min="4612" max="4612" width="17.5703125" style="5" customWidth="1"/>
    <col min="4613" max="4614" width="9.140625" style="5"/>
    <col min="4615" max="4615" width="10.85546875" style="5" customWidth="1"/>
    <col min="4616" max="4616" width="10.140625" style="5" customWidth="1"/>
    <col min="4617" max="4617" width="13.28515625" style="5" bestFit="1" customWidth="1"/>
    <col min="4618" max="4863" width="9.140625" style="5"/>
    <col min="4864" max="4864" width="6.42578125" style="5" customWidth="1"/>
    <col min="4865" max="4865" width="30.5703125" style="5" customWidth="1"/>
    <col min="4866" max="4866" width="40.85546875" style="5" customWidth="1"/>
    <col min="4867" max="4867" width="19.42578125" style="5" customWidth="1"/>
    <col min="4868" max="4868" width="17.5703125" style="5" customWidth="1"/>
    <col min="4869" max="4870" width="9.140625" style="5"/>
    <col min="4871" max="4871" width="10.85546875" style="5" customWidth="1"/>
    <col min="4872" max="4872" width="10.140625" style="5" customWidth="1"/>
    <col min="4873" max="4873" width="13.28515625" style="5" bestFit="1" customWidth="1"/>
    <col min="4874" max="5119" width="9.140625" style="5"/>
    <col min="5120" max="5120" width="6.42578125" style="5" customWidth="1"/>
    <col min="5121" max="5121" width="30.5703125" style="5" customWidth="1"/>
    <col min="5122" max="5122" width="40.85546875" style="5" customWidth="1"/>
    <col min="5123" max="5123" width="19.42578125" style="5" customWidth="1"/>
    <col min="5124" max="5124" width="17.5703125" style="5" customWidth="1"/>
    <col min="5125" max="5126" width="9.140625" style="5"/>
    <col min="5127" max="5127" width="10.85546875" style="5" customWidth="1"/>
    <col min="5128" max="5128" width="10.140625" style="5" customWidth="1"/>
    <col min="5129" max="5129" width="13.28515625" style="5" bestFit="1" customWidth="1"/>
    <col min="5130" max="5375" width="9.140625" style="5"/>
    <col min="5376" max="5376" width="6.42578125" style="5" customWidth="1"/>
    <col min="5377" max="5377" width="30.5703125" style="5" customWidth="1"/>
    <col min="5378" max="5378" width="40.85546875" style="5" customWidth="1"/>
    <col min="5379" max="5379" width="19.42578125" style="5" customWidth="1"/>
    <col min="5380" max="5380" width="17.5703125" style="5" customWidth="1"/>
    <col min="5381" max="5382" width="9.140625" style="5"/>
    <col min="5383" max="5383" width="10.85546875" style="5" customWidth="1"/>
    <col min="5384" max="5384" width="10.140625" style="5" customWidth="1"/>
    <col min="5385" max="5385" width="13.28515625" style="5" bestFit="1" customWidth="1"/>
    <col min="5386" max="5631" width="9.140625" style="5"/>
    <col min="5632" max="5632" width="6.42578125" style="5" customWidth="1"/>
    <col min="5633" max="5633" width="30.5703125" style="5" customWidth="1"/>
    <col min="5634" max="5634" width="40.85546875" style="5" customWidth="1"/>
    <col min="5635" max="5635" width="19.42578125" style="5" customWidth="1"/>
    <col min="5636" max="5636" width="17.5703125" style="5" customWidth="1"/>
    <col min="5637" max="5638" width="9.140625" style="5"/>
    <col min="5639" max="5639" width="10.85546875" style="5" customWidth="1"/>
    <col min="5640" max="5640" width="10.140625" style="5" customWidth="1"/>
    <col min="5641" max="5641" width="13.28515625" style="5" bestFit="1" customWidth="1"/>
    <col min="5642" max="5887" width="9.140625" style="5"/>
    <col min="5888" max="5888" width="6.42578125" style="5" customWidth="1"/>
    <col min="5889" max="5889" width="30.5703125" style="5" customWidth="1"/>
    <col min="5890" max="5890" width="40.85546875" style="5" customWidth="1"/>
    <col min="5891" max="5891" width="19.42578125" style="5" customWidth="1"/>
    <col min="5892" max="5892" width="17.5703125" style="5" customWidth="1"/>
    <col min="5893" max="5894" width="9.140625" style="5"/>
    <col min="5895" max="5895" width="10.85546875" style="5" customWidth="1"/>
    <col min="5896" max="5896" width="10.140625" style="5" customWidth="1"/>
    <col min="5897" max="5897" width="13.28515625" style="5" bestFit="1" customWidth="1"/>
    <col min="5898" max="6143" width="9.140625" style="5"/>
    <col min="6144" max="6144" width="6.42578125" style="5" customWidth="1"/>
    <col min="6145" max="6145" width="30.5703125" style="5" customWidth="1"/>
    <col min="6146" max="6146" width="40.85546875" style="5" customWidth="1"/>
    <col min="6147" max="6147" width="19.42578125" style="5" customWidth="1"/>
    <col min="6148" max="6148" width="17.5703125" style="5" customWidth="1"/>
    <col min="6149" max="6150" width="9.140625" style="5"/>
    <col min="6151" max="6151" width="10.85546875" style="5" customWidth="1"/>
    <col min="6152" max="6152" width="10.140625" style="5" customWidth="1"/>
    <col min="6153" max="6153" width="13.28515625" style="5" bestFit="1" customWidth="1"/>
    <col min="6154" max="6399" width="9.140625" style="5"/>
    <col min="6400" max="6400" width="6.42578125" style="5" customWidth="1"/>
    <col min="6401" max="6401" width="30.5703125" style="5" customWidth="1"/>
    <col min="6402" max="6402" width="40.85546875" style="5" customWidth="1"/>
    <col min="6403" max="6403" width="19.42578125" style="5" customWidth="1"/>
    <col min="6404" max="6404" width="17.5703125" style="5" customWidth="1"/>
    <col min="6405" max="6406" width="9.140625" style="5"/>
    <col min="6407" max="6407" width="10.85546875" style="5" customWidth="1"/>
    <col min="6408" max="6408" width="10.140625" style="5" customWidth="1"/>
    <col min="6409" max="6409" width="13.28515625" style="5" bestFit="1" customWidth="1"/>
    <col min="6410" max="6655" width="9.140625" style="5"/>
    <col min="6656" max="6656" width="6.42578125" style="5" customWidth="1"/>
    <col min="6657" max="6657" width="30.5703125" style="5" customWidth="1"/>
    <col min="6658" max="6658" width="40.85546875" style="5" customWidth="1"/>
    <col min="6659" max="6659" width="19.42578125" style="5" customWidth="1"/>
    <col min="6660" max="6660" width="17.5703125" style="5" customWidth="1"/>
    <col min="6661" max="6662" width="9.140625" style="5"/>
    <col min="6663" max="6663" width="10.85546875" style="5" customWidth="1"/>
    <col min="6664" max="6664" width="10.140625" style="5" customWidth="1"/>
    <col min="6665" max="6665" width="13.28515625" style="5" bestFit="1" customWidth="1"/>
    <col min="6666" max="6911" width="9.140625" style="5"/>
    <col min="6912" max="6912" width="6.42578125" style="5" customWidth="1"/>
    <col min="6913" max="6913" width="30.5703125" style="5" customWidth="1"/>
    <col min="6914" max="6914" width="40.85546875" style="5" customWidth="1"/>
    <col min="6915" max="6915" width="19.42578125" style="5" customWidth="1"/>
    <col min="6916" max="6916" width="17.5703125" style="5" customWidth="1"/>
    <col min="6917" max="6918" width="9.140625" style="5"/>
    <col min="6919" max="6919" width="10.85546875" style="5" customWidth="1"/>
    <col min="6920" max="6920" width="10.140625" style="5" customWidth="1"/>
    <col min="6921" max="6921" width="13.28515625" style="5" bestFit="1" customWidth="1"/>
    <col min="6922" max="7167" width="9.140625" style="5"/>
    <col min="7168" max="7168" width="6.42578125" style="5" customWidth="1"/>
    <col min="7169" max="7169" width="30.5703125" style="5" customWidth="1"/>
    <col min="7170" max="7170" width="40.85546875" style="5" customWidth="1"/>
    <col min="7171" max="7171" width="19.42578125" style="5" customWidth="1"/>
    <col min="7172" max="7172" width="17.5703125" style="5" customWidth="1"/>
    <col min="7173" max="7174" width="9.140625" style="5"/>
    <col min="7175" max="7175" width="10.85546875" style="5" customWidth="1"/>
    <col min="7176" max="7176" width="10.140625" style="5" customWidth="1"/>
    <col min="7177" max="7177" width="13.28515625" style="5" bestFit="1" customWidth="1"/>
    <col min="7178" max="7423" width="9.140625" style="5"/>
    <col min="7424" max="7424" width="6.42578125" style="5" customWidth="1"/>
    <col min="7425" max="7425" width="30.5703125" style="5" customWidth="1"/>
    <col min="7426" max="7426" width="40.85546875" style="5" customWidth="1"/>
    <col min="7427" max="7427" width="19.42578125" style="5" customWidth="1"/>
    <col min="7428" max="7428" width="17.5703125" style="5" customWidth="1"/>
    <col min="7429" max="7430" width="9.140625" style="5"/>
    <col min="7431" max="7431" width="10.85546875" style="5" customWidth="1"/>
    <col min="7432" max="7432" width="10.140625" style="5" customWidth="1"/>
    <col min="7433" max="7433" width="13.28515625" style="5" bestFit="1" customWidth="1"/>
    <col min="7434" max="7679" width="9.140625" style="5"/>
    <col min="7680" max="7680" width="6.42578125" style="5" customWidth="1"/>
    <col min="7681" max="7681" width="30.5703125" style="5" customWidth="1"/>
    <col min="7682" max="7682" width="40.85546875" style="5" customWidth="1"/>
    <col min="7683" max="7683" width="19.42578125" style="5" customWidth="1"/>
    <col min="7684" max="7684" width="17.5703125" style="5" customWidth="1"/>
    <col min="7685" max="7686" width="9.140625" style="5"/>
    <col min="7687" max="7687" width="10.85546875" style="5" customWidth="1"/>
    <col min="7688" max="7688" width="10.140625" style="5" customWidth="1"/>
    <col min="7689" max="7689" width="13.28515625" style="5" bestFit="1" customWidth="1"/>
    <col min="7690" max="7935" width="9.140625" style="5"/>
    <col min="7936" max="7936" width="6.42578125" style="5" customWidth="1"/>
    <col min="7937" max="7937" width="30.5703125" style="5" customWidth="1"/>
    <col min="7938" max="7938" width="40.85546875" style="5" customWidth="1"/>
    <col min="7939" max="7939" width="19.42578125" style="5" customWidth="1"/>
    <col min="7940" max="7940" width="17.5703125" style="5" customWidth="1"/>
    <col min="7941" max="7942" width="9.140625" style="5"/>
    <col min="7943" max="7943" width="10.85546875" style="5" customWidth="1"/>
    <col min="7944" max="7944" width="10.140625" style="5" customWidth="1"/>
    <col min="7945" max="7945" width="13.28515625" style="5" bestFit="1" customWidth="1"/>
    <col min="7946" max="8191" width="9.140625" style="5"/>
    <col min="8192" max="8192" width="6.42578125" style="5" customWidth="1"/>
    <col min="8193" max="8193" width="30.5703125" style="5" customWidth="1"/>
    <col min="8194" max="8194" width="40.85546875" style="5" customWidth="1"/>
    <col min="8195" max="8195" width="19.42578125" style="5" customWidth="1"/>
    <col min="8196" max="8196" width="17.5703125" style="5" customWidth="1"/>
    <col min="8197" max="8198" width="9.140625" style="5"/>
    <col min="8199" max="8199" width="10.85546875" style="5" customWidth="1"/>
    <col min="8200" max="8200" width="10.140625" style="5" customWidth="1"/>
    <col min="8201" max="8201" width="13.28515625" style="5" bestFit="1" customWidth="1"/>
    <col min="8202" max="8447" width="9.140625" style="5"/>
    <col min="8448" max="8448" width="6.42578125" style="5" customWidth="1"/>
    <col min="8449" max="8449" width="30.5703125" style="5" customWidth="1"/>
    <col min="8450" max="8450" width="40.85546875" style="5" customWidth="1"/>
    <col min="8451" max="8451" width="19.42578125" style="5" customWidth="1"/>
    <col min="8452" max="8452" width="17.5703125" style="5" customWidth="1"/>
    <col min="8453" max="8454" width="9.140625" style="5"/>
    <col min="8455" max="8455" width="10.85546875" style="5" customWidth="1"/>
    <col min="8456" max="8456" width="10.140625" style="5" customWidth="1"/>
    <col min="8457" max="8457" width="13.28515625" style="5" bestFit="1" customWidth="1"/>
    <col min="8458" max="8703" width="9.140625" style="5"/>
    <col min="8704" max="8704" width="6.42578125" style="5" customWidth="1"/>
    <col min="8705" max="8705" width="30.5703125" style="5" customWidth="1"/>
    <col min="8706" max="8706" width="40.85546875" style="5" customWidth="1"/>
    <col min="8707" max="8707" width="19.42578125" style="5" customWidth="1"/>
    <col min="8708" max="8708" width="17.5703125" style="5" customWidth="1"/>
    <col min="8709" max="8710" width="9.140625" style="5"/>
    <col min="8711" max="8711" width="10.85546875" style="5" customWidth="1"/>
    <col min="8712" max="8712" width="10.140625" style="5" customWidth="1"/>
    <col min="8713" max="8713" width="13.28515625" style="5" bestFit="1" customWidth="1"/>
    <col min="8714" max="8959" width="9.140625" style="5"/>
    <col min="8960" max="8960" width="6.42578125" style="5" customWidth="1"/>
    <col min="8961" max="8961" width="30.5703125" style="5" customWidth="1"/>
    <col min="8962" max="8962" width="40.85546875" style="5" customWidth="1"/>
    <col min="8963" max="8963" width="19.42578125" style="5" customWidth="1"/>
    <col min="8964" max="8964" width="17.5703125" style="5" customWidth="1"/>
    <col min="8965" max="8966" width="9.140625" style="5"/>
    <col min="8967" max="8967" width="10.85546875" style="5" customWidth="1"/>
    <col min="8968" max="8968" width="10.140625" style="5" customWidth="1"/>
    <col min="8969" max="8969" width="13.28515625" style="5" bestFit="1" customWidth="1"/>
    <col min="8970" max="9215" width="9.140625" style="5"/>
    <col min="9216" max="9216" width="6.42578125" style="5" customWidth="1"/>
    <col min="9217" max="9217" width="30.5703125" style="5" customWidth="1"/>
    <col min="9218" max="9218" width="40.85546875" style="5" customWidth="1"/>
    <col min="9219" max="9219" width="19.42578125" style="5" customWidth="1"/>
    <col min="9220" max="9220" width="17.5703125" style="5" customWidth="1"/>
    <col min="9221" max="9222" width="9.140625" style="5"/>
    <col min="9223" max="9223" width="10.85546875" style="5" customWidth="1"/>
    <col min="9224" max="9224" width="10.140625" style="5" customWidth="1"/>
    <col min="9225" max="9225" width="13.28515625" style="5" bestFit="1" customWidth="1"/>
    <col min="9226" max="9471" width="9.140625" style="5"/>
    <col min="9472" max="9472" width="6.42578125" style="5" customWidth="1"/>
    <col min="9473" max="9473" width="30.5703125" style="5" customWidth="1"/>
    <col min="9474" max="9474" width="40.85546875" style="5" customWidth="1"/>
    <col min="9475" max="9475" width="19.42578125" style="5" customWidth="1"/>
    <col min="9476" max="9476" width="17.5703125" style="5" customWidth="1"/>
    <col min="9477" max="9478" width="9.140625" style="5"/>
    <col min="9479" max="9479" width="10.85546875" style="5" customWidth="1"/>
    <col min="9480" max="9480" width="10.140625" style="5" customWidth="1"/>
    <col min="9481" max="9481" width="13.28515625" style="5" bestFit="1" customWidth="1"/>
    <col min="9482" max="9727" width="9.140625" style="5"/>
    <col min="9728" max="9728" width="6.42578125" style="5" customWidth="1"/>
    <col min="9729" max="9729" width="30.5703125" style="5" customWidth="1"/>
    <col min="9730" max="9730" width="40.85546875" style="5" customWidth="1"/>
    <col min="9731" max="9731" width="19.42578125" style="5" customWidth="1"/>
    <col min="9732" max="9732" width="17.5703125" style="5" customWidth="1"/>
    <col min="9733" max="9734" width="9.140625" style="5"/>
    <col min="9735" max="9735" width="10.85546875" style="5" customWidth="1"/>
    <col min="9736" max="9736" width="10.140625" style="5" customWidth="1"/>
    <col min="9737" max="9737" width="13.28515625" style="5" bestFit="1" customWidth="1"/>
    <col min="9738" max="9983" width="9.140625" style="5"/>
    <col min="9984" max="9984" width="6.42578125" style="5" customWidth="1"/>
    <col min="9985" max="9985" width="30.5703125" style="5" customWidth="1"/>
    <col min="9986" max="9986" width="40.85546875" style="5" customWidth="1"/>
    <col min="9987" max="9987" width="19.42578125" style="5" customWidth="1"/>
    <col min="9988" max="9988" width="17.5703125" style="5" customWidth="1"/>
    <col min="9989" max="9990" width="9.140625" style="5"/>
    <col min="9991" max="9991" width="10.85546875" style="5" customWidth="1"/>
    <col min="9992" max="9992" width="10.140625" style="5" customWidth="1"/>
    <col min="9993" max="9993" width="13.28515625" style="5" bestFit="1" customWidth="1"/>
    <col min="9994" max="10239" width="9.140625" style="5"/>
    <col min="10240" max="10240" width="6.42578125" style="5" customWidth="1"/>
    <col min="10241" max="10241" width="30.5703125" style="5" customWidth="1"/>
    <col min="10242" max="10242" width="40.85546875" style="5" customWidth="1"/>
    <col min="10243" max="10243" width="19.42578125" style="5" customWidth="1"/>
    <col min="10244" max="10244" width="17.5703125" style="5" customWidth="1"/>
    <col min="10245" max="10246" width="9.140625" style="5"/>
    <col min="10247" max="10247" width="10.85546875" style="5" customWidth="1"/>
    <col min="10248" max="10248" width="10.140625" style="5" customWidth="1"/>
    <col min="10249" max="10249" width="13.28515625" style="5" bestFit="1" customWidth="1"/>
    <col min="10250" max="10495" width="9.140625" style="5"/>
    <col min="10496" max="10496" width="6.42578125" style="5" customWidth="1"/>
    <col min="10497" max="10497" width="30.5703125" style="5" customWidth="1"/>
    <col min="10498" max="10498" width="40.85546875" style="5" customWidth="1"/>
    <col min="10499" max="10499" width="19.42578125" style="5" customWidth="1"/>
    <col min="10500" max="10500" width="17.5703125" style="5" customWidth="1"/>
    <col min="10501" max="10502" width="9.140625" style="5"/>
    <col min="10503" max="10503" width="10.85546875" style="5" customWidth="1"/>
    <col min="10504" max="10504" width="10.140625" style="5" customWidth="1"/>
    <col min="10505" max="10505" width="13.28515625" style="5" bestFit="1" customWidth="1"/>
    <col min="10506" max="10751" width="9.140625" style="5"/>
    <col min="10752" max="10752" width="6.42578125" style="5" customWidth="1"/>
    <col min="10753" max="10753" width="30.5703125" style="5" customWidth="1"/>
    <col min="10754" max="10754" width="40.85546875" style="5" customWidth="1"/>
    <col min="10755" max="10755" width="19.42578125" style="5" customWidth="1"/>
    <col min="10756" max="10756" width="17.5703125" style="5" customWidth="1"/>
    <col min="10757" max="10758" width="9.140625" style="5"/>
    <col min="10759" max="10759" width="10.85546875" style="5" customWidth="1"/>
    <col min="10760" max="10760" width="10.140625" style="5" customWidth="1"/>
    <col min="10761" max="10761" width="13.28515625" style="5" bestFit="1" customWidth="1"/>
    <col min="10762" max="11007" width="9.140625" style="5"/>
    <col min="11008" max="11008" width="6.42578125" style="5" customWidth="1"/>
    <col min="11009" max="11009" width="30.5703125" style="5" customWidth="1"/>
    <col min="11010" max="11010" width="40.85546875" style="5" customWidth="1"/>
    <col min="11011" max="11011" width="19.42578125" style="5" customWidth="1"/>
    <col min="11012" max="11012" width="17.5703125" style="5" customWidth="1"/>
    <col min="11013" max="11014" width="9.140625" style="5"/>
    <col min="11015" max="11015" width="10.85546875" style="5" customWidth="1"/>
    <col min="11016" max="11016" width="10.140625" style="5" customWidth="1"/>
    <col min="11017" max="11017" width="13.28515625" style="5" bestFit="1" customWidth="1"/>
    <col min="11018" max="11263" width="9.140625" style="5"/>
    <col min="11264" max="11264" width="6.42578125" style="5" customWidth="1"/>
    <col min="11265" max="11265" width="30.5703125" style="5" customWidth="1"/>
    <col min="11266" max="11266" width="40.85546875" style="5" customWidth="1"/>
    <col min="11267" max="11267" width="19.42578125" style="5" customWidth="1"/>
    <col min="11268" max="11268" width="17.5703125" style="5" customWidth="1"/>
    <col min="11269" max="11270" width="9.140625" style="5"/>
    <col min="11271" max="11271" width="10.85546875" style="5" customWidth="1"/>
    <col min="11272" max="11272" width="10.140625" style="5" customWidth="1"/>
    <col min="11273" max="11273" width="13.28515625" style="5" bestFit="1" customWidth="1"/>
    <col min="11274" max="11519" width="9.140625" style="5"/>
    <col min="11520" max="11520" width="6.42578125" style="5" customWidth="1"/>
    <col min="11521" max="11521" width="30.5703125" style="5" customWidth="1"/>
    <col min="11522" max="11522" width="40.85546875" style="5" customWidth="1"/>
    <col min="11523" max="11523" width="19.42578125" style="5" customWidth="1"/>
    <col min="11524" max="11524" width="17.5703125" style="5" customWidth="1"/>
    <col min="11525" max="11526" width="9.140625" style="5"/>
    <col min="11527" max="11527" width="10.85546875" style="5" customWidth="1"/>
    <col min="11528" max="11528" width="10.140625" style="5" customWidth="1"/>
    <col min="11529" max="11529" width="13.28515625" style="5" bestFit="1" customWidth="1"/>
    <col min="11530" max="11775" width="9.140625" style="5"/>
    <col min="11776" max="11776" width="6.42578125" style="5" customWidth="1"/>
    <col min="11777" max="11777" width="30.5703125" style="5" customWidth="1"/>
    <col min="11778" max="11778" width="40.85546875" style="5" customWidth="1"/>
    <col min="11779" max="11779" width="19.42578125" style="5" customWidth="1"/>
    <col min="11780" max="11780" width="17.5703125" style="5" customWidth="1"/>
    <col min="11781" max="11782" width="9.140625" style="5"/>
    <col min="11783" max="11783" width="10.85546875" style="5" customWidth="1"/>
    <col min="11784" max="11784" width="10.140625" style="5" customWidth="1"/>
    <col min="11785" max="11785" width="13.28515625" style="5" bestFit="1" customWidth="1"/>
    <col min="11786" max="12031" width="9.140625" style="5"/>
    <col min="12032" max="12032" width="6.42578125" style="5" customWidth="1"/>
    <col min="12033" max="12033" width="30.5703125" style="5" customWidth="1"/>
    <col min="12034" max="12034" width="40.85546875" style="5" customWidth="1"/>
    <col min="12035" max="12035" width="19.42578125" style="5" customWidth="1"/>
    <col min="12036" max="12036" width="17.5703125" style="5" customWidth="1"/>
    <col min="12037" max="12038" width="9.140625" style="5"/>
    <col min="12039" max="12039" width="10.85546875" style="5" customWidth="1"/>
    <col min="12040" max="12040" width="10.140625" style="5" customWidth="1"/>
    <col min="12041" max="12041" width="13.28515625" style="5" bestFit="1" customWidth="1"/>
    <col min="12042" max="12287" width="9.140625" style="5"/>
    <col min="12288" max="12288" width="6.42578125" style="5" customWidth="1"/>
    <col min="12289" max="12289" width="30.5703125" style="5" customWidth="1"/>
    <col min="12290" max="12290" width="40.85546875" style="5" customWidth="1"/>
    <col min="12291" max="12291" width="19.42578125" style="5" customWidth="1"/>
    <col min="12292" max="12292" width="17.5703125" style="5" customWidth="1"/>
    <col min="12293" max="12294" width="9.140625" style="5"/>
    <col min="12295" max="12295" width="10.85546875" style="5" customWidth="1"/>
    <col min="12296" max="12296" width="10.140625" style="5" customWidth="1"/>
    <col min="12297" max="12297" width="13.28515625" style="5" bestFit="1" customWidth="1"/>
    <col min="12298" max="12543" width="9.140625" style="5"/>
    <col min="12544" max="12544" width="6.42578125" style="5" customWidth="1"/>
    <col min="12545" max="12545" width="30.5703125" style="5" customWidth="1"/>
    <col min="12546" max="12546" width="40.85546875" style="5" customWidth="1"/>
    <col min="12547" max="12547" width="19.42578125" style="5" customWidth="1"/>
    <col min="12548" max="12548" width="17.5703125" style="5" customWidth="1"/>
    <col min="12549" max="12550" width="9.140625" style="5"/>
    <col min="12551" max="12551" width="10.85546875" style="5" customWidth="1"/>
    <col min="12552" max="12552" width="10.140625" style="5" customWidth="1"/>
    <col min="12553" max="12553" width="13.28515625" style="5" bestFit="1" customWidth="1"/>
    <col min="12554" max="12799" width="9.140625" style="5"/>
    <col min="12800" max="12800" width="6.42578125" style="5" customWidth="1"/>
    <col min="12801" max="12801" width="30.5703125" style="5" customWidth="1"/>
    <col min="12802" max="12802" width="40.85546875" style="5" customWidth="1"/>
    <col min="12803" max="12803" width="19.42578125" style="5" customWidth="1"/>
    <col min="12804" max="12804" width="17.5703125" style="5" customWidth="1"/>
    <col min="12805" max="12806" width="9.140625" style="5"/>
    <col min="12807" max="12807" width="10.85546875" style="5" customWidth="1"/>
    <col min="12808" max="12808" width="10.140625" style="5" customWidth="1"/>
    <col min="12809" max="12809" width="13.28515625" style="5" bestFit="1" customWidth="1"/>
    <col min="12810" max="13055" width="9.140625" style="5"/>
    <col min="13056" max="13056" width="6.42578125" style="5" customWidth="1"/>
    <col min="13057" max="13057" width="30.5703125" style="5" customWidth="1"/>
    <col min="13058" max="13058" width="40.85546875" style="5" customWidth="1"/>
    <col min="13059" max="13059" width="19.42578125" style="5" customWidth="1"/>
    <col min="13060" max="13060" width="17.5703125" style="5" customWidth="1"/>
    <col min="13061" max="13062" width="9.140625" style="5"/>
    <col min="13063" max="13063" width="10.85546875" style="5" customWidth="1"/>
    <col min="13064" max="13064" width="10.140625" style="5" customWidth="1"/>
    <col min="13065" max="13065" width="13.28515625" style="5" bestFit="1" customWidth="1"/>
    <col min="13066" max="13311" width="9.140625" style="5"/>
    <col min="13312" max="13312" width="6.42578125" style="5" customWidth="1"/>
    <col min="13313" max="13313" width="30.5703125" style="5" customWidth="1"/>
    <col min="13314" max="13314" width="40.85546875" style="5" customWidth="1"/>
    <col min="13315" max="13315" width="19.42578125" style="5" customWidth="1"/>
    <col min="13316" max="13316" width="17.5703125" style="5" customWidth="1"/>
    <col min="13317" max="13318" width="9.140625" style="5"/>
    <col min="13319" max="13319" width="10.85546875" style="5" customWidth="1"/>
    <col min="13320" max="13320" width="10.140625" style="5" customWidth="1"/>
    <col min="13321" max="13321" width="13.28515625" style="5" bestFit="1" customWidth="1"/>
    <col min="13322" max="13567" width="9.140625" style="5"/>
    <col min="13568" max="13568" width="6.42578125" style="5" customWidth="1"/>
    <col min="13569" max="13569" width="30.5703125" style="5" customWidth="1"/>
    <col min="13570" max="13570" width="40.85546875" style="5" customWidth="1"/>
    <col min="13571" max="13571" width="19.42578125" style="5" customWidth="1"/>
    <col min="13572" max="13572" width="17.5703125" style="5" customWidth="1"/>
    <col min="13573" max="13574" width="9.140625" style="5"/>
    <col min="13575" max="13575" width="10.85546875" style="5" customWidth="1"/>
    <col min="13576" max="13576" width="10.140625" style="5" customWidth="1"/>
    <col min="13577" max="13577" width="13.28515625" style="5" bestFit="1" customWidth="1"/>
    <col min="13578" max="13823" width="9.140625" style="5"/>
    <col min="13824" max="13824" width="6.42578125" style="5" customWidth="1"/>
    <col min="13825" max="13825" width="30.5703125" style="5" customWidth="1"/>
    <col min="13826" max="13826" width="40.85546875" style="5" customWidth="1"/>
    <col min="13827" max="13827" width="19.42578125" style="5" customWidth="1"/>
    <col min="13828" max="13828" width="17.5703125" style="5" customWidth="1"/>
    <col min="13829" max="13830" width="9.140625" style="5"/>
    <col min="13831" max="13831" width="10.85546875" style="5" customWidth="1"/>
    <col min="13832" max="13832" width="10.140625" style="5" customWidth="1"/>
    <col min="13833" max="13833" width="13.28515625" style="5" bestFit="1" customWidth="1"/>
    <col min="13834" max="14079" width="9.140625" style="5"/>
    <col min="14080" max="14080" width="6.42578125" style="5" customWidth="1"/>
    <col min="14081" max="14081" width="30.5703125" style="5" customWidth="1"/>
    <col min="14082" max="14082" width="40.85546875" style="5" customWidth="1"/>
    <col min="14083" max="14083" width="19.42578125" style="5" customWidth="1"/>
    <col min="14084" max="14084" width="17.5703125" style="5" customWidth="1"/>
    <col min="14085" max="14086" width="9.140625" style="5"/>
    <col min="14087" max="14087" width="10.85546875" style="5" customWidth="1"/>
    <col min="14088" max="14088" width="10.140625" style="5" customWidth="1"/>
    <col min="14089" max="14089" width="13.28515625" style="5" bestFit="1" customWidth="1"/>
    <col min="14090" max="14335" width="9.140625" style="5"/>
    <col min="14336" max="14336" width="6.42578125" style="5" customWidth="1"/>
    <col min="14337" max="14337" width="30.5703125" style="5" customWidth="1"/>
    <col min="14338" max="14338" width="40.85546875" style="5" customWidth="1"/>
    <col min="14339" max="14339" width="19.42578125" style="5" customWidth="1"/>
    <col min="14340" max="14340" width="17.5703125" style="5" customWidth="1"/>
    <col min="14341" max="14342" width="9.140625" style="5"/>
    <col min="14343" max="14343" width="10.85546875" style="5" customWidth="1"/>
    <col min="14344" max="14344" width="10.140625" style="5" customWidth="1"/>
    <col min="14345" max="14345" width="13.28515625" style="5" bestFit="1" customWidth="1"/>
    <col min="14346" max="14591" width="9.140625" style="5"/>
    <col min="14592" max="14592" width="6.42578125" style="5" customWidth="1"/>
    <col min="14593" max="14593" width="30.5703125" style="5" customWidth="1"/>
    <col min="14594" max="14594" width="40.85546875" style="5" customWidth="1"/>
    <col min="14595" max="14595" width="19.42578125" style="5" customWidth="1"/>
    <col min="14596" max="14596" width="17.5703125" style="5" customWidth="1"/>
    <col min="14597" max="14598" width="9.140625" style="5"/>
    <col min="14599" max="14599" width="10.85546875" style="5" customWidth="1"/>
    <col min="14600" max="14600" width="10.140625" style="5" customWidth="1"/>
    <col min="14601" max="14601" width="13.28515625" style="5" bestFit="1" customWidth="1"/>
    <col min="14602" max="14847" width="9.140625" style="5"/>
    <col min="14848" max="14848" width="6.42578125" style="5" customWidth="1"/>
    <col min="14849" max="14849" width="30.5703125" style="5" customWidth="1"/>
    <col min="14850" max="14850" width="40.85546875" style="5" customWidth="1"/>
    <col min="14851" max="14851" width="19.42578125" style="5" customWidth="1"/>
    <col min="14852" max="14852" width="17.5703125" style="5" customWidth="1"/>
    <col min="14853" max="14854" width="9.140625" style="5"/>
    <col min="14855" max="14855" width="10.85546875" style="5" customWidth="1"/>
    <col min="14856" max="14856" width="10.140625" style="5" customWidth="1"/>
    <col min="14857" max="14857" width="13.28515625" style="5" bestFit="1" customWidth="1"/>
    <col min="14858" max="15103" width="9.140625" style="5"/>
    <col min="15104" max="15104" width="6.42578125" style="5" customWidth="1"/>
    <col min="15105" max="15105" width="30.5703125" style="5" customWidth="1"/>
    <col min="15106" max="15106" width="40.85546875" style="5" customWidth="1"/>
    <col min="15107" max="15107" width="19.42578125" style="5" customWidth="1"/>
    <col min="15108" max="15108" width="17.5703125" style="5" customWidth="1"/>
    <col min="15109" max="15110" width="9.140625" style="5"/>
    <col min="15111" max="15111" width="10.85546875" style="5" customWidth="1"/>
    <col min="15112" max="15112" width="10.140625" style="5" customWidth="1"/>
    <col min="15113" max="15113" width="13.28515625" style="5" bestFit="1" customWidth="1"/>
    <col min="15114" max="15359" width="9.140625" style="5"/>
    <col min="15360" max="15360" width="6.42578125" style="5" customWidth="1"/>
    <col min="15361" max="15361" width="30.5703125" style="5" customWidth="1"/>
    <col min="15362" max="15362" width="40.85546875" style="5" customWidth="1"/>
    <col min="15363" max="15363" width="19.42578125" style="5" customWidth="1"/>
    <col min="15364" max="15364" width="17.5703125" style="5" customWidth="1"/>
    <col min="15365" max="15366" width="9.140625" style="5"/>
    <col min="15367" max="15367" width="10.85546875" style="5" customWidth="1"/>
    <col min="15368" max="15368" width="10.140625" style="5" customWidth="1"/>
    <col min="15369" max="15369" width="13.28515625" style="5" bestFit="1" customWidth="1"/>
    <col min="15370" max="15615" width="9.140625" style="5"/>
    <col min="15616" max="15616" width="6.42578125" style="5" customWidth="1"/>
    <col min="15617" max="15617" width="30.5703125" style="5" customWidth="1"/>
    <col min="15618" max="15618" width="40.85546875" style="5" customWidth="1"/>
    <col min="15619" max="15619" width="19.42578125" style="5" customWidth="1"/>
    <col min="15620" max="15620" width="17.5703125" style="5" customWidth="1"/>
    <col min="15621" max="15622" width="9.140625" style="5"/>
    <col min="15623" max="15623" width="10.85546875" style="5" customWidth="1"/>
    <col min="15624" max="15624" width="10.140625" style="5" customWidth="1"/>
    <col min="15625" max="15625" width="13.28515625" style="5" bestFit="1" customWidth="1"/>
    <col min="15626" max="15871" width="9.140625" style="5"/>
    <col min="15872" max="15872" width="6.42578125" style="5" customWidth="1"/>
    <col min="15873" max="15873" width="30.5703125" style="5" customWidth="1"/>
    <col min="15874" max="15874" width="40.85546875" style="5" customWidth="1"/>
    <col min="15875" max="15875" width="19.42578125" style="5" customWidth="1"/>
    <col min="15876" max="15876" width="17.5703125" style="5" customWidth="1"/>
    <col min="15877" max="15878" width="9.140625" style="5"/>
    <col min="15879" max="15879" width="10.85546875" style="5" customWidth="1"/>
    <col min="15880" max="15880" width="10.140625" style="5" customWidth="1"/>
    <col min="15881" max="15881" width="13.28515625" style="5" bestFit="1" customWidth="1"/>
    <col min="15882" max="16127" width="9.140625" style="5"/>
    <col min="16128" max="16128" width="6.42578125" style="5" customWidth="1"/>
    <col min="16129" max="16129" width="30.5703125" style="5" customWidth="1"/>
    <col min="16130" max="16130" width="40.85546875" style="5" customWidth="1"/>
    <col min="16131" max="16131" width="19.42578125" style="5" customWidth="1"/>
    <col min="16132" max="16132" width="17.5703125" style="5" customWidth="1"/>
    <col min="16133" max="16134" width="9.140625" style="5"/>
    <col min="16135" max="16135" width="10.85546875" style="5" customWidth="1"/>
    <col min="16136" max="16136" width="10.140625" style="5" customWidth="1"/>
    <col min="16137" max="16137" width="13.28515625" style="5" bestFit="1" customWidth="1"/>
    <col min="16138" max="16384" width="9.140625" style="5"/>
  </cols>
  <sheetData>
    <row r="1" spans="1:11" ht="15.75" customHeight="1">
      <c r="A1" s="841" t="s">
        <v>620</v>
      </c>
      <c r="B1" s="841"/>
      <c r="C1" s="841"/>
      <c r="D1" s="841"/>
      <c r="E1" s="841"/>
      <c r="F1" s="841"/>
      <c r="G1" s="841"/>
      <c r="H1" s="841"/>
      <c r="I1" s="841"/>
      <c r="J1" s="841"/>
    </row>
    <row r="2" spans="1:11" ht="15.75" customHeight="1">
      <c r="A2" s="841"/>
      <c r="B2" s="841"/>
      <c r="C2" s="841"/>
      <c r="D2" s="841"/>
      <c r="E2" s="841"/>
      <c r="F2" s="841"/>
      <c r="G2" s="841"/>
      <c r="H2" s="841"/>
      <c r="I2" s="841"/>
      <c r="J2" s="841"/>
    </row>
    <row r="3" spans="1:11" ht="15.75" customHeight="1">
      <c r="A3" s="842" t="s">
        <v>17</v>
      </c>
      <c r="B3" s="842" t="s">
        <v>18</v>
      </c>
      <c r="C3" s="842" t="s">
        <v>19</v>
      </c>
      <c r="D3" s="842" t="s">
        <v>20</v>
      </c>
      <c r="E3" s="842"/>
      <c r="F3" s="842" t="s">
        <v>21</v>
      </c>
      <c r="G3" s="842" t="s">
        <v>22</v>
      </c>
      <c r="H3" s="843" t="s">
        <v>23</v>
      </c>
      <c r="I3" s="842" t="s">
        <v>24</v>
      </c>
      <c r="J3" s="842"/>
    </row>
    <row r="4" spans="1:11">
      <c r="A4" s="842"/>
      <c r="B4" s="842"/>
      <c r="C4" s="842"/>
      <c r="D4" s="842"/>
      <c r="E4" s="842"/>
      <c r="F4" s="842"/>
      <c r="G4" s="842"/>
      <c r="H4" s="844"/>
      <c r="I4" s="239" t="s">
        <v>25</v>
      </c>
      <c r="J4" s="239" t="s">
        <v>26</v>
      </c>
    </row>
    <row r="5" spans="1:11" s="9" customFormat="1" ht="15.75" customHeight="1">
      <c r="A5" s="242">
        <v>1</v>
      </c>
      <c r="B5" s="272" t="s">
        <v>668</v>
      </c>
      <c r="C5" s="242" t="s">
        <v>27</v>
      </c>
      <c r="D5" s="840" t="s">
        <v>727</v>
      </c>
      <c r="E5" s="840" t="s">
        <v>28</v>
      </c>
      <c r="F5" s="242">
        <v>1</v>
      </c>
      <c r="G5" s="242" t="s">
        <v>29</v>
      </c>
      <c r="H5" s="242">
        <v>1.1200000000000001</v>
      </c>
      <c r="I5" s="242">
        <v>1.68</v>
      </c>
      <c r="J5" s="849">
        <f>I5*F5*2</f>
        <v>3.36</v>
      </c>
      <c r="K5" s="5"/>
    </row>
    <row r="6" spans="1:11" s="9" customFormat="1">
      <c r="A6" s="242">
        <v>2</v>
      </c>
      <c r="B6" s="272" t="s">
        <v>662</v>
      </c>
      <c r="C6" s="242" t="s">
        <v>30</v>
      </c>
      <c r="D6" s="840"/>
      <c r="E6" s="840"/>
      <c r="F6" s="242">
        <v>1</v>
      </c>
      <c r="G6" s="242" t="s">
        <v>29</v>
      </c>
      <c r="H6" s="242">
        <v>1.1200000000000001</v>
      </c>
      <c r="I6" s="242">
        <v>1.68</v>
      </c>
      <c r="J6" s="850"/>
      <c r="K6" s="5"/>
    </row>
    <row r="7" spans="1:11" s="9" customFormat="1" ht="31.5">
      <c r="A7" s="242">
        <v>3</v>
      </c>
      <c r="B7" s="272" t="s">
        <v>669</v>
      </c>
      <c r="C7" s="242" t="s">
        <v>625</v>
      </c>
      <c r="D7" s="242" t="s">
        <v>727</v>
      </c>
      <c r="E7" s="242" t="s">
        <v>28</v>
      </c>
      <c r="F7" s="242">
        <v>1</v>
      </c>
      <c r="G7" s="242" t="s">
        <v>29</v>
      </c>
      <c r="H7" s="242">
        <v>6.4000000000000001E-2</v>
      </c>
      <c r="I7" s="242">
        <v>0.74</v>
      </c>
      <c r="J7" s="242">
        <f>I7*F7</f>
        <v>0.74</v>
      </c>
      <c r="K7" s="5"/>
    </row>
    <row r="8" spans="1:11" s="9" customFormat="1" ht="47.25">
      <c r="A8" s="242">
        <v>4</v>
      </c>
      <c r="B8" s="272" t="s">
        <v>663</v>
      </c>
      <c r="C8" s="242" t="s">
        <v>38</v>
      </c>
      <c r="D8" s="242" t="s">
        <v>693</v>
      </c>
      <c r="E8" s="242" t="s">
        <v>31</v>
      </c>
      <c r="F8" s="242">
        <v>1</v>
      </c>
      <c r="G8" s="242" t="s">
        <v>29</v>
      </c>
      <c r="H8" s="242">
        <v>0.04</v>
      </c>
      <c r="I8" s="242">
        <v>0.11899999999999999</v>
      </c>
      <c r="J8" s="242">
        <f>I8*F8</f>
        <v>0.11899999999999999</v>
      </c>
      <c r="K8" s="5"/>
    </row>
    <row r="9" spans="1:11" s="9" customFormat="1" ht="31.5">
      <c r="A9" s="242">
        <v>5</v>
      </c>
      <c r="B9" s="242" t="s">
        <v>650</v>
      </c>
      <c r="C9" s="242" t="s">
        <v>32</v>
      </c>
      <c r="D9" s="271" t="s">
        <v>714</v>
      </c>
      <c r="E9" s="242" t="s">
        <v>33</v>
      </c>
      <c r="F9" s="242">
        <v>1</v>
      </c>
      <c r="G9" s="242" t="s">
        <v>29</v>
      </c>
      <c r="H9" s="242">
        <v>5.7000000000000002E-2</v>
      </c>
      <c r="I9" s="242">
        <v>0.24199999999999999</v>
      </c>
      <c r="J9" s="242">
        <f>I9*F9</f>
        <v>0.24199999999999999</v>
      </c>
      <c r="K9" s="5"/>
    </row>
    <row r="10" spans="1:11" ht="31.5">
      <c r="A10" s="242">
        <v>6</v>
      </c>
      <c r="B10" s="272" t="s">
        <v>626</v>
      </c>
      <c r="C10" s="272" t="s">
        <v>34</v>
      </c>
      <c r="D10" s="271" t="s">
        <v>726</v>
      </c>
      <c r="E10" s="271" t="s">
        <v>35</v>
      </c>
      <c r="F10" s="272">
        <v>1</v>
      </c>
      <c r="G10" s="272" t="s">
        <v>29</v>
      </c>
      <c r="H10" s="272">
        <v>0.114</v>
      </c>
      <c r="I10" s="272">
        <v>0.17100000000000001</v>
      </c>
      <c r="J10" s="242">
        <f>I10*F10</f>
        <v>0.17100000000000001</v>
      </c>
    </row>
    <row r="11" spans="1:11" s="9" customFormat="1" ht="15.6" customHeight="1">
      <c r="A11" s="830"/>
      <c r="B11" s="831"/>
      <c r="C11" s="831"/>
      <c r="D11" s="831"/>
      <c r="E11" s="831"/>
      <c r="F11" s="831"/>
      <c r="G11" s="831"/>
      <c r="H11" s="831"/>
      <c r="I11" s="831"/>
      <c r="J11" s="832"/>
      <c r="K11" s="22"/>
    </row>
    <row r="12" spans="1:11" s="9" customFormat="1">
      <c r="A12" s="12"/>
      <c r="B12" s="12"/>
      <c r="C12" s="13" t="s">
        <v>2</v>
      </c>
      <c r="D12" s="12"/>
      <c r="E12" s="12"/>
      <c r="F12" s="12"/>
      <c r="G12" s="12"/>
      <c r="H12" s="12"/>
      <c r="I12" s="12"/>
      <c r="J12" s="12"/>
      <c r="K12" s="22"/>
    </row>
    <row r="13" spans="1:11" ht="31.5">
      <c r="A13" s="244">
        <v>7</v>
      </c>
      <c r="B13" s="242" t="s">
        <v>651</v>
      </c>
      <c r="C13" s="242" t="s">
        <v>652</v>
      </c>
      <c r="D13" s="272" t="s">
        <v>730</v>
      </c>
      <c r="E13" s="272" t="s">
        <v>36</v>
      </c>
      <c r="F13" s="242">
        <v>1</v>
      </c>
      <c r="G13" s="242" t="s">
        <v>29</v>
      </c>
      <c r="H13" s="242">
        <v>2E-3</v>
      </c>
      <c r="I13" s="242">
        <v>2.1000000000000001E-2</v>
      </c>
      <c r="J13" s="242">
        <f>I13*F13</f>
        <v>2.1000000000000001E-2</v>
      </c>
      <c r="K13" s="22"/>
    </row>
    <row r="14" spans="1:11" ht="31.5">
      <c r="A14" s="244">
        <v>8</v>
      </c>
      <c r="B14" s="272" t="s">
        <v>653</v>
      </c>
      <c r="C14" s="272" t="s">
        <v>110</v>
      </c>
      <c r="D14" s="271" t="s">
        <v>732</v>
      </c>
      <c r="E14" s="272" t="s">
        <v>111</v>
      </c>
      <c r="F14" s="242">
        <v>1</v>
      </c>
      <c r="G14" s="242" t="s">
        <v>29</v>
      </c>
      <c r="H14" s="242">
        <v>2E-3</v>
      </c>
      <c r="I14" s="242">
        <v>0.01</v>
      </c>
      <c r="J14" s="242">
        <f>I14*F14</f>
        <v>0.01</v>
      </c>
    </row>
    <row r="15" spans="1:11" s="9" customFormat="1" ht="31.5">
      <c r="A15" s="244">
        <v>9</v>
      </c>
      <c r="B15" s="272" t="s">
        <v>654</v>
      </c>
      <c r="C15" s="272" t="s">
        <v>4</v>
      </c>
      <c r="D15" s="271" t="s">
        <v>726</v>
      </c>
      <c r="E15" s="271" t="s">
        <v>35</v>
      </c>
      <c r="F15" s="242">
        <v>1</v>
      </c>
      <c r="G15" s="242" t="s">
        <v>29</v>
      </c>
      <c r="H15" s="242">
        <v>0.01</v>
      </c>
      <c r="I15" s="238">
        <f>73.59/900</f>
        <v>8.1766666666666668E-2</v>
      </c>
      <c r="J15" s="237">
        <f>I15*F15</f>
        <v>8.1766666666666668E-2</v>
      </c>
      <c r="K15" s="5"/>
    </row>
    <row r="16" spans="1:11" s="9" customFormat="1" ht="31.5">
      <c r="A16" s="244">
        <v>10</v>
      </c>
      <c r="B16" s="272" t="s">
        <v>655</v>
      </c>
      <c r="C16" s="272" t="s">
        <v>609</v>
      </c>
      <c r="D16" s="242" t="s">
        <v>715</v>
      </c>
      <c r="E16" s="242" t="s">
        <v>33</v>
      </c>
      <c r="F16" s="242">
        <v>1</v>
      </c>
      <c r="G16" s="242" t="s">
        <v>29</v>
      </c>
      <c r="H16" s="242">
        <v>0.16400000000000001</v>
      </c>
      <c r="I16" s="272">
        <v>0.29099999999999998</v>
      </c>
      <c r="J16" s="242">
        <f>I16*F16</f>
        <v>0.29099999999999998</v>
      </c>
      <c r="K16" s="5"/>
    </row>
    <row r="17" spans="1:11" s="9" customFormat="1" ht="15.6" customHeight="1">
      <c r="A17" s="823"/>
      <c r="B17" s="833"/>
      <c r="C17" s="833"/>
      <c r="D17" s="833"/>
      <c r="E17" s="833"/>
      <c r="F17" s="833"/>
      <c r="G17" s="833"/>
      <c r="H17" s="833"/>
      <c r="I17" s="833"/>
      <c r="J17" s="824"/>
      <c r="K17" s="5"/>
    </row>
    <row r="18" spans="1:11" s="9" customFormat="1">
      <c r="A18" s="12"/>
      <c r="B18" s="161"/>
      <c r="C18" s="161" t="s">
        <v>615</v>
      </c>
      <c r="D18" s="274"/>
      <c r="E18" s="274"/>
      <c r="F18" s="274"/>
      <c r="G18" s="274"/>
      <c r="H18" s="274"/>
      <c r="I18" s="274"/>
      <c r="J18" s="274"/>
      <c r="K18" s="5"/>
    </row>
    <row r="19" spans="1:11" s="9" customFormat="1" ht="31.5">
      <c r="A19" s="242">
        <v>11</v>
      </c>
      <c r="B19" s="242" t="s">
        <v>657</v>
      </c>
      <c r="C19" s="242" t="s">
        <v>627</v>
      </c>
      <c r="D19" s="234" t="s">
        <v>716</v>
      </c>
      <c r="E19" s="234" t="s">
        <v>41</v>
      </c>
      <c r="F19" s="246">
        <v>1</v>
      </c>
      <c r="G19" s="246" t="s">
        <v>29</v>
      </c>
      <c r="H19" s="246">
        <v>0.156</v>
      </c>
      <c r="I19" s="246">
        <v>0.52200000000000002</v>
      </c>
      <c r="J19" s="246">
        <f>I19*F19</f>
        <v>0.52200000000000002</v>
      </c>
      <c r="K19" s="5"/>
    </row>
    <row r="20" spans="1:11" s="9" customFormat="1" ht="31.5">
      <c r="A20" s="242">
        <v>12</v>
      </c>
      <c r="B20" s="242" t="s">
        <v>658</v>
      </c>
      <c r="C20" s="272" t="s">
        <v>610</v>
      </c>
      <c r="D20" s="272" t="s">
        <v>730</v>
      </c>
      <c r="E20" s="272" t="s">
        <v>36</v>
      </c>
      <c r="F20" s="272">
        <v>1</v>
      </c>
      <c r="G20" s="272"/>
      <c r="H20" s="272">
        <v>2E-3</v>
      </c>
      <c r="I20" s="272">
        <v>7.4999999999999997E-3</v>
      </c>
      <c r="J20" s="242">
        <f>I20*F20</f>
        <v>7.4999999999999997E-3</v>
      </c>
      <c r="K20" s="5"/>
    </row>
    <row r="21" spans="1:11" s="9" customFormat="1" ht="31.5">
      <c r="A21" s="242">
        <v>13</v>
      </c>
      <c r="B21" s="242" t="s">
        <v>628</v>
      </c>
      <c r="C21" s="242" t="s">
        <v>42</v>
      </c>
      <c r="D21" s="234" t="s">
        <v>728</v>
      </c>
      <c r="E21" s="242" t="s">
        <v>43</v>
      </c>
      <c r="F21" s="246">
        <v>1</v>
      </c>
      <c r="G21" s="242" t="s">
        <v>29</v>
      </c>
      <c r="H21" s="242">
        <v>1E-3</v>
      </c>
      <c r="I21" s="246">
        <v>2E-3</v>
      </c>
      <c r="J21" s="246">
        <f>I21*F21</f>
        <v>2E-3</v>
      </c>
      <c r="K21" s="5"/>
    </row>
    <row r="22" spans="1:11" s="9" customFormat="1" ht="15.75" customHeight="1">
      <c r="A22" s="242">
        <v>14</v>
      </c>
      <c r="B22" s="242" t="s">
        <v>629</v>
      </c>
      <c r="C22" s="242" t="s">
        <v>126</v>
      </c>
      <c r="D22" s="834" t="s">
        <v>733</v>
      </c>
      <c r="E22" s="835"/>
      <c r="F22" s="246">
        <v>1</v>
      </c>
      <c r="G22" s="242" t="s">
        <v>44</v>
      </c>
      <c r="H22" s="242"/>
      <c r="I22" s="246">
        <v>1</v>
      </c>
      <c r="J22" s="246">
        <f t="shared" ref="J22:J28" si="0">I22*F22</f>
        <v>1</v>
      </c>
      <c r="K22" s="5"/>
    </row>
    <row r="23" spans="1:11" s="9" customFormat="1" ht="15.75" customHeight="1">
      <c r="A23" s="242">
        <v>15</v>
      </c>
      <c r="B23" s="242" t="s">
        <v>630</v>
      </c>
      <c r="C23" s="242" t="s">
        <v>631</v>
      </c>
      <c r="D23" s="836" t="s">
        <v>46</v>
      </c>
      <c r="E23" s="836" t="s">
        <v>47</v>
      </c>
      <c r="F23" s="246" t="s">
        <v>128</v>
      </c>
      <c r="G23" s="246" t="s">
        <v>29</v>
      </c>
      <c r="H23" s="246">
        <v>2E-3</v>
      </c>
      <c r="I23" s="242">
        <v>4.0000000000000001E-3</v>
      </c>
      <c r="J23" s="246">
        <f>I23</f>
        <v>4.0000000000000001E-3</v>
      </c>
      <c r="K23" s="5"/>
    </row>
    <row r="24" spans="1:11" s="9" customFormat="1">
      <c r="A24" s="242">
        <v>16</v>
      </c>
      <c r="B24" s="242" t="s">
        <v>632</v>
      </c>
      <c r="C24" s="242" t="s">
        <v>45</v>
      </c>
      <c r="D24" s="837"/>
      <c r="E24" s="837"/>
      <c r="F24" s="246">
        <v>1</v>
      </c>
      <c r="G24" s="246" t="s">
        <v>29</v>
      </c>
      <c r="H24" s="246">
        <v>1E-3</v>
      </c>
      <c r="I24" s="246">
        <v>3.0000000000000001E-3</v>
      </c>
      <c r="J24" s="246">
        <f t="shared" si="0"/>
        <v>3.0000000000000001E-3</v>
      </c>
      <c r="K24" s="5"/>
    </row>
    <row r="25" spans="1:11" s="9" customFormat="1" ht="31.5">
      <c r="A25" s="242">
        <v>17</v>
      </c>
      <c r="B25" s="242" t="s">
        <v>670</v>
      </c>
      <c r="C25" s="242" t="s">
        <v>633</v>
      </c>
      <c r="D25" s="242" t="s">
        <v>729</v>
      </c>
      <c r="E25" s="234" t="s">
        <v>139</v>
      </c>
      <c r="F25" s="246">
        <v>1</v>
      </c>
      <c r="G25" s="246" t="s">
        <v>29</v>
      </c>
      <c r="H25" s="246">
        <v>1.4E-2</v>
      </c>
      <c r="I25" s="242">
        <v>3.2000000000000001E-2</v>
      </c>
      <c r="J25" s="246">
        <f t="shared" si="0"/>
        <v>3.2000000000000001E-2</v>
      </c>
      <c r="K25" s="5"/>
    </row>
    <row r="26" spans="1:11" s="9" customFormat="1" ht="31.5">
      <c r="A26" s="242">
        <v>18</v>
      </c>
      <c r="B26" s="242" t="s">
        <v>634</v>
      </c>
      <c r="C26" s="242" t="s">
        <v>48</v>
      </c>
      <c r="D26" s="234" t="s">
        <v>731</v>
      </c>
      <c r="E26" s="234" t="s">
        <v>49</v>
      </c>
      <c r="F26" s="246">
        <v>1</v>
      </c>
      <c r="G26" s="240" t="s">
        <v>39</v>
      </c>
      <c r="H26" s="240">
        <v>5.0000000000000001E-4</v>
      </c>
      <c r="I26" s="246">
        <v>0.03</v>
      </c>
      <c r="J26" s="246">
        <f t="shared" si="0"/>
        <v>0.03</v>
      </c>
      <c r="K26" s="5"/>
    </row>
    <row r="27" spans="1:11" s="9" customFormat="1" ht="31.5">
      <c r="A27" s="242">
        <v>19</v>
      </c>
      <c r="B27" s="242" t="s">
        <v>671</v>
      </c>
      <c r="C27" s="242" t="s">
        <v>635</v>
      </c>
      <c r="D27" s="234" t="s">
        <v>50</v>
      </c>
      <c r="E27" s="242" t="s">
        <v>51</v>
      </c>
      <c r="F27" s="246">
        <v>1</v>
      </c>
      <c r="G27" s="242" t="s">
        <v>44</v>
      </c>
      <c r="H27" s="242"/>
      <c r="I27" s="246">
        <v>1</v>
      </c>
      <c r="J27" s="246">
        <f t="shared" si="0"/>
        <v>1</v>
      </c>
      <c r="K27" s="5"/>
    </row>
    <row r="28" spans="1:11" s="9" customFormat="1" ht="15.75" customHeight="1">
      <c r="A28" s="242">
        <v>20</v>
      </c>
      <c r="B28" s="242" t="s">
        <v>636</v>
      </c>
      <c r="C28" s="242" t="s">
        <v>129</v>
      </c>
      <c r="D28" s="838" t="s">
        <v>733</v>
      </c>
      <c r="E28" s="839"/>
      <c r="F28" s="246">
        <v>4</v>
      </c>
      <c r="G28" s="242" t="s">
        <v>44</v>
      </c>
      <c r="H28" s="242"/>
      <c r="I28" s="246">
        <v>1</v>
      </c>
      <c r="J28" s="246">
        <f t="shared" si="0"/>
        <v>4</v>
      </c>
      <c r="K28" s="5"/>
    </row>
    <row r="29" spans="1:11" s="9" customFormat="1">
      <c r="A29" s="275"/>
      <c r="B29" s="275"/>
      <c r="C29" s="273" t="s">
        <v>52</v>
      </c>
      <c r="D29" s="275"/>
      <c r="E29" s="275"/>
      <c r="F29" s="275"/>
      <c r="G29" s="275"/>
      <c r="H29" s="275"/>
      <c r="I29" s="275"/>
      <c r="J29" s="275"/>
      <c r="K29" s="5"/>
    </row>
    <row r="30" spans="1:11" s="9" customFormat="1" ht="15.75" customHeight="1">
      <c r="A30" s="244">
        <v>21</v>
      </c>
      <c r="B30" s="275"/>
      <c r="C30" s="242" t="s">
        <v>236</v>
      </c>
      <c r="D30" s="840" t="s">
        <v>53</v>
      </c>
      <c r="E30" s="840"/>
      <c r="F30" s="242">
        <v>1</v>
      </c>
      <c r="G30" s="242" t="s">
        <v>44</v>
      </c>
      <c r="H30" s="242"/>
      <c r="I30" s="242">
        <v>1</v>
      </c>
      <c r="J30" s="242">
        <f>I30*F30</f>
        <v>1</v>
      </c>
      <c r="K30" s="5"/>
    </row>
    <row r="31" spans="1:11" s="9" customFormat="1">
      <c r="A31" s="236"/>
      <c r="B31" s="16"/>
      <c r="C31" s="17" t="s">
        <v>54</v>
      </c>
      <c r="D31" s="242"/>
      <c r="E31" s="242"/>
      <c r="F31" s="242"/>
      <c r="G31" s="242"/>
      <c r="H31" s="242"/>
      <c r="I31" s="242"/>
      <c r="J31" s="242"/>
      <c r="K31" s="5"/>
    </row>
    <row r="32" spans="1:11" s="9" customFormat="1" ht="31.5">
      <c r="A32" s="236">
        <v>22</v>
      </c>
      <c r="B32" s="236"/>
      <c r="C32" s="242" t="s">
        <v>484</v>
      </c>
      <c r="D32" s="828" t="s">
        <v>55</v>
      </c>
      <c r="E32" s="828"/>
      <c r="F32" s="246">
        <v>1</v>
      </c>
      <c r="G32" s="242" t="s">
        <v>44</v>
      </c>
      <c r="H32" s="242"/>
      <c r="I32" s="246">
        <v>1.2500000000000001E-2</v>
      </c>
      <c r="J32" s="246">
        <f>I32*F32</f>
        <v>1.2500000000000001E-2</v>
      </c>
      <c r="K32" s="5"/>
    </row>
    <row r="33" spans="1:11" s="9" customFormat="1" ht="15.6" customHeight="1">
      <c r="A33" s="827"/>
      <c r="B33" s="827"/>
      <c r="C33" s="827"/>
      <c r="D33" s="827"/>
      <c r="E33" s="827"/>
      <c r="F33" s="827"/>
      <c r="G33" s="827"/>
      <c r="H33" s="827"/>
      <c r="I33" s="827"/>
      <c r="J33" s="827"/>
      <c r="K33" s="5"/>
    </row>
    <row r="34" spans="1:11" s="9" customFormat="1">
      <c r="A34" s="236"/>
      <c r="B34" s="242"/>
      <c r="C34" s="17" t="s">
        <v>56</v>
      </c>
      <c r="D34" s="19"/>
      <c r="E34" s="19"/>
      <c r="F34" s="246"/>
      <c r="G34" s="242"/>
      <c r="H34" s="242"/>
      <c r="I34" s="246"/>
      <c r="J34" s="246"/>
      <c r="K34" s="5"/>
    </row>
    <row r="35" spans="1:11">
      <c r="A35" s="236">
        <v>23</v>
      </c>
      <c r="B35" s="242"/>
      <c r="C35" s="18" t="s">
        <v>57</v>
      </c>
      <c r="D35" s="18"/>
      <c r="E35" s="18"/>
      <c r="F35" s="18">
        <v>1</v>
      </c>
      <c r="G35" s="18" t="s">
        <v>44</v>
      </c>
      <c r="H35" s="31"/>
      <c r="I35" s="31">
        <v>1</v>
      </c>
      <c r="J35" s="242">
        <f t="shared" ref="J35:J49" si="1">I35*F35</f>
        <v>1</v>
      </c>
    </row>
    <row r="36" spans="1:11">
      <c r="A36" s="236">
        <v>24</v>
      </c>
      <c r="B36" s="242"/>
      <c r="C36" s="18" t="s">
        <v>58</v>
      </c>
      <c r="D36" s="18"/>
      <c r="E36" s="18"/>
      <c r="F36" s="18">
        <v>1</v>
      </c>
      <c r="G36" s="18" t="s">
        <v>44</v>
      </c>
      <c r="H36" s="31"/>
      <c r="I36" s="31">
        <v>1</v>
      </c>
      <c r="J36" s="242">
        <f t="shared" si="1"/>
        <v>1</v>
      </c>
    </row>
    <row r="37" spans="1:11">
      <c r="A37" s="236">
        <v>25</v>
      </c>
      <c r="B37" s="242"/>
      <c r="C37" s="18" t="s">
        <v>113</v>
      </c>
      <c r="D37" s="18"/>
      <c r="E37" s="18"/>
      <c r="F37" s="18">
        <v>1</v>
      </c>
      <c r="G37" s="18" t="s">
        <v>44</v>
      </c>
      <c r="H37" s="31"/>
      <c r="I37" s="31">
        <v>1</v>
      </c>
      <c r="J37" s="242">
        <f t="shared" si="1"/>
        <v>1</v>
      </c>
    </row>
    <row r="38" spans="1:11">
      <c r="A38" s="236">
        <v>26</v>
      </c>
      <c r="B38" s="242"/>
      <c r="C38" s="18" t="s">
        <v>675</v>
      </c>
      <c r="D38" s="18"/>
      <c r="E38" s="18"/>
      <c r="F38" s="18">
        <v>1</v>
      </c>
      <c r="G38" s="18" t="s">
        <v>44</v>
      </c>
      <c r="H38" s="31"/>
      <c r="I38" s="31">
        <v>1</v>
      </c>
      <c r="J38" s="242">
        <f t="shared" si="1"/>
        <v>1</v>
      </c>
    </row>
    <row r="39" spans="1:11">
      <c r="A39" s="236">
        <v>27</v>
      </c>
      <c r="B39" s="242"/>
      <c r="C39" s="18" t="s">
        <v>130</v>
      </c>
      <c r="D39" s="27"/>
      <c r="E39" s="18"/>
      <c r="F39" s="18">
        <v>1</v>
      </c>
      <c r="G39" s="18" t="s">
        <v>44</v>
      </c>
      <c r="H39" s="246"/>
      <c r="I39" s="242">
        <v>1</v>
      </c>
      <c r="J39" s="242">
        <f t="shared" si="1"/>
        <v>1</v>
      </c>
    </row>
    <row r="40" spans="1:11" ht="15.75" customHeight="1">
      <c r="A40" s="236">
        <v>28</v>
      </c>
      <c r="B40" s="242"/>
      <c r="C40" s="18" t="s">
        <v>131</v>
      </c>
      <c r="D40" s="829" t="s">
        <v>59</v>
      </c>
      <c r="E40" s="829"/>
      <c r="F40" s="18">
        <v>1</v>
      </c>
      <c r="G40" s="18" t="s">
        <v>44</v>
      </c>
      <c r="H40" s="242"/>
      <c r="I40" s="246">
        <v>1</v>
      </c>
      <c r="J40" s="242">
        <f t="shared" si="1"/>
        <v>1</v>
      </c>
    </row>
    <row r="41" spans="1:11" ht="15.75" customHeight="1">
      <c r="A41" s="236">
        <v>29</v>
      </c>
      <c r="B41" s="242"/>
      <c r="C41" s="18" t="s">
        <v>60</v>
      </c>
      <c r="D41" s="739" t="s">
        <v>61</v>
      </c>
      <c r="E41" s="739"/>
      <c r="F41" s="18">
        <v>1</v>
      </c>
      <c r="G41" s="18" t="s">
        <v>29</v>
      </c>
      <c r="H41" s="242"/>
      <c r="I41" s="246">
        <v>9.0500000000000007</v>
      </c>
      <c r="J41" s="242">
        <f t="shared" si="1"/>
        <v>9.0500000000000007</v>
      </c>
    </row>
    <row r="42" spans="1:11">
      <c r="A42" s="236">
        <v>30</v>
      </c>
      <c r="B42" s="15"/>
      <c r="C42" s="18" t="s">
        <v>676</v>
      </c>
      <c r="D42" s="739" t="s">
        <v>63</v>
      </c>
      <c r="E42" s="739"/>
      <c r="F42" s="18">
        <v>1</v>
      </c>
      <c r="G42" s="18" t="s">
        <v>44</v>
      </c>
      <c r="H42" s="242"/>
      <c r="I42" s="242">
        <v>1</v>
      </c>
      <c r="J42" s="242">
        <f t="shared" si="1"/>
        <v>1</v>
      </c>
    </row>
    <row r="43" spans="1:11">
      <c r="A43" s="236">
        <v>31</v>
      </c>
      <c r="B43" s="15"/>
      <c r="C43" s="18" t="s">
        <v>64</v>
      </c>
      <c r="D43" s="739" t="s">
        <v>63</v>
      </c>
      <c r="E43" s="739"/>
      <c r="F43" s="18">
        <v>3</v>
      </c>
      <c r="G43" s="18" t="s">
        <v>44</v>
      </c>
      <c r="H43" s="15"/>
      <c r="I43" s="32">
        <v>1</v>
      </c>
      <c r="J43" s="242">
        <f t="shared" si="1"/>
        <v>3</v>
      </c>
    </row>
    <row r="44" spans="1:11">
      <c r="A44" s="236">
        <v>32</v>
      </c>
      <c r="B44" s="15"/>
      <c r="C44" s="18" t="s">
        <v>66</v>
      </c>
      <c r="D44" s="739" t="s">
        <v>63</v>
      </c>
      <c r="E44" s="739"/>
      <c r="F44" s="18">
        <v>1</v>
      </c>
      <c r="G44" s="245" t="s">
        <v>67</v>
      </c>
      <c r="H44" s="33"/>
      <c r="I44" s="236">
        <v>8.3000000000000004E-2</v>
      </c>
      <c r="J44" s="242">
        <f t="shared" si="1"/>
        <v>8.3000000000000004E-2</v>
      </c>
    </row>
    <row r="45" spans="1:11">
      <c r="A45" s="236">
        <v>33</v>
      </c>
      <c r="B45" s="15"/>
      <c r="C45" s="245" t="s">
        <v>70</v>
      </c>
      <c r="D45" s="245"/>
      <c r="E45" s="245"/>
      <c r="F45" s="245">
        <v>1</v>
      </c>
      <c r="G45" s="245" t="s">
        <v>29</v>
      </c>
      <c r="H45" s="245"/>
      <c r="I45" s="245">
        <v>7.0000000000000001E-3</v>
      </c>
      <c r="J45" s="242">
        <f t="shared" si="1"/>
        <v>7.0000000000000001E-3</v>
      </c>
    </row>
    <row r="46" spans="1:11" ht="15.75" customHeight="1">
      <c r="A46" s="236">
        <v>34</v>
      </c>
      <c r="B46" s="242"/>
      <c r="C46" s="242" t="s">
        <v>71</v>
      </c>
      <c r="D46" s="823" t="s">
        <v>72</v>
      </c>
      <c r="E46" s="824"/>
      <c r="F46" s="18">
        <v>1</v>
      </c>
      <c r="G46" s="18" t="s">
        <v>39</v>
      </c>
      <c r="H46" s="242"/>
      <c r="I46" s="242">
        <v>10.3</v>
      </c>
      <c r="J46" s="242">
        <f t="shared" si="1"/>
        <v>10.3</v>
      </c>
    </row>
    <row r="47" spans="1:11" ht="15.75" customHeight="1">
      <c r="A47" s="236">
        <v>35</v>
      </c>
      <c r="B47" s="244"/>
      <c r="C47" s="242" t="s">
        <v>73</v>
      </c>
      <c r="D47" s="823" t="s">
        <v>74</v>
      </c>
      <c r="E47" s="824"/>
      <c r="F47" s="242">
        <v>1</v>
      </c>
      <c r="G47" s="242" t="s">
        <v>29</v>
      </c>
      <c r="H47" s="242"/>
      <c r="I47" s="242">
        <v>2E-3</v>
      </c>
      <c r="J47" s="242">
        <f t="shared" si="1"/>
        <v>2E-3</v>
      </c>
    </row>
    <row r="48" spans="1:11" ht="15.75" customHeight="1">
      <c r="A48" s="236">
        <v>36</v>
      </c>
      <c r="B48" s="242"/>
      <c r="C48" s="242" t="s">
        <v>736</v>
      </c>
      <c r="D48" s="823" t="s">
        <v>72</v>
      </c>
      <c r="E48" s="824"/>
      <c r="F48" s="242">
        <v>1</v>
      </c>
      <c r="G48" s="242" t="s">
        <v>29</v>
      </c>
      <c r="H48" s="242"/>
      <c r="I48" s="242">
        <v>3.0000000000000001E-3</v>
      </c>
      <c r="J48" s="242">
        <f t="shared" si="1"/>
        <v>3.0000000000000001E-3</v>
      </c>
    </row>
    <row r="49" spans="1:16">
      <c r="A49" s="236">
        <v>37</v>
      </c>
      <c r="B49" s="244"/>
      <c r="C49" s="18" t="s">
        <v>75</v>
      </c>
      <c r="D49" s="825" t="s">
        <v>76</v>
      </c>
      <c r="E49" s="826"/>
      <c r="F49" s="18">
        <v>1</v>
      </c>
      <c r="G49" s="18" t="s">
        <v>29</v>
      </c>
      <c r="H49" s="242"/>
      <c r="I49" s="242">
        <v>9.0999999999999998E-2</v>
      </c>
      <c r="J49" s="242">
        <f t="shared" si="1"/>
        <v>9.0999999999999998E-2</v>
      </c>
    </row>
    <row r="50" spans="1:16">
      <c r="A50" s="236">
        <v>38</v>
      </c>
      <c r="B50" s="15"/>
      <c r="C50" s="18" t="s">
        <v>77</v>
      </c>
      <c r="D50" s="819" t="s">
        <v>78</v>
      </c>
      <c r="E50" s="820"/>
      <c r="F50" s="18">
        <v>1</v>
      </c>
      <c r="G50" s="18" t="s">
        <v>44</v>
      </c>
      <c r="H50" s="242"/>
      <c r="I50" s="242">
        <v>0.01</v>
      </c>
      <c r="J50" s="242">
        <f t="shared" ref="J50:J55" si="2">I50*F50</f>
        <v>0.01</v>
      </c>
    </row>
    <row r="51" spans="1:16">
      <c r="A51" s="236">
        <v>39</v>
      </c>
      <c r="B51" s="20"/>
      <c r="C51" s="18" t="s">
        <v>79</v>
      </c>
      <c r="D51" s="819" t="s">
        <v>80</v>
      </c>
      <c r="E51" s="820"/>
      <c r="F51" s="18">
        <v>1</v>
      </c>
      <c r="G51" s="18" t="s">
        <v>29</v>
      </c>
      <c r="H51" s="242"/>
      <c r="I51" s="242">
        <v>5.0000000000000001E-3</v>
      </c>
      <c r="J51" s="242">
        <f t="shared" si="2"/>
        <v>5.0000000000000001E-3</v>
      </c>
      <c r="L51" s="21"/>
      <c r="M51" s="21"/>
      <c r="N51" s="21"/>
      <c r="O51" s="21"/>
      <c r="P51" s="21"/>
    </row>
    <row r="52" spans="1:16">
      <c r="A52" s="236">
        <v>40</v>
      </c>
      <c r="B52" s="20"/>
      <c r="C52" s="18" t="s">
        <v>309</v>
      </c>
      <c r="D52" s="819"/>
      <c r="E52" s="820"/>
      <c r="F52" s="18">
        <v>1</v>
      </c>
      <c r="G52" s="18" t="s">
        <v>29</v>
      </c>
      <c r="H52" s="242"/>
      <c r="I52" s="242">
        <v>1E-3</v>
      </c>
      <c r="J52" s="242">
        <f t="shared" si="2"/>
        <v>1E-3</v>
      </c>
      <c r="L52" s="21"/>
      <c r="M52" s="21"/>
      <c r="N52" s="21"/>
      <c r="O52" s="21"/>
      <c r="P52" s="21"/>
    </row>
    <row r="53" spans="1:16">
      <c r="A53" s="236">
        <v>41</v>
      </c>
      <c r="B53" s="20"/>
      <c r="C53" s="18" t="s">
        <v>81</v>
      </c>
      <c r="D53" s="819" t="s">
        <v>82</v>
      </c>
      <c r="E53" s="820"/>
      <c r="F53" s="18">
        <v>1</v>
      </c>
      <c r="G53" s="18" t="s">
        <v>29</v>
      </c>
      <c r="H53" s="242"/>
      <c r="I53" s="242">
        <v>1.2999999999999999E-2</v>
      </c>
      <c r="J53" s="242">
        <f t="shared" si="2"/>
        <v>1.2999999999999999E-2</v>
      </c>
      <c r="K53" s="21" t="s">
        <v>96</v>
      </c>
      <c r="L53" s="21"/>
      <c r="M53" s="21"/>
      <c r="N53" s="21"/>
      <c r="O53" s="21"/>
      <c r="P53" s="21"/>
    </row>
    <row r="54" spans="1:16" ht="15.75" customHeight="1">
      <c r="A54" s="236">
        <v>42</v>
      </c>
      <c r="B54" s="20"/>
      <c r="C54" s="245" t="s">
        <v>83</v>
      </c>
      <c r="D54" s="821" t="s">
        <v>84</v>
      </c>
      <c r="E54" s="822"/>
      <c r="F54" s="245">
        <v>1</v>
      </c>
      <c r="G54" s="245" t="s">
        <v>44</v>
      </c>
      <c r="H54" s="245"/>
      <c r="I54" s="245">
        <v>3.0000000000000001E-3</v>
      </c>
      <c r="J54" s="247">
        <f t="shared" si="2"/>
        <v>3.0000000000000001E-3</v>
      </c>
      <c r="K54" s="21" t="s">
        <v>611</v>
      </c>
      <c r="L54" s="21"/>
      <c r="M54" s="21"/>
      <c r="N54" s="21"/>
      <c r="O54" s="21"/>
      <c r="P54" s="21"/>
    </row>
    <row r="55" spans="1:16" ht="15.75" customHeight="1">
      <c r="A55" s="236">
        <v>43</v>
      </c>
      <c r="B55" s="20"/>
      <c r="C55" s="18" t="s">
        <v>132</v>
      </c>
      <c r="D55" s="819" t="s">
        <v>86</v>
      </c>
      <c r="E55" s="820"/>
      <c r="F55" s="18">
        <v>1</v>
      </c>
      <c r="G55" s="18" t="s">
        <v>29</v>
      </c>
      <c r="H55" s="242"/>
      <c r="I55" s="242">
        <v>5.0000000000000001E-3</v>
      </c>
      <c r="J55" s="242">
        <f t="shared" si="2"/>
        <v>5.0000000000000001E-3</v>
      </c>
      <c r="L55" s="21"/>
      <c r="M55" s="21"/>
      <c r="N55" s="21"/>
      <c r="O55" s="21"/>
      <c r="P55" s="21"/>
    </row>
    <row r="56" spans="1:16" ht="31.5">
      <c r="A56" s="236">
        <v>44</v>
      </c>
      <c r="B56" s="20"/>
      <c r="C56" s="18" t="s">
        <v>89</v>
      </c>
      <c r="D56" s="819" t="s">
        <v>90</v>
      </c>
      <c r="E56" s="820"/>
      <c r="F56" s="18">
        <v>1</v>
      </c>
      <c r="G56" s="18" t="s">
        <v>29</v>
      </c>
      <c r="H56" s="242"/>
      <c r="I56" s="242">
        <v>0.02</v>
      </c>
      <c r="J56" s="242">
        <v>0.02</v>
      </c>
      <c r="K56" s="21" t="s">
        <v>497</v>
      </c>
      <c r="L56" s="21"/>
      <c r="M56" s="21"/>
      <c r="N56" s="21"/>
      <c r="O56" s="21"/>
      <c r="P56" s="21"/>
    </row>
    <row r="57" spans="1:16">
      <c r="A57" s="236">
        <v>45</v>
      </c>
      <c r="B57" s="20"/>
      <c r="C57" s="18" t="s">
        <v>91</v>
      </c>
      <c r="D57" s="819" t="s">
        <v>92</v>
      </c>
      <c r="E57" s="820"/>
      <c r="F57" s="18">
        <v>1</v>
      </c>
      <c r="G57" s="18" t="s">
        <v>44</v>
      </c>
      <c r="H57" s="242"/>
      <c r="I57" s="242">
        <v>0.11</v>
      </c>
      <c r="J57" s="242">
        <f t="shared" ref="J57:J62" si="3">I57*F57</f>
        <v>0.11</v>
      </c>
      <c r="K57" s="21" t="s">
        <v>637</v>
      </c>
      <c r="L57" s="21"/>
      <c r="M57" s="21"/>
      <c r="N57" s="21"/>
      <c r="O57" s="21"/>
      <c r="P57" s="21"/>
    </row>
    <row r="58" spans="1:16">
      <c r="A58" s="236">
        <v>46</v>
      </c>
      <c r="B58" s="20"/>
      <c r="C58" s="18" t="s">
        <v>93</v>
      </c>
      <c r="D58" s="819" t="s">
        <v>92</v>
      </c>
      <c r="E58" s="820"/>
      <c r="F58" s="18">
        <v>1</v>
      </c>
      <c r="G58" s="18" t="s">
        <v>44</v>
      </c>
      <c r="H58" s="242"/>
      <c r="I58" s="242">
        <v>1E-3</v>
      </c>
      <c r="J58" s="242">
        <f t="shared" si="3"/>
        <v>1E-3</v>
      </c>
      <c r="K58" s="21"/>
      <c r="L58" s="21"/>
      <c r="M58" s="21"/>
      <c r="N58" s="21"/>
      <c r="O58" s="21"/>
      <c r="P58" s="21"/>
    </row>
    <row r="59" spans="1:16">
      <c r="A59" s="236">
        <v>47</v>
      </c>
      <c r="B59" s="20"/>
      <c r="C59" s="18" t="s">
        <v>133</v>
      </c>
      <c r="D59" s="819"/>
      <c r="E59" s="820"/>
      <c r="F59" s="18">
        <v>1</v>
      </c>
      <c r="G59" s="245" t="s">
        <v>67</v>
      </c>
      <c r="H59" s="242"/>
      <c r="I59" s="242">
        <v>0.02</v>
      </c>
      <c r="J59" s="242">
        <f t="shared" si="3"/>
        <v>0.02</v>
      </c>
      <c r="K59" s="21" t="s">
        <v>638</v>
      </c>
      <c r="L59" s="21"/>
      <c r="M59" s="21"/>
      <c r="N59" s="21"/>
      <c r="O59" s="21"/>
      <c r="P59" s="21"/>
    </row>
    <row r="60" spans="1:16">
      <c r="A60" s="236">
        <v>48</v>
      </c>
      <c r="B60" s="20"/>
      <c r="C60" s="18" t="s">
        <v>97</v>
      </c>
      <c r="D60" s="819" t="s">
        <v>98</v>
      </c>
      <c r="E60" s="820"/>
      <c r="F60" s="18">
        <v>1</v>
      </c>
      <c r="G60" s="18" t="s">
        <v>44</v>
      </c>
      <c r="H60" s="242"/>
      <c r="I60" s="242">
        <v>4.0000000000000001E-3</v>
      </c>
      <c r="J60" s="242">
        <f t="shared" si="3"/>
        <v>4.0000000000000001E-3</v>
      </c>
      <c r="K60" s="21"/>
      <c r="L60" s="21"/>
      <c r="M60" s="21"/>
      <c r="N60" s="21"/>
      <c r="O60" s="21"/>
      <c r="P60" s="21"/>
    </row>
    <row r="61" spans="1:16">
      <c r="A61" s="236">
        <v>49</v>
      </c>
      <c r="B61" s="23"/>
      <c r="C61" s="18" t="s">
        <v>99</v>
      </c>
      <c r="D61" s="823" t="s">
        <v>100</v>
      </c>
      <c r="E61" s="824"/>
      <c r="F61" s="18">
        <v>1</v>
      </c>
      <c r="G61" s="18" t="s">
        <v>44</v>
      </c>
      <c r="H61" s="242"/>
      <c r="I61" s="242">
        <v>1E-3</v>
      </c>
      <c r="J61" s="242">
        <f t="shared" si="3"/>
        <v>1E-3</v>
      </c>
      <c r="K61" s="21" t="s">
        <v>639</v>
      </c>
      <c r="L61" s="21"/>
      <c r="M61" s="21"/>
      <c r="N61" s="21"/>
      <c r="O61" s="21"/>
      <c r="P61" s="21"/>
    </row>
    <row r="62" spans="1:16" s="24" customFormat="1" ht="15.75" customHeight="1">
      <c r="A62" s="236">
        <v>50</v>
      </c>
      <c r="B62" s="23"/>
      <c r="C62" s="34" t="s">
        <v>121</v>
      </c>
      <c r="D62" s="821" t="s">
        <v>122</v>
      </c>
      <c r="E62" s="822"/>
      <c r="F62" s="34">
        <v>1</v>
      </c>
      <c r="G62" s="35" t="s">
        <v>123</v>
      </c>
      <c r="H62" s="242"/>
      <c r="I62" s="242">
        <v>1E-3</v>
      </c>
      <c r="J62" s="242">
        <f t="shared" si="3"/>
        <v>1E-3</v>
      </c>
      <c r="K62" s="21"/>
      <c r="L62" s="21"/>
      <c r="M62" s="21"/>
      <c r="N62" s="21"/>
      <c r="O62" s="21"/>
      <c r="P62" s="21"/>
    </row>
    <row r="63" spans="1:16" s="24" customFormat="1" ht="16.5" customHeight="1" thickBot="1">
      <c r="A63" s="236">
        <v>51</v>
      </c>
      <c r="B63" s="23"/>
      <c r="C63" s="245" t="s">
        <v>101</v>
      </c>
      <c r="D63" s="847" t="s">
        <v>102</v>
      </c>
      <c r="E63" s="848"/>
      <c r="F63" s="18">
        <v>1</v>
      </c>
      <c r="G63" s="18" t="s">
        <v>44</v>
      </c>
      <c r="H63" s="242"/>
      <c r="I63" s="242">
        <v>3.0000000000000001E-3</v>
      </c>
      <c r="J63" s="242">
        <v>3.0000000000000001E-3</v>
      </c>
      <c r="K63" s="21" t="s">
        <v>640</v>
      </c>
      <c r="L63" s="21"/>
      <c r="M63" s="21"/>
      <c r="N63" s="21"/>
      <c r="O63" s="21"/>
      <c r="P63" s="21"/>
    </row>
    <row r="64" spans="1:16">
      <c r="A64" s="236">
        <v>52</v>
      </c>
      <c r="B64" s="23"/>
      <c r="C64" s="240" t="s">
        <v>104</v>
      </c>
      <c r="D64" s="851" t="s">
        <v>105</v>
      </c>
      <c r="E64" s="852"/>
      <c r="F64" s="235">
        <v>1</v>
      </c>
      <c r="G64" s="240" t="s">
        <v>106</v>
      </c>
      <c r="H64" s="240"/>
      <c r="I64" s="235">
        <v>1.2999999999999999E-2</v>
      </c>
      <c r="J64" s="246">
        <f>I64*F64</f>
        <v>1.2999999999999999E-2</v>
      </c>
      <c r="K64" s="21"/>
      <c r="L64" s="21"/>
      <c r="M64" s="21"/>
      <c r="N64" s="21"/>
      <c r="O64" s="21"/>
      <c r="P64" s="21"/>
    </row>
    <row r="65" spans="1:16">
      <c r="A65" s="236">
        <v>53</v>
      </c>
      <c r="B65" s="20"/>
      <c r="C65" s="243" t="s">
        <v>107</v>
      </c>
      <c r="D65" s="846" t="s">
        <v>108</v>
      </c>
      <c r="E65" s="846"/>
      <c r="F65" s="244">
        <v>1</v>
      </c>
      <c r="G65" s="244" t="s">
        <v>44</v>
      </c>
      <c r="H65" s="244"/>
      <c r="I65" s="244">
        <v>1E-3</v>
      </c>
      <c r="J65" s="244">
        <v>1E-3</v>
      </c>
      <c r="K65" s="21" t="s">
        <v>103</v>
      </c>
      <c r="L65" s="21"/>
      <c r="M65" s="21"/>
      <c r="N65" s="21"/>
      <c r="O65" s="21"/>
      <c r="P65" s="21"/>
    </row>
    <row r="66" spans="1:16" ht="15.75" customHeight="1">
      <c r="A66" s="236">
        <v>54</v>
      </c>
      <c r="B66" s="15"/>
      <c r="C66" s="245" t="s">
        <v>87</v>
      </c>
      <c r="D66" s="821" t="s">
        <v>88</v>
      </c>
      <c r="E66" s="822"/>
      <c r="F66" s="245">
        <v>1</v>
      </c>
      <c r="G66" s="245" t="s">
        <v>29</v>
      </c>
      <c r="H66" s="8"/>
      <c r="I66" s="245">
        <v>5.0000000000000001E-3</v>
      </c>
      <c r="J66" s="28">
        <f>I66*F66</f>
        <v>5.0000000000000001E-3</v>
      </c>
      <c r="K66" s="21" t="s">
        <v>641</v>
      </c>
    </row>
    <row r="67" spans="1:16" ht="15.6" customHeight="1"/>
    <row r="68" spans="1:16" ht="15.6" customHeight="1"/>
    <row r="78" spans="1:16">
      <c r="F78" s="5"/>
      <c r="G78" s="5"/>
      <c r="H78" s="5"/>
      <c r="I78" s="5"/>
      <c r="K78" s="22"/>
      <c r="L78" s="22"/>
      <c r="M78" s="22"/>
    </row>
    <row r="79" spans="1:16">
      <c r="F79" s="5"/>
      <c r="G79" s="5"/>
      <c r="H79" s="5"/>
      <c r="I79" s="5"/>
      <c r="K79" s="22"/>
      <c r="L79" s="22"/>
      <c r="M79" s="22"/>
    </row>
    <row r="80" spans="1:16">
      <c r="F80" s="5"/>
      <c r="G80" s="5"/>
      <c r="H80" s="5"/>
      <c r="I80" s="5"/>
      <c r="K80" s="22"/>
      <c r="L80" s="22"/>
      <c r="M80" s="22"/>
    </row>
    <row r="81" spans="6:13">
      <c r="F81" s="5"/>
      <c r="G81" s="5"/>
      <c r="H81" s="5"/>
      <c r="I81" s="5"/>
      <c r="K81" s="22"/>
      <c r="L81" s="22"/>
      <c r="M81" s="22"/>
    </row>
    <row r="82" spans="6:13">
      <c r="F82" s="5"/>
      <c r="G82" s="5"/>
      <c r="H82" s="5"/>
      <c r="I82" s="5"/>
      <c r="K82" s="22"/>
      <c r="L82" s="22"/>
      <c r="M82" s="22"/>
    </row>
    <row r="83" spans="6:13">
      <c r="F83" s="5"/>
      <c r="G83" s="5"/>
      <c r="H83" s="5"/>
      <c r="I83" s="5"/>
      <c r="K83" s="22"/>
      <c r="L83" s="22"/>
      <c r="M83" s="22"/>
    </row>
    <row r="84" spans="6:13">
      <c r="F84" s="5"/>
      <c r="G84" s="5"/>
      <c r="H84" s="5"/>
      <c r="I84" s="5"/>
      <c r="K84" s="22"/>
      <c r="L84" s="22"/>
      <c r="M84" s="22"/>
    </row>
    <row r="85" spans="6:13">
      <c r="F85" s="5"/>
      <c r="G85" s="5"/>
      <c r="H85" s="5"/>
      <c r="I85" s="5"/>
    </row>
    <row r="99" s="5" customFormat="1"/>
  </sheetData>
  <mergeCells count="47">
    <mergeCell ref="D66:E66"/>
    <mergeCell ref="D60:E60"/>
    <mergeCell ref="D61:E61"/>
    <mergeCell ref="D62:E62"/>
    <mergeCell ref="D63:E63"/>
    <mergeCell ref="D64:E64"/>
    <mergeCell ref="D65:E65"/>
    <mergeCell ref="D59:E59"/>
    <mergeCell ref="D47:E47"/>
    <mergeCell ref="D48:E48"/>
    <mergeCell ref="D49:E49"/>
    <mergeCell ref="D50:E50"/>
    <mergeCell ref="D51:E51"/>
    <mergeCell ref="D53:E53"/>
    <mergeCell ref="D54:E54"/>
    <mergeCell ref="D55:E55"/>
    <mergeCell ref="D56:E56"/>
    <mergeCell ref="D57:E57"/>
    <mergeCell ref="D58:E58"/>
    <mergeCell ref="D52:E52"/>
    <mergeCell ref="D46:E46"/>
    <mergeCell ref="D23:D24"/>
    <mergeCell ref="E23:E24"/>
    <mergeCell ref="D28:E28"/>
    <mergeCell ref="D30:E30"/>
    <mergeCell ref="D32:E32"/>
    <mergeCell ref="A33:J33"/>
    <mergeCell ref="D40:E40"/>
    <mergeCell ref="D41:E41"/>
    <mergeCell ref="D42:E42"/>
    <mergeCell ref="D43:E43"/>
    <mergeCell ref="D44:E44"/>
    <mergeCell ref="D22:E22"/>
    <mergeCell ref="A1:J2"/>
    <mergeCell ref="A3:A4"/>
    <mergeCell ref="B3:B4"/>
    <mergeCell ref="C3:C4"/>
    <mergeCell ref="D3:E4"/>
    <mergeCell ref="F3:F4"/>
    <mergeCell ref="G3:G4"/>
    <mergeCell ref="H3:H4"/>
    <mergeCell ref="I3:J3"/>
    <mergeCell ref="D5:D6"/>
    <mergeCell ref="E5:E6"/>
    <mergeCell ref="J5:J6"/>
    <mergeCell ref="A11:J11"/>
    <mergeCell ref="A17:J17"/>
  </mergeCells>
  <pageMargins left="3.937007874015748E-2" right="3.937007874015748E-2" top="0.19685039370078741" bottom="0" header="0.11811023622047244" footer="0.11811023622047244"/>
  <pageSetup paperSize="9" scale="67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view="pageBreakPreview" zoomScale="80" zoomScaleSheetLayoutView="80" workbookViewId="0">
      <selection activeCell="C48" sqref="C48"/>
    </sheetView>
  </sheetViews>
  <sheetFormatPr defaultRowHeight="15.75"/>
  <cols>
    <col min="1" max="1" width="6.42578125" style="5" customWidth="1"/>
    <col min="2" max="2" width="30.5703125" style="5" customWidth="1"/>
    <col min="3" max="3" width="40.85546875" style="5" customWidth="1"/>
    <col min="4" max="4" width="19.42578125" style="5" customWidth="1"/>
    <col min="5" max="5" width="17.5703125" style="5" customWidth="1"/>
    <col min="6" max="8" width="9.140625" style="25"/>
    <col min="9" max="9" width="10.85546875" style="25" customWidth="1"/>
    <col min="10" max="10" width="10.140625" style="26" customWidth="1"/>
    <col min="11" max="11" width="15.85546875" style="5" customWidth="1"/>
    <col min="12" max="255" width="9.140625" style="5"/>
    <col min="256" max="256" width="6.42578125" style="5" customWidth="1"/>
    <col min="257" max="257" width="30.5703125" style="5" customWidth="1"/>
    <col min="258" max="258" width="40.85546875" style="5" customWidth="1"/>
    <col min="259" max="259" width="19.42578125" style="5" customWidth="1"/>
    <col min="260" max="260" width="17.5703125" style="5" customWidth="1"/>
    <col min="261" max="262" width="9.140625" style="5"/>
    <col min="263" max="263" width="10.85546875" style="5" customWidth="1"/>
    <col min="264" max="264" width="10.140625" style="5" customWidth="1"/>
    <col min="265" max="265" width="13.28515625" style="5" bestFit="1" customWidth="1"/>
    <col min="266" max="511" width="9.140625" style="5"/>
    <col min="512" max="512" width="6.42578125" style="5" customWidth="1"/>
    <col min="513" max="513" width="30.5703125" style="5" customWidth="1"/>
    <col min="514" max="514" width="40.85546875" style="5" customWidth="1"/>
    <col min="515" max="515" width="19.42578125" style="5" customWidth="1"/>
    <col min="516" max="516" width="17.5703125" style="5" customWidth="1"/>
    <col min="517" max="518" width="9.140625" style="5"/>
    <col min="519" max="519" width="10.85546875" style="5" customWidth="1"/>
    <col min="520" max="520" width="10.140625" style="5" customWidth="1"/>
    <col min="521" max="521" width="13.28515625" style="5" bestFit="1" customWidth="1"/>
    <col min="522" max="767" width="9.140625" style="5"/>
    <col min="768" max="768" width="6.42578125" style="5" customWidth="1"/>
    <col min="769" max="769" width="30.5703125" style="5" customWidth="1"/>
    <col min="770" max="770" width="40.85546875" style="5" customWidth="1"/>
    <col min="771" max="771" width="19.42578125" style="5" customWidth="1"/>
    <col min="772" max="772" width="17.5703125" style="5" customWidth="1"/>
    <col min="773" max="774" width="9.140625" style="5"/>
    <col min="775" max="775" width="10.85546875" style="5" customWidth="1"/>
    <col min="776" max="776" width="10.140625" style="5" customWidth="1"/>
    <col min="777" max="777" width="13.28515625" style="5" bestFit="1" customWidth="1"/>
    <col min="778" max="1023" width="9.140625" style="5"/>
    <col min="1024" max="1024" width="6.42578125" style="5" customWidth="1"/>
    <col min="1025" max="1025" width="30.5703125" style="5" customWidth="1"/>
    <col min="1026" max="1026" width="40.85546875" style="5" customWidth="1"/>
    <col min="1027" max="1027" width="19.42578125" style="5" customWidth="1"/>
    <col min="1028" max="1028" width="17.5703125" style="5" customWidth="1"/>
    <col min="1029" max="1030" width="9.140625" style="5"/>
    <col min="1031" max="1031" width="10.85546875" style="5" customWidth="1"/>
    <col min="1032" max="1032" width="10.140625" style="5" customWidth="1"/>
    <col min="1033" max="1033" width="13.28515625" style="5" bestFit="1" customWidth="1"/>
    <col min="1034" max="1279" width="9.140625" style="5"/>
    <col min="1280" max="1280" width="6.42578125" style="5" customWidth="1"/>
    <col min="1281" max="1281" width="30.5703125" style="5" customWidth="1"/>
    <col min="1282" max="1282" width="40.85546875" style="5" customWidth="1"/>
    <col min="1283" max="1283" width="19.42578125" style="5" customWidth="1"/>
    <col min="1284" max="1284" width="17.5703125" style="5" customWidth="1"/>
    <col min="1285" max="1286" width="9.140625" style="5"/>
    <col min="1287" max="1287" width="10.85546875" style="5" customWidth="1"/>
    <col min="1288" max="1288" width="10.140625" style="5" customWidth="1"/>
    <col min="1289" max="1289" width="13.28515625" style="5" bestFit="1" customWidth="1"/>
    <col min="1290" max="1535" width="9.140625" style="5"/>
    <col min="1536" max="1536" width="6.42578125" style="5" customWidth="1"/>
    <col min="1537" max="1537" width="30.5703125" style="5" customWidth="1"/>
    <col min="1538" max="1538" width="40.85546875" style="5" customWidth="1"/>
    <col min="1539" max="1539" width="19.42578125" style="5" customWidth="1"/>
    <col min="1540" max="1540" width="17.5703125" style="5" customWidth="1"/>
    <col min="1541" max="1542" width="9.140625" style="5"/>
    <col min="1543" max="1543" width="10.85546875" style="5" customWidth="1"/>
    <col min="1544" max="1544" width="10.140625" style="5" customWidth="1"/>
    <col min="1545" max="1545" width="13.28515625" style="5" bestFit="1" customWidth="1"/>
    <col min="1546" max="1791" width="9.140625" style="5"/>
    <col min="1792" max="1792" width="6.42578125" style="5" customWidth="1"/>
    <col min="1793" max="1793" width="30.5703125" style="5" customWidth="1"/>
    <col min="1794" max="1794" width="40.85546875" style="5" customWidth="1"/>
    <col min="1795" max="1795" width="19.42578125" style="5" customWidth="1"/>
    <col min="1796" max="1796" width="17.5703125" style="5" customWidth="1"/>
    <col min="1797" max="1798" width="9.140625" style="5"/>
    <col min="1799" max="1799" width="10.85546875" style="5" customWidth="1"/>
    <col min="1800" max="1800" width="10.140625" style="5" customWidth="1"/>
    <col min="1801" max="1801" width="13.28515625" style="5" bestFit="1" customWidth="1"/>
    <col min="1802" max="2047" width="9.140625" style="5"/>
    <col min="2048" max="2048" width="6.42578125" style="5" customWidth="1"/>
    <col min="2049" max="2049" width="30.5703125" style="5" customWidth="1"/>
    <col min="2050" max="2050" width="40.85546875" style="5" customWidth="1"/>
    <col min="2051" max="2051" width="19.42578125" style="5" customWidth="1"/>
    <col min="2052" max="2052" width="17.5703125" style="5" customWidth="1"/>
    <col min="2053" max="2054" width="9.140625" style="5"/>
    <col min="2055" max="2055" width="10.85546875" style="5" customWidth="1"/>
    <col min="2056" max="2056" width="10.140625" style="5" customWidth="1"/>
    <col min="2057" max="2057" width="13.28515625" style="5" bestFit="1" customWidth="1"/>
    <col min="2058" max="2303" width="9.140625" style="5"/>
    <col min="2304" max="2304" width="6.42578125" style="5" customWidth="1"/>
    <col min="2305" max="2305" width="30.5703125" style="5" customWidth="1"/>
    <col min="2306" max="2306" width="40.85546875" style="5" customWidth="1"/>
    <col min="2307" max="2307" width="19.42578125" style="5" customWidth="1"/>
    <col min="2308" max="2308" width="17.5703125" style="5" customWidth="1"/>
    <col min="2309" max="2310" width="9.140625" style="5"/>
    <col min="2311" max="2311" width="10.85546875" style="5" customWidth="1"/>
    <col min="2312" max="2312" width="10.140625" style="5" customWidth="1"/>
    <col min="2313" max="2313" width="13.28515625" style="5" bestFit="1" customWidth="1"/>
    <col min="2314" max="2559" width="9.140625" style="5"/>
    <col min="2560" max="2560" width="6.42578125" style="5" customWidth="1"/>
    <col min="2561" max="2561" width="30.5703125" style="5" customWidth="1"/>
    <col min="2562" max="2562" width="40.85546875" style="5" customWidth="1"/>
    <col min="2563" max="2563" width="19.42578125" style="5" customWidth="1"/>
    <col min="2564" max="2564" width="17.5703125" style="5" customWidth="1"/>
    <col min="2565" max="2566" width="9.140625" style="5"/>
    <col min="2567" max="2567" width="10.85546875" style="5" customWidth="1"/>
    <col min="2568" max="2568" width="10.140625" style="5" customWidth="1"/>
    <col min="2569" max="2569" width="13.28515625" style="5" bestFit="1" customWidth="1"/>
    <col min="2570" max="2815" width="9.140625" style="5"/>
    <col min="2816" max="2816" width="6.42578125" style="5" customWidth="1"/>
    <col min="2817" max="2817" width="30.5703125" style="5" customWidth="1"/>
    <col min="2818" max="2818" width="40.85546875" style="5" customWidth="1"/>
    <col min="2819" max="2819" width="19.42578125" style="5" customWidth="1"/>
    <col min="2820" max="2820" width="17.5703125" style="5" customWidth="1"/>
    <col min="2821" max="2822" width="9.140625" style="5"/>
    <col min="2823" max="2823" width="10.85546875" style="5" customWidth="1"/>
    <col min="2824" max="2824" width="10.140625" style="5" customWidth="1"/>
    <col min="2825" max="2825" width="13.28515625" style="5" bestFit="1" customWidth="1"/>
    <col min="2826" max="3071" width="9.140625" style="5"/>
    <col min="3072" max="3072" width="6.42578125" style="5" customWidth="1"/>
    <col min="3073" max="3073" width="30.5703125" style="5" customWidth="1"/>
    <col min="3074" max="3074" width="40.85546875" style="5" customWidth="1"/>
    <col min="3075" max="3075" width="19.42578125" style="5" customWidth="1"/>
    <col min="3076" max="3076" width="17.5703125" style="5" customWidth="1"/>
    <col min="3077" max="3078" width="9.140625" style="5"/>
    <col min="3079" max="3079" width="10.85546875" style="5" customWidth="1"/>
    <col min="3080" max="3080" width="10.140625" style="5" customWidth="1"/>
    <col min="3081" max="3081" width="13.28515625" style="5" bestFit="1" customWidth="1"/>
    <col min="3082" max="3327" width="9.140625" style="5"/>
    <col min="3328" max="3328" width="6.42578125" style="5" customWidth="1"/>
    <col min="3329" max="3329" width="30.5703125" style="5" customWidth="1"/>
    <col min="3330" max="3330" width="40.85546875" style="5" customWidth="1"/>
    <col min="3331" max="3331" width="19.42578125" style="5" customWidth="1"/>
    <col min="3332" max="3332" width="17.5703125" style="5" customWidth="1"/>
    <col min="3333" max="3334" width="9.140625" style="5"/>
    <col min="3335" max="3335" width="10.85546875" style="5" customWidth="1"/>
    <col min="3336" max="3336" width="10.140625" style="5" customWidth="1"/>
    <col min="3337" max="3337" width="13.28515625" style="5" bestFit="1" customWidth="1"/>
    <col min="3338" max="3583" width="9.140625" style="5"/>
    <col min="3584" max="3584" width="6.42578125" style="5" customWidth="1"/>
    <col min="3585" max="3585" width="30.5703125" style="5" customWidth="1"/>
    <col min="3586" max="3586" width="40.85546875" style="5" customWidth="1"/>
    <col min="3587" max="3587" width="19.42578125" style="5" customWidth="1"/>
    <col min="3588" max="3588" width="17.5703125" style="5" customWidth="1"/>
    <col min="3589" max="3590" width="9.140625" style="5"/>
    <col min="3591" max="3591" width="10.85546875" style="5" customWidth="1"/>
    <col min="3592" max="3592" width="10.140625" style="5" customWidth="1"/>
    <col min="3593" max="3593" width="13.28515625" style="5" bestFit="1" customWidth="1"/>
    <col min="3594" max="3839" width="9.140625" style="5"/>
    <col min="3840" max="3840" width="6.42578125" style="5" customWidth="1"/>
    <col min="3841" max="3841" width="30.5703125" style="5" customWidth="1"/>
    <col min="3842" max="3842" width="40.85546875" style="5" customWidth="1"/>
    <col min="3843" max="3843" width="19.42578125" style="5" customWidth="1"/>
    <col min="3844" max="3844" width="17.5703125" style="5" customWidth="1"/>
    <col min="3845" max="3846" width="9.140625" style="5"/>
    <col min="3847" max="3847" width="10.85546875" style="5" customWidth="1"/>
    <col min="3848" max="3848" width="10.140625" style="5" customWidth="1"/>
    <col min="3849" max="3849" width="13.28515625" style="5" bestFit="1" customWidth="1"/>
    <col min="3850" max="4095" width="9.140625" style="5"/>
    <col min="4096" max="4096" width="6.42578125" style="5" customWidth="1"/>
    <col min="4097" max="4097" width="30.5703125" style="5" customWidth="1"/>
    <col min="4098" max="4098" width="40.85546875" style="5" customWidth="1"/>
    <col min="4099" max="4099" width="19.42578125" style="5" customWidth="1"/>
    <col min="4100" max="4100" width="17.5703125" style="5" customWidth="1"/>
    <col min="4101" max="4102" width="9.140625" style="5"/>
    <col min="4103" max="4103" width="10.85546875" style="5" customWidth="1"/>
    <col min="4104" max="4104" width="10.140625" style="5" customWidth="1"/>
    <col min="4105" max="4105" width="13.28515625" style="5" bestFit="1" customWidth="1"/>
    <col min="4106" max="4351" width="9.140625" style="5"/>
    <col min="4352" max="4352" width="6.42578125" style="5" customWidth="1"/>
    <col min="4353" max="4353" width="30.5703125" style="5" customWidth="1"/>
    <col min="4354" max="4354" width="40.85546875" style="5" customWidth="1"/>
    <col min="4355" max="4355" width="19.42578125" style="5" customWidth="1"/>
    <col min="4356" max="4356" width="17.5703125" style="5" customWidth="1"/>
    <col min="4357" max="4358" width="9.140625" style="5"/>
    <col min="4359" max="4359" width="10.85546875" style="5" customWidth="1"/>
    <col min="4360" max="4360" width="10.140625" style="5" customWidth="1"/>
    <col min="4361" max="4361" width="13.28515625" style="5" bestFit="1" customWidth="1"/>
    <col min="4362" max="4607" width="9.140625" style="5"/>
    <col min="4608" max="4608" width="6.42578125" style="5" customWidth="1"/>
    <col min="4609" max="4609" width="30.5703125" style="5" customWidth="1"/>
    <col min="4610" max="4610" width="40.85546875" style="5" customWidth="1"/>
    <col min="4611" max="4611" width="19.42578125" style="5" customWidth="1"/>
    <col min="4612" max="4612" width="17.5703125" style="5" customWidth="1"/>
    <col min="4613" max="4614" width="9.140625" style="5"/>
    <col min="4615" max="4615" width="10.85546875" style="5" customWidth="1"/>
    <col min="4616" max="4616" width="10.140625" style="5" customWidth="1"/>
    <col min="4617" max="4617" width="13.28515625" style="5" bestFit="1" customWidth="1"/>
    <col min="4618" max="4863" width="9.140625" style="5"/>
    <col min="4864" max="4864" width="6.42578125" style="5" customWidth="1"/>
    <col min="4865" max="4865" width="30.5703125" style="5" customWidth="1"/>
    <col min="4866" max="4866" width="40.85546875" style="5" customWidth="1"/>
    <col min="4867" max="4867" width="19.42578125" style="5" customWidth="1"/>
    <col min="4868" max="4868" width="17.5703125" style="5" customWidth="1"/>
    <col min="4869" max="4870" width="9.140625" style="5"/>
    <col min="4871" max="4871" width="10.85546875" style="5" customWidth="1"/>
    <col min="4872" max="4872" width="10.140625" style="5" customWidth="1"/>
    <col min="4873" max="4873" width="13.28515625" style="5" bestFit="1" customWidth="1"/>
    <col min="4874" max="5119" width="9.140625" style="5"/>
    <col min="5120" max="5120" width="6.42578125" style="5" customWidth="1"/>
    <col min="5121" max="5121" width="30.5703125" style="5" customWidth="1"/>
    <col min="5122" max="5122" width="40.85546875" style="5" customWidth="1"/>
    <col min="5123" max="5123" width="19.42578125" style="5" customWidth="1"/>
    <col min="5124" max="5124" width="17.5703125" style="5" customWidth="1"/>
    <col min="5125" max="5126" width="9.140625" style="5"/>
    <col min="5127" max="5127" width="10.85546875" style="5" customWidth="1"/>
    <col min="5128" max="5128" width="10.140625" style="5" customWidth="1"/>
    <col min="5129" max="5129" width="13.28515625" style="5" bestFit="1" customWidth="1"/>
    <col min="5130" max="5375" width="9.140625" style="5"/>
    <col min="5376" max="5376" width="6.42578125" style="5" customWidth="1"/>
    <col min="5377" max="5377" width="30.5703125" style="5" customWidth="1"/>
    <col min="5378" max="5378" width="40.85546875" style="5" customWidth="1"/>
    <col min="5379" max="5379" width="19.42578125" style="5" customWidth="1"/>
    <col min="5380" max="5380" width="17.5703125" style="5" customWidth="1"/>
    <col min="5381" max="5382" width="9.140625" style="5"/>
    <col min="5383" max="5383" width="10.85546875" style="5" customWidth="1"/>
    <col min="5384" max="5384" width="10.140625" style="5" customWidth="1"/>
    <col min="5385" max="5385" width="13.28515625" style="5" bestFit="1" customWidth="1"/>
    <col min="5386" max="5631" width="9.140625" style="5"/>
    <col min="5632" max="5632" width="6.42578125" style="5" customWidth="1"/>
    <col min="5633" max="5633" width="30.5703125" style="5" customWidth="1"/>
    <col min="5634" max="5634" width="40.85546875" style="5" customWidth="1"/>
    <col min="5635" max="5635" width="19.42578125" style="5" customWidth="1"/>
    <col min="5636" max="5636" width="17.5703125" style="5" customWidth="1"/>
    <col min="5637" max="5638" width="9.140625" style="5"/>
    <col min="5639" max="5639" width="10.85546875" style="5" customWidth="1"/>
    <col min="5640" max="5640" width="10.140625" style="5" customWidth="1"/>
    <col min="5641" max="5641" width="13.28515625" style="5" bestFit="1" customWidth="1"/>
    <col min="5642" max="5887" width="9.140625" style="5"/>
    <col min="5888" max="5888" width="6.42578125" style="5" customWidth="1"/>
    <col min="5889" max="5889" width="30.5703125" style="5" customWidth="1"/>
    <col min="5890" max="5890" width="40.85546875" style="5" customWidth="1"/>
    <col min="5891" max="5891" width="19.42578125" style="5" customWidth="1"/>
    <col min="5892" max="5892" width="17.5703125" style="5" customWidth="1"/>
    <col min="5893" max="5894" width="9.140625" style="5"/>
    <col min="5895" max="5895" width="10.85546875" style="5" customWidth="1"/>
    <col min="5896" max="5896" width="10.140625" style="5" customWidth="1"/>
    <col min="5897" max="5897" width="13.28515625" style="5" bestFit="1" customWidth="1"/>
    <col min="5898" max="6143" width="9.140625" style="5"/>
    <col min="6144" max="6144" width="6.42578125" style="5" customWidth="1"/>
    <col min="6145" max="6145" width="30.5703125" style="5" customWidth="1"/>
    <col min="6146" max="6146" width="40.85546875" style="5" customWidth="1"/>
    <col min="6147" max="6147" width="19.42578125" style="5" customWidth="1"/>
    <col min="6148" max="6148" width="17.5703125" style="5" customWidth="1"/>
    <col min="6149" max="6150" width="9.140625" style="5"/>
    <col min="6151" max="6151" width="10.85546875" style="5" customWidth="1"/>
    <col min="6152" max="6152" width="10.140625" style="5" customWidth="1"/>
    <col min="6153" max="6153" width="13.28515625" style="5" bestFit="1" customWidth="1"/>
    <col min="6154" max="6399" width="9.140625" style="5"/>
    <col min="6400" max="6400" width="6.42578125" style="5" customWidth="1"/>
    <col min="6401" max="6401" width="30.5703125" style="5" customWidth="1"/>
    <col min="6402" max="6402" width="40.85546875" style="5" customWidth="1"/>
    <col min="6403" max="6403" width="19.42578125" style="5" customWidth="1"/>
    <col min="6404" max="6404" width="17.5703125" style="5" customWidth="1"/>
    <col min="6405" max="6406" width="9.140625" style="5"/>
    <col min="6407" max="6407" width="10.85546875" style="5" customWidth="1"/>
    <col min="6408" max="6408" width="10.140625" style="5" customWidth="1"/>
    <col min="6409" max="6409" width="13.28515625" style="5" bestFit="1" customWidth="1"/>
    <col min="6410" max="6655" width="9.140625" style="5"/>
    <col min="6656" max="6656" width="6.42578125" style="5" customWidth="1"/>
    <col min="6657" max="6657" width="30.5703125" style="5" customWidth="1"/>
    <col min="6658" max="6658" width="40.85546875" style="5" customWidth="1"/>
    <col min="6659" max="6659" width="19.42578125" style="5" customWidth="1"/>
    <col min="6660" max="6660" width="17.5703125" style="5" customWidth="1"/>
    <col min="6661" max="6662" width="9.140625" style="5"/>
    <col min="6663" max="6663" width="10.85546875" style="5" customWidth="1"/>
    <col min="6664" max="6664" width="10.140625" style="5" customWidth="1"/>
    <col min="6665" max="6665" width="13.28515625" style="5" bestFit="1" customWidth="1"/>
    <col min="6666" max="6911" width="9.140625" style="5"/>
    <col min="6912" max="6912" width="6.42578125" style="5" customWidth="1"/>
    <col min="6913" max="6913" width="30.5703125" style="5" customWidth="1"/>
    <col min="6914" max="6914" width="40.85546875" style="5" customWidth="1"/>
    <col min="6915" max="6915" width="19.42578125" style="5" customWidth="1"/>
    <col min="6916" max="6916" width="17.5703125" style="5" customWidth="1"/>
    <col min="6917" max="6918" width="9.140625" style="5"/>
    <col min="6919" max="6919" width="10.85546875" style="5" customWidth="1"/>
    <col min="6920" max="6920" width="10.140625" style="5" customWidth="1"/>
    <col min="6921" max="6921" width="13.28515625" style="5" bestFit="1" customWidth="1"/>
    <col min="6922" max="7167" width="9.140625" style="5"/>
    <col min="7168" max="7168" width="6.42578125" style="5" customWidth="1"/>
    <col min="7169" max="7169" width="30.5703125" style="5" customWidth="1"/>
    <col min="7170" max="7170" width="40.85546875" style="5" customWidth="1"/>
    <col min="7171" max="7171" width="19.42578125" style="5" customWidth="1"/>
    <col min="7172" max="7172" width="17.5703125" style="5" customWidth="1"/>
    <col min="7173" max="7174" width="9.140625" style="5"/>
    <col min="7175" max="7175" width="10.85546875" style="5" customWidth="1"/>
    <col min="7176" max="7176" width="10.140625" style="5" customWidth="1"/>
    <col min="7177" max="7177" width="13.28515625" style="5" bestFit="1" customWidth="1"/>
    <col min="7178" max="7423" width="9.140625" style="5"/>
    <col min="7424" max="7424" width="6.42578125" style="5" customWidth="1"/>
    <col min="7425" max="7425" width="30.5703125" style="5" customWidth="1"/>
    <col min="7426" max="7426" width="40.85546875" style="5" customWidth="1"/>
    <col min="7427" max="7427" width="19.42578125" style="5" customWidth="1"/>
    <col min="7428" max="7428" width="17.5703125" style="5" customWidth="1"/>
    <col min="7429" max="7430" width="9.140625" style="5"/>
    <col min="7431" max="7431" width="10.85546875" style="5" customWidth="1"/>
    <col min="7432" max="7432" width="10.140625" style="5" customWidth="1"/>
    <col min="7433" max="7433" width="13.28515625" style="5" bestFit="1" customWidth="1"/>
    <col min="7434" max="7679" width="9.140625" style="5"/>
    <col min="7680" max="7680" width="6.42578125" style="5" customWidth="1"/>
    <col min="7681" max="7681" width="30.5703125" style="5" customWidth="1"/>
    <col min="7682" max="7682" width="40.85546875" style="5" customWidth="1"/>
    <col min="7683" max="7683" width="19.42578125" style="5" customWidth="1"/>
    <col min="7684" max="7684" width="17.5703125" style="5" customWidth="1"/>
    <col min="7685" max="7686" width="9.140625" style="5"/>
    <col min="7687" max="7687" width="10.85546875" style="5" customWidth="1"/>
    <col min="7688" max="7688" width="10.140625" style="5" customWidth="1"/>
    <col min="7689" max="7689" width="13.28515625" style="5" bestFit="1" customWidth="1"/>
    <col min="7690" max="7935" width="9.140625" style="5"/>
    <col min="7936" max="7936" width="6.42578125" style="5" customWidth="1"/>
    <col min="7937" max="7937" width="30.5703125" style="5" customWidth="1"/>
    <col min="7938" max="7938" width="40.85546875" style="5" customWidth="1"/>
    <col min="7939" max="7939" width="19.42578125" style="5" customWidth="1"/>
    <col min="7940" max="7940" width="17.5703125" style="5" customWidth="1"/>
    <col min="7941" max="7942" width="9.140625" style="5"/>
    <col min="7943" max="7943" width="10.85546875" style="5" customWidth="1"/>
    <col min="7944" max="7944" width="10.140625" style="5" customWidth="1"/>
    <col min="7945" max="7945" width="13.28515625" style="5" bestFit="1" customWidth="1"/>
    <col min="7946" max="8191" width="9.140625" style="5"/>
    <col min="8192" max="8192" width="6.42578125" style="5" customWidth="1"/>
    <col min="8193" max="8193" width="30.5703125" style="5" customWidth="1"/>
    <col min="8194" max="8194" width="40.85546875" style="5" customWidth="1"/>
    <col min="8195" max="8195" width="19.42578125" style="5" customWidth="1"/>
    <col min="8196" max="8196" width="17.5703125" style="5" customWidth="1"/>
    <col min="8197" max="8198" width="9.140625" style="5"/>
    <col min="8199" max="8199" width="10.85546875" style="5" customWidth="1"/>
    <col min="8200" max="8200" width="10.140625" style="5" customWidth="1"/>
    <col min="8201" max="8201" width="13.28515625" style="5" bestFit="1" customWidth="1"/>
    <col min="8202" max="8447" width="9.140625" style="5"/>
    <col min="8448" max="8448" width="6.42578125" style="5" customWidth="1"/>
    <col min="8449" max="8449" width="30.5703125" style="5" customWidth="1"/>
    <col min="8450" max="8450" width="40.85546875" style="5" customWidth="1"/>
    <col min="8451" max="8451" width="19.42578125" style="5" customWidth="1"/>
    <col min="8452" max="8452" width="17.5703125" style="5" customWidth="1"/>
    <col min="8453" max="8454" width="9.140625" style="5"/>
    <col min="8455" max="8455" width="10.85546875" style="5" customWidth="1"/>
    <col min="8456" max="8456" width="10.140625" style="5" customWidth="1"/>
    <col min="8457" max="8457" width="13.28515625" style="5" bestFit="1" customWidth="1"/>
    <col min="8458" max="8703" width="9.140625" style="5"/>
    <col min="8704" max="8704" width="6.42578125" style="5" customWidth="1"/>
    <col min="8705" max="8705" width="30.5703125" style="5" customWidth="1"/>
    <col min="8706" max="8706" width="40.85546875" style="5" customWidth="1"/>
    <col min="8707" max="8707" width="19.42578125" style="5" customWidth="1"/>
    <col min="8708" max="8708" width="17.5703125" style="5" customWidth="1"/>
    <col min="8709" max="8710" width="9.140625" style="5"/>
    <col min="8711" max="8711" width="10.85546875" style="5" customWidth="1"/>
    <col min="8712" max="8712" width="10.140625" style="5" customWidth="1"/>
    <col min="8713" max="8713" width="13.28515625" style="5" bestFit="1" customWidth="1"/>
    <col min="8714" max="8959" width="9.140625" style="5"/>
    <col min="8960" max="8960" width="6.42578125" style="5" customWidth="1"/>
    <col min="8961" max="8961" width="30.5703125" style="5" customWidth="1"/>
    <col min="8962" max="8962" width="40.85546875" style="5" customWidth="1"/>
    <col min="8963" max="8963" width="19.42578125" style="5" customWidth="1"/>
    <col min="8964" max="8964" width="17.5703125" style="5" customWidth="1"/>
    <col min="8965" max="8966" width="9.140625" style="5"/>
    <col min="8967" max="8967" width="10.85546875" style="5" customWidth="1"/>
    <col min="8968" max="8968" width="10.140625" style="5" customWidth="1"/>
    <col min="8969" max="8969" width="13.28515625" style="5" bestFit="1" customWidth="1"/>
    <col min="8970" max="9215" width="9.140625" style="5"/>
    <col min="9216" max="9216" width="6.42578125" style="5" customWidth="1"/>
    <col min="9217" max="9217" width="30.5703125" style="5" customWidth="1"/>
    <col min="9218" max="9218" width="40.85546875" style="5" customWidth="1"/>
    <col min="9219" max="9219" width="19.42578125" style="5" customWidth="1"/>
    <col min="9220" max="9220" width="17.5703125" style="5" customWidth="1"/>
    <col min="9221" max="9222" width="9.140625" style="5"/>
    <col min="9223" max="9223" width="10.85546875" style="5" customWidth="1"/>
    <col min="9224" max="9224" width="10.140625" style="5" customWidth="1"/>
    <col min="9225" max="9225" width="13.28515625" style="5" bestFit="1" customWidth="1"/>
    <col min="9226" max="9471" width="9.140625" style="5"/>
    <col min="9472" max="9472" width="6.42578125" style="5" customWidth="1"/>
    <col min="9473" max="9473" width="30.5703125" style="5" customWidth="1"/>
    <col min="9474" max="9474" width="40.85546875" style="5" customWidth="1"/>
    <col min="9475" max="9475" width="19.42578125" style="5" customWidth="1"/>
    <col min="9476" max="9476" width="17.5703125" style="5" customWidth="1"/>
    <col min="9477" max="9478" width="9.140625" style="5"/>
    <col min="9479" max="9479" width="10.85546875" style="5" customWidth="1"/>
    <col min="9480" max="9480" width="10.140625" style="5" customWidth="1"/>
    <col min="9481" max="9481" width="13.28515625" style="5" bestFit="1" customWidth="1"/>
    <col min="9482" max="9727" width="9.140625" style="5"/>
    <col min="9728" max="9728" width="6.42578125" style="5" customWidth="1"/>
    <col min="9729" max="9729" width="30.5703125" style="5" customWidth="1"/>
    <col min="9730" max="9730" width="40.85546875" style="5" customWidth="1"/>
    <col min="9731" max="9731" width="19.42578125" style="5" customWidth="1"/>
    <col min="9732" max="9732" width="17.5703125" style="5" customWidth="1"/>
    <col min="9733" max="9734" width="9.140625" style="5"/>
    <col min="9735" max="9735" width="10.85546875" style="5" customWidth="1"/>
    <col min="9736" max="9736" width="10.140625" style="5" customWidth="1"/>
    <col min="9737" max="9737" width="13.28515625" style="5" bestFit="1" customWidth="1"/>
    <col min="9738" max="9983" width="9.140625" style="5"/>
    <col min="9984" max="9984" width="6.42578125" style="5" customWidth="1"/>
    <col min="9985" max="9985" width="30.5703125" style="5" customWidth="1"/>
    <col min="9986" max="9986" width="40.85546875" style="5" customWidth="1"/>
    <col min="9987" max="9987" width="19.42578125" style="5" customWidth="1"/>
    <col min="9988" max="9988" width="17.5703125" style="5" customWidth="1"/>
    <col min="9989" max="9990" width="9.140625" style="5"/>
    <col min="9991" max="9991" width="10.85546875" style="5" customWidth="1"/>
    <col min="9992" max="9992" width="10.140625" style="5" customWidth="1"/>
    <col min="9993" max="9993" width="13.28515625" style="5" bestFit="1" customWidth="1"/>
    <col min="9994" max="10239" width="9.140625" style="5"/>
    <col min="10240" max="10240" width="6.42578125" style="5" customWidth="1"/>
    <col min="10241" max="10241" width="30.5703125" style="5" customWidth="1"/>
    <col min="10242" max="10242" width="40.85546875" style="5" customWidth="1"/>
    <col min="10243" max="10243" width="19.42578125" style="5" customWidth="1"/>
    <col min="10244" max="10244" width="17.5703125" style="5" customWidth="1"/>
    <col min="10245" max="10246" width="9.140625" style="5"/>
    <col min="10247" max="10247" width="10.85546875" style="5" customWidth="1"/>
    <col min="10248" max="10248" width="10.140625" style="5" customWidth="1"/>
    <col min="10249" max="10249" width="13.28515625" style="5" bestFit="1" customWidth="1"/>
    <col min="10250" max="10495" width="9.140625" style="5"/>
    <col min="10496" max="10496" width="6.42578125" style="5" customWidth="1"/>
    <col min="10497" max="10497" width="30.5703125" style="5" customWidth="1"/>
    <col min="10498" max="10498" width="40.85546875" style="5" customWidth="1"/>
    <col min="10499" max="10499" width="19.42578125" style="5" customWidth="1"/>
    <col min="10500" max="10500" width="17.5703125" style="5" customWidth="1"/>
    <col min="10501" max="10502" width="9.140625" style="5"/>
    <col min="10503" max="10503" width="10.85546875" style="5" customWidth="1"/>
    <col min="10504" max="10504" width="10.140625" style="5" customWidth="1"/>
    <col min="10505" max="10505" width="13.28515625" style="5" bestFit="1" customWidth="1"/>
    <col min="10506" max="10751" width="9.140625" style="5"/>
    <col min="10752" max="10752" width="6.42578125" style="5" customWidth="1"/>
    <col min="10753" max="10753" width="30.5703125" style="5" customWidth="1"/>
    <col min="10754" max="10754" width="40.85546875" style="5" customWidth="1"/>
    <col min="10755" max="10755" width="19.42578125" style="5" customWidth="1"/>
    <col min="10756" max="10756" width="17.5703125" style="5" customWidth="1"/>
    <col min="10757" max="10758" width="9.140625" style="5"/>
    <col min="10759" max="10759" width="10.85546875" style="5" customWidth="1"/>
    <col min="10760" max="10760" width="10.140625" style="5" customWidth="1"/>
    <col min="10761" max="10761" width="13.28515625" style="5" bestFit="1" customWidth="1"/>
    <col min="10762" max="11007" width="9.140625" style="5"/>
    <col min="11008" max="11008" width="6.42578125" style="5" customWidth="1"/>
    <col min="11009" max="11009" width="30.5703125" style="5" customWidth="1"/>
    <col min="11010" max="11010" width="40.85546875" style="5" customWidth="1"/>
    <col min="11011" max="11011" width="19.42578125" style="5" customWidth="1"/>
    <col min="11012" max="11012" width="17.5703125" style="5" customWidth="1"/>
    <col min="11013" max="11014" width="9.140625" style="5"/>
    <col min="11015" max="11015" width="10.85546875" style="5" customWidth="1"/>
    <col min="11016" max="11016" width="10.140625" style="5" customWidth="1"/>
    <col min="11017" max="11017" width="13.28515625" style="5" bestFit="1" customWidth="1"/>
    <col min="11018" max="11263" width="9.140625" style="5"/>
    <col min="11264" max="11264" width="6.42578125" style="5" customWidth="1"/>
    <col min="11265" max="11265" width="30.5703125" style="5" customWidth="1"/>
    <col min="11266" max="11266" width="40.85546875" style="5" customWidth="1"/>
    <col min="11267" max="11267" width="19.42578125" style="5" customWidth="1"/>
    <col min="11268" max="11268" width="17.5703125" style="5" customWidth="1"/>
    <col min="11269" max="11270" width="9.140625" style="5"/>
    <col min="11271" max="11271" width="10.85546875" style="5" customWidth="1"/>
    <col min="11272" max="11272" width="10.140625" style="5" customWidth="1"/>
    <col min="11273" max="11273" width="13.28515625" style="5" bestFit="1" customWidth="1"/>
    <col min="11274" max="11519" width="9.140625" style="5"/>
    <col min="11520" max="11520" width="6.42578125" style="5" customWidth="1"/>
    <col min="11521" max="11521" width="30.5703125" style="5" customWidth="1"/>
    <col min="11522" max="11522" width="40.85546875" style="5" customWidth="1"/>
    <col min="11523" max="11523" width="19.42578125" style="5" customWidth="1"/>
    <col min="11524" max="11524" width="17.5703125" style="5" customWidth="1"/>
    <col min="11525" max="11526" width="9.140625" style="5"/>
    <col min="11527" max="11527" width="10.85546875" style="5" customWidth="1"/>
    <col min="11528" max="11528" width="10.140625" style="5" customWidth="1"/>
    <col min="11529" max="11529" width="13.28515625" style="5" bestFit="1" customWidth="1"/>
    <col min="11530" max="11775" width="9.140625" style="5"/>
    <col min="11776" max="11776" width="6.42578125" style="5" customWidth="1"/>
    <col min="11777" max="11777" width="30.5703125" style="5" customWidth="1"/>
    <col min="11778" max="11778" width="40.85546875" style="5" customWidth="1"/>
    <col min="11779" max="11779" width="19.42578125" style="5" customWidth="1"/>
    <col min="11780" max="11780" width="17.5703125" style="5" customWidth="1"/>
    <col min="11781" max="11782" width="9.140625" style="5"/>
    <col min="11783" max="11783" width="10.85546875" style="5" customWidth="1"/>
    <col min="11784" max="11784" width="10.140625" style="5" customWidth="1"/>
    <col min="11785" max="11785" width="13.28515625" style="5" bestFit="1" customWidth="1"/>
    <col min="11786" max="12031" width="9.140625" style="5"/>
    <col min="12032" max="12032" width="6.42578125" style="5" customWidth="1"/>
    <col min="12033" max="12033" width="30.5703125" style="5" customWidth="1"/>
    <col min="12034" max="12034" width="40.85546875" style="5" customWidth="1"/>
    <col min="12035" max="12035" width="19.42578125" style="5" customWidth="1"/>
    <col min="12036" max="12036" width="17.5703125" style="5" customWidth="1"/>
    <col min="12037" max="12038" width="9.140625" style="5"/>
    <col min="12039" max="12039" width="10.85546875" style="5" customWidth="1"/>
    <col min="12040" max="12040" width="10.140625" style="5" customWidth="1"/>
    <col min="12041" max="12041" width="13.28515625" style="5" bestFit="1" customWidth="1"/>
    <col min="12042" max="12287" width="9.140625" style="5"/>
    <col min="12288" max="12288" width="6.42578125" style="5" customWidth="1"/>
    <col min="12289" max="12289" width="30.5703125" style="5" customWidth="1"/>
    <col min="12290" max="12290" width="40.85546875" style="5" customWidth="1"/>
    <col min="12291" max="12291" width="19.42578125" style="5" customWidth="1"/>
    <col min="12292" max="12292" width="17.5703125" style="5" customWidth="1"/>
    <col min="12293" max="12294" width="9.140625" style="5"/>
    <col min="12295" max="12295" width="10.85546875" style="5" customWidth="1"/>
    <col min="12296" max="12296" width="10.140625" style="5" customWidth="1"/>
    <col min="12297" max="12297" width="13.28515625" style="5" bestFit="1" customWidth="1"/>
    <col min="12298" max="12543" width="9.140625" style="5"/>
    <col min="12544" max="12544" width="6.42578125" style="5" customWidth="1"/>
    <col min="12545" max="12545" width="30.5703125" style="5" customWidth="1"/>
    <col min="12546" max="12546" width="40.85546875" style="5" customWidth="1"/>
    <col min="12547" max="12547" width="19.42578125" style="5" customWidth="1"/>
    <col min="12548" max="12548" width="17.5703125" style="5" customWidth="1"/>
    <col min="12549" max="12550" width="9.140625" style="5"/>
    <col min="12551" max="12551" width="10.85546875" style="5" customWidth="1"/>
    <col min="12552" max="12552" width="10.140625" style="5" customWidth="1"/>
    <col min="12553" max="12553" width="13.28515625" style="5" bestFit="1" customWidth="1"/>
    <col min="12554" max="12799" width="9.140625" style="5"/>
    <col min="12800" max="12800" width="6.42578125" style="5" customWidth="1"/>
    <col min="12801" max="12801" width="30.5703125" style="5" customWidth="1"/>
    <col min="12802" max="12802" width="40.85546875" style="5" customWidth="1"/>
    <col min="12803" max="12803" width="19.42578125" style="5" customWidth="1"/>
    <col min="12804" max="12804" width="17.5703125" style="5" customWidth="1"/>
    <col min="12805" max="12806" width="9.140625" style="5"/>
    <col min="12807" max="12807" width="10.85546875" style="5" customWidth="1"/>
    <col min="12808" max="12808" width="10.140625" style="5" customWidth="1"/>
    <col min="12809" max="12809" width="13.28515625" style="5" bestFit="1" customWidth="1"/>
    <col min="12810" max="13055" width="9.140625" style="5"/>
    <col min="13056" max="13056" width="6.42578125" style="5" customWidth="1"/>
    <col min="13057" max="13057" width="30.5703125" style="5" customWidth="1"/>
    <col min="13058" max="13058" width="40.85546875" style="5" customWidth="1"/>
    <col min="13059" max="13059" width="19.42578125" style="5" customWidth="1"/>
    <col min="13060" max="13060" width="17.5703125" style="5" customWidth="1"/>
    <col min="13061" max="13062" width="9.140625" style="5"/>
    <col min="13063" max="13063" width="10.85546875" style="5" customWidth="1"/>
    <col min="13064" max="13064" width="10.140625" style="5" customWidth="1"/>
    <col min="13065" max="13065" width="13.28515625" style="5" bestFit="1" customWidth="1"/>
    <col min="13066" max="13311" width="9.140625" style="5"/>
    <col min="13312" max="13312" width="6.42578125" style="5" customWidth="1"/>
    <col min="13313" max="13313" width="30.5703125" style="5" customWidth="1"/>
    <col min="13314" max="13314" width="40.85546875" style="5" customWidth="1"/>
    <col min="13315" max="13315" width="19.42578125" style="5" customWidth="1"/>
    <col min="13316" max="13316" width="17.5703125" style="5" customWidth="1"/>
    <col min="13317" max="13318" width="9.140625" style="5"/>
    <col min="13319" max="13319" width="10.85546875" style="5" customWidth="1"/>
    <col min="13320" max="13320" width="10.140625" style="5" customWidth="1"/>
    <col min="13321" max="13321" width="13.28515625" style="5" bestFit="1" customWidth="1"/>
    <col min="13322" max="13567" width="9.140625" style="5"/>
    <col min="13568" max="13568" width="6.42578125" style="5" customWidth="1"/>
    <col min="13569" max="13569" width="30.5703125" style="5" customWidth="1"/>
    <col min="13570" max="13570" width="40.85546875" style="5" customWidth="1"/>
    <col min="13571" max="13571" width="19.42578125" style="5" customWidth="1"/>
    <col min="13572" max="13572" width="17.5703125" style="5" customWidth="1"/>
    <col min="13573" max="13574" width="9.140625" style="5"/>
    <col min="13575" max="13575" width="10.85546875" style="5" customWidth="1"/>
    <col min="13576" max="13576" width="10.140625" style="5" customWidth="1"/>
    <col min="13577" max="13577" width="13.28515625" style="5" bestFit="1" customWidth="1"/>
    <col min="13578" max="13823" width="9.140625" style="5"/>
    <col min="13824" max="13824" width="6.42578125" style="5" customWidth="1"/>
    <col min="13825" max="13825" width="30.5703125" style="5" customWidth="1"/>
    <col min="13826" max="13826" width="40.85546875" style="5" customWidth="1"/>
    <col min="13827" max="13827" width="19.42578125" style="5" customWidth="1"/>
    <col min="13828" max="13828" width="17.5703125" style="5" customWidth="1"/>
    <col min="13829" max="13830" width="9.140625" style="5"/>
    <col min="13831" max="13831" width="10.85546875" style="5" customWidth="1"/>
    <col min="13832" max="13832" width="10.140625" style="5" customWidth="1"/>
    <col min="13833" max="13833" width="13.28515625" style="5" bestFit="1" customWidth="1"/>
    <col min="13834" max="14079" width="9.140625" style="5"/>
    <col min="14080" max="14080" width="6.42578125" style="5" customWidth="1"/>
    <col min="14081" max="14081" width="30.5703125" style="5" customWidth="1"/>
    <col min="14082" max="14082" width="40.85546875" style="5" customWidth="1"/>
    <col min="14083" max="14083" width="19.42578125" style="5" customWidth="1"/>
    <col min="14084" max="14084" width="17.5703125" style="5" customWidth="1"/>
    <col min="14085" max="14086" width="9.140625" style="5"/>
    <col min="14087" max="14087" width="10.85546875" style="5" customWidth="1"/>
    <col min="14088" max="14088" width="10.140625" style="5" customWidth="1"/>
    <col min="14089" max="14089" width="13.28515625" style="5" bestFit="1" customWidth="1"/>
    <col min="14090" max="14335" width="9.140625" style="5"/>
    <col min="14336" max="14336" width="6.42578125" style="5" customWidth="1"/>
    <col min="14337" max="14337" width="30.5703125" style="5" customWidth="1"/>
    <col min="14338" max="14338" width="40.85546875" style="5" customWidth="1"/>
    <col min="14339" max="14339" width="19.42578125" style="5" customWidth="1"/>
    <col min="14340" max="14340" width="17.5703125" style="5" customWidth="1"/>
    <col min="14341" max="14342" width="9.140625" style="5"/>
    <col min="14343" max="14343" width="10.85546875" style="5" customWidth="1"/>
    <col min="14344" max="14344" width="10.140625" style="5" customWidth="1"/>
    <col min="14345" max="14345" width="13.28515625" style="5" bestFit="1" customWidth="1"/>
    <col min="14346" max="14591" width="9.140625" style="5"/>
    <col min="14592" max="14592" width="6.42578125" style="5" customWidth="1"/>
    <col min="14593" max="14593" width="30.5703125" style="5" customWidth="1"/>
    <col min="14594" max="14594" width="40.85546875" style="5" customWidth="1"/>
    <col min="14595" max="14595" width="19.42578125" style="5" customWidth="1"/>
    <col min="14596" max="14596" width="17.5703125" style="5" customWidth="1"/>
    <col min="14597" max="14598" width="9.140625" style="5"/>
    <col min="14599" max="14599" width="10.85546875" style="5" customWidth="1"/>
    <col min="14600" max="14600" width="10.140625" style="5" customWidth="1"/>
    <col min="14601" max="14601" width="13.28515625" style="5" bestFit="1" customWidth="1"/>
    <col min="14602" max="14847" width="9.140625" style="5"/>
    <col min="14848" max="14848" width="6.42578125" style="5" customWidth="1"/>
    <col min="14849" max="14849" width="30.5703125" style="5" customWidth="1"/>
    <col min="14850" max="14850" width="40.85546875" style="5" customWidth="1"/>
    <col min="14851" max="14851" width="19.42578125" style="5" customWidth="1"/>
    <col min="14852" max="14852" width="17.5703125" style="5" customWidth="1"/>
    <col min="14853" max="14854" width="9.140625" style="5"/>
    <col min="14855" max="14855" width="10.85546875" style="5" customWidth="1"/>
    <col min="14856" max="14856" width="10.140625" style="5" customWidth="1"/>
    <col min="14857" max="14857" width="13.28515625" style="5" bestFit="1" customWidth="1"/>
    <col min="14858" max="15103" width="9.140625" style="5"/>
    <col min="15104" max="15104" width="6.42578125" style="5" customWidth="1"/>
    <col min="15105" max="15105" width="30.5703125" style="5" customWidth="1"/>
    <col min="15106" max="15106" width="40.85546875" style="5" customWidth="1"/>
    <col min="15107" max="15107" width="19.42578125" style="5" customWidth="1"/>
    <col min="15108" max="15108" width="17.5703125" style="5" customWidth="1"/>
    <col min="15109" max="15110" width="9.140625" style="5"/>
    <col min="15111" max="15111" width="10.85546875" style="5" customWidth="1"/>
    <col min="15112" max="15112" width="10.140625" style="5" customWidth="1"/>
    <col min="15113" max="15113" width="13.28515625" style="5" bestFit="1" customWidth="1"/>
    <col min="15114" max="15359" width="9.140625" style="5"/>
    <col min="15360" max="15360" width="6.42578125" style="5" customWidth="1"/>
    <col min="15361" max="15361" width="30.5703125" style="5" customWidth="1"/>
    <col min="15362" max="15362" width="40.85546875" style="5" customWidth="1"/>
    <col min="15363" max="15363" width="19.42578125" style="5" customWidth="1"/>
    <col min="15364" max="15364" width="17.5703125" style="5" customWidth="1"/>
    <col min="15365" max="15366" width="9.140625" style="5"/>
    <col min="15367" max="15367" width="10.85546875" style="5" customWidth="1"/>
    <col min="15368" max="15368" width="10.140625" style="5" customWidth="1"/>
    <col min="15369" max="15369" width="13.28515625" style="5" bestFit="1" customWidth="1"/>
    <col min="15370" max="15615" width="9.140625" style="5"/>
    <col min="15616" max="15616" width="6.42578125" style="5" customWidth="1"/>
    <col min="15617" max="15617" width="30.5703125" style="5" customWidth="1"/>
    <col min="15618" max="15618" width="40.85546875" style="5" customWidth="1"/>
    <col min="15619" max="15619" width="19.42578125" style="5" customWidth="1"/>
    <col min="15620" max="15620" width="17.5703125" style="5" customWidth="1"/>
    <col min="15621" max="15622" width="9.140625" style="5"/>
    <col min="15623" max="15623" width="10.85546875" style="5" customWidth="1"/>
    <col min="15624" max="15624" width="10.140625" style="5" customWidth="1"/>
    <col min="15625" max="15625" width="13.28515625" style="5" bestFit="1" customWidth="1"/>
    <col min="15626" max="15871" width="9.140625" style="5"/>
    <col min="15872" max="15872" width="6.42578125" style="5" customWidth="1"/>
    <col min="15873" max="15873" width="30.5703125" style="5" customWidth="1"/>
    <col min="15874" max="15874" width="40.85546875" style="5" customWidth="1"/>
    <col min="15875" max="15875" width="19.42578125" style="5" customWidth="1"/>
    <col min="15876" max="15876" width="17.5703125" style="5" customWidth="1"/>
    <col min="15877" max="15878" width="9.140625" style="5"/>
    <col min="15879" max="15879" width="10.85546875" style="5" customWidth="1"/>
    <col min="15880" max="15880" width="10.140625" style="5" customWidth="1"/>
    <col min="15881" max="15881" width="13.28515625" style="5" bestFit="1" customWidth="1"/>
    <col min="15882" max="16127" width="9.140625" style="5"/>
    <col min="16128" max="16128" width="6.42578125" style="5" customWidth="1"/>
    <col min="16129" max="16129" width="30.5703125" style="5" customWidth="1"/>
    <col min="16130" max="16130" width="40.85546875" style="5" customWidth="1"/>
    <col min="16131" max="16131" width="19.42578125" style="5" customWidth="1"/>
    <col min="16132" max="16132" width="17.5703125" style="5" customWidth="1"/>
    <col min="16133" max="16134" width="9.140625" style="5"/>
    <col min="16135" max="16135" width="10.85546875" style="5" customWidth="1"/>
    <col min="16136" max="16136" width="10.140625" style="5" customWidth="1"/>
    <col min="16137" max="16137" width="13.28515625" style="5" bestFit="1" customWidth="1"/>
    <col min="16138" max="16384" width="9.140625" style="5"/>
  </cols>
  <sheetData>
    <row r="1" spans="1:11" ht="15.75" customHeight="1">
      <c r="A1" s="841" t="s">
        <v>619</v>
      </c>
      <c r="B1" s="841"/>
      <c r="C1" s="841"/>
      <c r="D1" s="841"/>
      <c r="E1" s="841"/>
      <c r="F1" s="841"/>
      <c r="G1" s="841"/>
      <c r="H1" s="841"/>
      <c r="I1" s="841"/>
      <c r="J1" s="841"/>
    </row>
    <row r="2" spans="1:11" ht="15.75" customHeight="1">
      <c r="A2" s="841"/>
      <c r="B2" s="841"/>
      <c r="C2" s="841"/>
      <c r="D2" s="841"/>
      <c r="E2" s="841"/>
      <c r="F2" s="841"/>
      <c r="G2" s="841"/>
      <c r="H2" s="841"/>
      <c r="I2" s="841"/>
      <c r="J2" s="841"/>
    </row>
    <row r="3" spans="1:11" ht="15.75" customHeight="1">
      <c r="A3" s="842" t="s">
        <v>17</v>
      </c>
      <c r="B3" s="842" t="s">
        <v>18</v>
      </c>
      <c r="C3" s="842" t="s">
        <v>19</v>
      </c>
      <c r="D3" s="842" t="s">
        <v>20</v>
      </c>
      <c r="E3" s="842"/>
      <c r="F3" s="842" t="s">
        <v>21</v>
      </c>
      <c r="G3" s="842" t="s">
        <v>22</v>
      </c>
      <c r="H3" s="843" t="s">
        <v>23</v>
      </c>
      <c r="I3" s="842" t="s">
        <v>24</v>
      </c>
      <c r="J3" s="842"/>
    </row>
    <row r="4" spans="1:11">
      <c r="A4" s="842"/>
      <c r="B4" s="842"/>
      <c r="C4" s="842"/>
      <c r="D4" s="842"/>
      <c r="E4" s="842"/>
      <c r="F4" s="842"/>
      <c r="G4" s="842"/>
      <c r="H4" s="844"/>
      <c r="I4" s="239" t="s">
        <v>25</v>
      </c>
      <c r="J4" s="239" t="s">
        <v>26</v>
      </c>
    </row>
    <row r="5" spans="1:11" s="9" customFormat="1" ht="15.75" customHeight="1">
      <c r="A5" s="242">
        <v>1</v>
      </c>
      <c r="B5" s="272" t="s">
        <v>668</v>
      </c>
      <c r="C5" s="242" t="s">
        <v>27</v>
      </c>
      <c r="D5" s="840" t="s">
        <v>727</v>
      </c>
      <c r="E5" s="840" t="s">
        <v>28</v>
      </c>
      <c r="F5" s="242">
        <v>1</v>
      </c>
      <c r="G5" s="242" t="s">
        <v>29</v>
      </c>
      <c r="H5" s="242">
        <v>1.1200000000000001</v>
      </c>
      <c r="I5" s="242">
        <v>1.68</v>
      </c>
      <c r="J5" s="849">
        <f>I5*F5*2</f>
        <v>3.36</v>
      </c>
      <c r="K5" s="5"/>
    </row>
    <row r="6" spans="1:11" s="9" customFormat="1">
      <c r="A6" s="242">
        <v>2</v>
      </c>
      <c r="B6" s="272" t="s">
        <v>662</v>
      </c>
      <c r="C6" s="242" t="s">
        <v>30</v>
      </c>
      <c r="D6" s="840"/>
      <c r="E6" s="840"/>
      <c r="F6" s="242">
        <v>1</v>
      </c>
      <c r="G6" s="242" t="s">
        <v>29</v>
      </c>
      <c r="H6" s="242">
        <v>1.1200000000000001</v>
      </c>
      <c r="I6" s="242">
        <v>1.68</v>
      </c>
      <c r="J6" s="850"/>
      <c r="K6" s="5"/>
    </row>
    <row r="7" spans="1:11" s="9" customFormat="1" ht="31.5">
      <c r="A7" s="242">
        <v>3</v>
      </c>
      <c r="B7" s="272" t="s">
        <v>672</v>
      </c>
      <c r="C7" s="242" t="s">
        <v>625</v>
      </c>
      <c r="D7" s="242" t="s">
        <v>727</v>
      </c>
      <c r="E7" s="242" t="s">
        <v>28</v>
      </c>
      <c r="F7" s="242">
        <v>1</v>
      </c>
      <c r="G7" s="242" t="s">
        <v>29</v>
      </c>
      <c r="H7" s="242">
        <v>1.1599999999999999</v>
      </c>
      <c r="I7" s="242">
        <v>1.32</v>
      </c>
      <c r="J7" s="242">
        <f>I7*F7</f>
        <v>1.32</v>
      </c>
      <c r="K7" s="5"/>
    </row>
    <row r="8" spans="1:11" s="9" customFormat="1" ht="47.25">
      <c r="A8" s="242">
        <v>4</v>
      </c>
      <c r="B8" s="272" t="s">
        <v>663</v>
      </c>
      <c r="C8" s="242" t="s">
        <v>38</v>
      </c>
      <c r="D8" s="242" t="s">
        <v>693</v>
      </c>
      <c r="E8" s="242" t="s">
        <v>31</v>
      </c>
      <c r="F8" s="242">
        <v>1</v>
      </c>
      <c r="G8" s="242" t="s">
        <v>29</v>
      </c>
      <c r="H8" s="242">
        <v>0.04</v>
      </c>
      <c r="I8" s="242">
        <v>0.11899999999999999</v>
      </c>
      <c r="J8" s="242">
        <f>I8*F8</f>
        <v>0.11899999999999999</v>
      </c>
      <c r="K8" s="5"/>
    </row>
    <row r="9" spans="1:11" s="9" customFormat="1" ht="31.5">
      <c r="A9" s="242">
        <v>5</v>
      </c>
      <c r="B9" s="242" t="s">
        <v>650</v>
      </c>
      <c r="C9" s="242" t="s">
        <v>32</v>
      </c>
      <c r="D9" s="271" t="s">
        <v>714</v>
      </c>
      <c r="E9" s="242" t="s">
        <v>33</v>
      </c>
      <c r="F9" s="242">
        <v>1</v>
      </c>
      <c r="G9" s="242" t="s">
        <v>29</v>
      </c>
      <c r="H9" s="242">
        <v>6.5000000000000002E-2</v>
      </c>
      <c r="I9" s="242">
        <v>0.24199999999999999</v>
      </c>
      <c r="J9" s="242">
        <f>I9*F9</f>
        <v>0.24199999999999999</v>
      </c>
      <c r="K9" s="5"/>
    </row>
    <row r="10" spans="1:11" ht="31.5">
      <c r="A10" s="242">
        <v>6</v>
      </c>
      <c r="B10" s="272" t="s">
        <v>626</v>
      </c>
      <c r="C10" s="272" t="s">
        <v>34</v>
      </c>
      <c r="D10" s="271" t="s">
        <v>726</v>
      </c>
      <c r="E10" s="271" t="s">
        <v>35</v>
      </c>
      <c r="F10" s="272">
        <v>1</v>
      </c>
      <c r="G10" s="272" t="s">
        <v>29</v>
      </c>
      <c r="H10" s="272">
        <v>0.106</v>
      </c>
      <c r="I10" s="272">
        <v>0.17100000000000001</v>
      </c>
      <c r="J10" s="242">
        <f>I10*F10</f>
        <v>0.17100000000000001</v>
      </c>
    </row>
    <row r="11" spans="1:11" s="9" customFormat="1" ht="15.6" customHeight="1">
      <c r="A11" s="830"/>
      <c r="B11" s="831"/>
      <c r="C11" s="831"/>
      <c r="D11" s="831"/>
      <c r="E11" s="831"/>
      <c r="F11" s="831"/>
      <c r="G11" s="831"/>
      <c r="H11" s="831"/>
      <c r="I11" s="831"/>
      <c r="J11" s="832"/>
      <c r="K11" s="22"/>
    </row>
    <row r="12" spans="1:11" s="9" customFormat="1">
      <c r="A12" s="12"/>
      <c r="B12" s="12"/>
      <c r="C12" s="13" t="s">
        <v>2</v>
      </c>
      <c r="D12" s="12"/>
      <c r="E12" s="12"/>
      <c r="F12" s="12"/>
      <c r="G12" s="12"/>
      <c r="H12" s="12"/>
      <c r="I12" s="12"/>
      <c r="J12" s="12"/>
      <c r="K12" s="22"/>
    </row>
    <row r="13" spans="1:11" ht="31.5">
      <c r="A13" s="244">
        <v>7</v>
      </c>
      <c r="B13" s="242" t="s">
        <v>651</v>
      </c>
      <c r="C13" s="242" t="s">
        <v>652</v>
      </c>
      <c r="D13" s="272" t="s">
        <v>730</v>
      </c>
      <c r="E13" s="272" t="s">
        <v>36</v>
      </c>
      <c r="F13" s="242">
        <v>1</v>
      </c>
      <c r="G13" s="242" t="s">
        <v>29</v>
      </c>
      <c r="H13" s="242">
        <v>2E-3</v>
      </c>
      <c r="I13" s="242">
        <v>2.1000000000000001E-2</v>
      </c>
      <c r="J13" s="242">
        <f>I13*F13</f>
        <v>2.1000000000000001E-2</v>
      </c>
      <c r="K13" s="22"/>
    </row>
    <row r="14" spans="1:11" ht="31.5">
      <c r="A14" s="244">
        <v>8</v>
      </c>
      <c r="B14" s="272" t="s">
        <v>653</v>
      </c>
      <c r="C14" s="272" t="s">
        <v>110</v>
      </c>
      <c r="D14" s="271" t="s">
        <v>732</v>
      </c>
      <c r="E14" s="272" t="s">
        <v>111</v>
      </c>
      <c r="F14" s="242">
        <v>1</v>
      </c>
      <c r="G14" s="242" t="s">
        <v>29</v>
      </c>
      <c r="H14" s="242">
        <v>1.5E-3</v>
      </c>
      <c r="I14" s="242">
        <v>0.01</v>
      </c>
      <c r="J14" s="242">
        <f>I14*F14</f>
        <v>0.01</v>
      </c>
    </row>
    <row r="15" spans="1:11" s="9" customFormat="1" ht="31.5">
      <c r="A15" s="244">
        <v>9</v>
      </c>
      <c r="B15" s="272" t="s">
        <v>654</v>
      </c>
      <c r="C15" s="272" t="s">
        <v>4</v>
      </c>
      <c r="D15" s="271" t="s">
        <v>726</v>
      </c>
      <c r="E15" s="271" t="s">
        <v>35</v>
      </c>
      <c r="F15" s="242">
        <v>1</v>
      </c>
      <c r="G15" s="242" t="s">
        <v>29</v>
      </c>
      <c r="H15" s="242">
        <v>0.02</v>
      </c>
      <c r="I15" s="238">
        <f>73.59/900</f>
        <v>8.1766666666666668E-2</v>
      </c>
      <c r="J15" s="237">
        <f>I15*F15</f>
        <v>8.1766666666666668E-2</v>
      </c>
      <c r="K15" s="5"/>
    </row>
    <row r="16" spans="1:11" s="9" customFormat="1" ht="31.5">
      <c r="A16" s="244">
        <v>10</v>
      </c>
      <c r="B16" s="272" t="s">
        <v>655</v>
      </c>
      <c r="C16" s="272" t="s">
        <v>609</v>
      </c>
      <c r="D16" s="242" t="s">
        <v>715</v>
      </c>
      <c r="E16" s="242" t="s">
        <v>33</v>
      </c>
      <c r="F16" s="242">
        <v>1</v>
      </c>
      <c r="G16" s="242" t="s">
        <v>29</v>
      </c>
      <c r="H16" s="242">
        <v>0.4</v>
      </c>
      <c r="I16" s="272">
        <v>0.29099999999999998</v>
      </c>
      <c r="J16" s="242">
        <f>I16*F16</f>
        <v>0.29099999999999998</v>
      </c>
      <c r="K16" s="5"/>
    </row>
    <row r="17" spans="1:11" s="9" customFormat="1" ht="15.6" customHeight="1">
      <c r="A17" s="823"/>
      <c r="B17" s="833"/>
      <c r="C17" s="833"/>
      <c r="D17" s="833"/>
      <c r="E17" s="833"/>
      <c r="F17" s="833"/>
      <c r="G17" s="833"/>
      <c r="H17" s="833"/>
      <c r="I17" s="833"/>
      <c r="J17" s="824"/>
      <c r="K17" s="5"/>
    </row>
    <row r="18" spans="1:11" s="9" customFormat="1">
      <c r="A18" s="12"/>
      <c r="B18" s="161"/>
      <c r="C18" s="161" t="s">
        <v>125</v>
      </c>
      <c r="D18" s="274"/>
      <c r="E18" s="274"/>
      <c r="F18" s="274"/>
      <c r="G18" s="274"/>
      <c r="H18" s="274"/>
      <c r="I18" s="274"/>
      <c r="J18" s="274"/>
      <c r="K18" s="5"/>
    </row>
    <row r="19" spans="1:11" s="9" customFormat="1" ht="31.5">
      <c r="A19" s="242">
        <v>11</v>
      </c>
      <c r="B19" s="242" t="s">
        <v>657</v>
      </c>
      <c r="C19" s="242" t="s">
        <v>627</v>
      </c>
      <c r="D19" s="234" t="s">
        <v>716</v>
      </c>
      <c r="E19" s="234" t="s">
        <v>41</v>
      </c>
      <c r="F19" s="246">
        <v>1</v>
      </c>
      <c r="G19" s="246" t="s">
        <v>29</v>
      </c>
      <c r="H19" s="246">
        <v>0.156</v>
      </c>
      <c r="I19" s="246">
        <v>0.52200000000000002</v>
      </c>
      <c r="J19" s="246">
        <f>I19*F19</f>
        <v>0.52200000000000002</v>
      </c>
      <c r="K19" s="5"/>
    </row>
    <row r="20" spans="1:11" s="9" customFormat="1" ht="31.5">
      <c r="A20" s="242">
        <v>12</v>
      </c>
      <c r="B20" s="242" t="s">
        <v>658</v>
      </c>
      <c r="C20" s="272" t="s">
        <v>610</v>
      </c>
      <c r="D20" s="272" t="s">
        <v>730</v>
      </c>
      <c r="E20" s="272" t="s">
        <v>36</v>
      </c>
      <c r="F20" s="272">
        <v>1</v>
      </c>
      <c r="G20" s="272"/>
      <c r="H20" s="272">
        <v>2E-3</v>
      </c>
      <c r="I20" s="272">
        <v>7.4999999999999997E-3</v>
      </c>
      <c r="J20" s="242">
        <f>I20*F20</f>
        <v>7.4999999999999997E-3</v>
      </c>
      <c r="K20" s="5"/>
    </row>
    <row r="21" spans="1:11" s="9" customFormat="1" ht="31.5">
      <c r="A21" s="242">
        <v>13</v>
      </c>
      <c r="B21" s="242" t="s">
        <v>628</v>
      </c>
      <c r="C21" s="242" t="s">
        <v>42</v>
      </c>
      <c r="D21" s="234" t="s">
        <v>728</v>
      </c>
      <c r="E21" s="242" t="s">
        <v>43</v>
      </c>
      <c r="F21" s="246">
        <v>1</v>
      </c>
      <c r="G21" s="242" t="s">
        <v>29</v>
      </c>
      <c r="H21" s="242">
        <v>1E-3</v>
      </c>
      <c r="I21" s="246">
        <v>2E-3</v>
      </c>
      <c r="J21" s="246">
        <f>I21*F21</f>
        <v>2E-3</v>
      </c>
      <c r="K21" s="5"/>
    </row>
    <row r="22" spans="1:11" s="9" customFormat="1" ht="15.75" customHeight="1">
      <c r="A22" s="242">
        <v>14</v>
      </c>
      <c r="B22" s="242" t="s">
        <v>629</v>
      </c>
      <c r="C22" s="242" t="s">
        <v>126</v>
      </c>
      <c r="D22" s="834" t="s">
        <v>733</v>
      </c>
      <c r="E22" s="835"/>
      <c r="F22" s="246">
        <v>1</v>
      </c>
      <c r="G22" s="242" t="s">
        <v>44</v>
      </c>
      <c r="H22" s="242"/>
      <c r="I22" s="246">
        <v>1</v>
      </c>
      <c r="J22" s="246">
        <f t="shared" ref="J22:J28" si="0">I22*F22</f>
        <v>1</v>
      </c>
      <c r="K22" s="5"/>
    </row>
    <row r="23" spans="1:11" s="9" customFormat="1" ht="15.75" customHeight="1">
      <c r="A23" s="242">
        <v>15</v>
      </c>
      <c r="B23" s="242" t="s">
        <v>630</v>
      </c>
      <c r="C23" s="242" t="s">
        <v>631</v>
      </c>
      <c r="D23" s="836" t="s">
        <v>46</v>
      </c>
      <c r="E23" s="836" t="s">
        <v>47</v>
      </c>
      <c r="F23" s="246" t="s">
        <v>128</v>
      </c>
      <c r="G23" s="246" t="s">
        <v>29</v>
      </c>
      <c r="H23" s="246">
        <v>2E-3</v>
      </c>
      <c r="I23" s="242">
        <v>4.0000000000000001E-3</v>
      </c>
      <c r="J23" s="246">
        <f>I23</f>
        <v>4.0000000000000001E-3</v>
      </c>
      <c r="K23" s="5"/>
    </row>
    <row r="24" spans="1:11" s="9" customFormat="1">
      <c r="A24" s="242">
        <v>16</v>
      </c>
      <c r="B24" s="242" t="s">
        <v>632</v>
      </c>
      <c r="C24" s="242" t="s">
        <v>45</v>
      </c>
      <c r="D24" s="837"/>
      <c r="E24" s="837"/>
      <c r="F24" s="246">
        <v>1</v>
      </c>
      <c r="G24" s="246" t="s">
        <v>29</v>
      </c>
      <c r="H24" s="246">
        <v>1E-3</v>
      </c>
      <c r="I24" s="246">
        <v>3.0000000000000001E-3</v>
      </c>
      <c r="J24" s="246">
        <f t="shared" si="0"/>
        <v>3.0000000000000001E-3</v>
      </c>
      <c r="K24" s="5"/>
    </row>
    <row r="25" spans="1:11" s="9" customFormat="1" ht="31.5">
      <c r="A25" s="242">
        <v>17</v>
      </c>
      <c r="B25" s="242" t="s">
        <v>673</v>
      </c>
      <c r="C25" s="242" t="s">
        <v>633</v>
      </c>
      <c r="D25" s="242" t="s">
        <v>729</v>
      </c>
      <c r="E25" s="234" t="s">
        <v>139</v>
      </c>
      <c r="F25" s="246">
        <v>1</v>
      </c>
      <c r="G25" s="246" t="s">
        <v>29</v>
      </c>
      <c r="H25" s="246">
        <v>1.4E-2</v>
      </c>
      <c r="I25" s="242">
        <v>3.2000000000000001E-2</v>
      </c>
      <c r="J25" s="246">
        <f t="shared" si="0"/>
        <v>3.2000000000000001E-2</v>
      </c>
      <c r="K25" s="5"/>
    </row>
    <row r="26" spans="1:11" s="9" customFormat="1" ht="31.5">
      <c r="A26" s="242">
        <v>18</v>
      </c>
      <c r="B26" s="242" t="s">
        <v>634</v>
      </c>
      <c r="C26" s="242" t="s">
        <v>48</v>
      </c>
      <c r="D26" s="234" t="s">
        <v>731</v>
      </c>
      <c r="E26" s="234" t="s">
        <v>49</v>
      </c>
      <c r="F26" s="246">
        <v>1</v>
      </c>
      <c r="G26" s="240" t="s">
        <v>39</v>
      </c>
      <c r="H26" s="240">
        <v>5.0000000000000001E-4</v>
      </c>
      <c r="I26" s="246">
        <v>0.03</v>
      </c>
      <c r="J26" s="246">
        <f t="shared" si="0"/>
        <v>0.03</v>
      </c>
      <c r="K26" s="5"/>
    </row>
    <row r="27" spans="1:11" s="9" customFormat="1" ht="31.5">
      <c r="A27" s="242">
        <v>19</v>
      </c>
      <c r="B27" s="242" t="s">
        <v>674</v>
      </c>
      <c r="C27" s="242" t="s">
        <v>635</v>
      </c>
      <c r="D27" s="234" t="s">
        <v>50</v>
      </c>
      <c r="E27" s="242" t="s">
        <v>51</v>
      </c>
      <c r="F27" s="246">
        <v>1</v>
      </c>
      <c r="G27" s="242" t="s">
        <v>44</v>
      </c>
      <c r="H27" s="242"/>
      <c r="I27" s="246">
        <v>1</v>
      </c>
      <c r="J27" s="246">
        <f t="shared" si="0"/>
        <v>1</v>
      </c>
      <c r="K27" s="5"/>
    </row>
    <row r="28" spans="1:11" s="9" customFormat="1" ht="15.75" customHeight="1">
      <c r="A28" s="242">
        <v>20</v>
      </c>
      <c r="B28" s="242" t="s">
        <v>636</v>
      </c>
      <c r="C28" s="242" t="s">
        <v>129</v>
      </c>
      <c r="D28" s="838" t="s">
        <v>733</v>
      </c>
      <c r="E28" s="839"/>
      <c r="F28" s="246">
        <v>5</v>
      </c>
      <c r="G28" s="242" t="s">
        <v>44</v>
      </c>
      <c r="H28" s="242"/>
      <c r="I28" s="246">
        <v>1</v>
      </c>
      <c r="J28" s="246">
        <f t="shared" si="0"/>
        <v>5</v>
      </c>
      <c r="K28" s="5"/>
    </row>
    <row r="29" spans="1:11" s="9" customFormat="1">
      <c r="A29" s="275"/>
      <c r="B29" s="275"/>
      <c r="C29" s="273" t="s">
        <v>52</v>
      </c>
      <c r="D29" s="275"/>
      <c r="E29" s="275"/>
      <c r="F29" s="275"/>
      <c r="G29" s="275"/>
      <c r="H29" s="275"/>
      <c r="I29" s="275"/>
      <c r="J29" s="275"/>
      <c r="K29" s="5"/>
    </row>
    <row r="30" spans="1:11" s="9" customFormat="1" ht="15.75" customHeight="1">
      <c r="A30" s="244">
        <v>21</v>
      </c>
      <c r="B30" s="275"/>
      <c r="C30" s="242" t="s">
        <v>236</v>
      </c>
      <c r="D30" s="840" t="s">
        <v>53</v>
      </c>
      <c r="E30" s="840"/>
      <c r="F30" s="242">
        <v>1</v>
      </c>
      <c r="G30" s="242" t="s">
        <v>44</v>
      </c>
      <c r="H30" s="242"/>
      <c r="I30" s="242">
        <v>1</v>
      </c>
      <c r="J30" s="242">
        <f>I30*F30</f>
        <v>1</v>
      </c>
      <c r="K30" s="5"/>
    </row>
    <row r="31" spans="1:11" s="9" customFormat="1">
      <c r="A31" s="236"/>
      <c r="B31" s="16"/>
      <c r="C31" s="17" t="s">
        <v>54</v>
      </c>
      <c r="D31" s="242"/>
      <c r="E31" s="242"/>
      <c r="F31" s="242"/>
      <c r="G31" s="242"/>
      <c r="H31" s="242"/>
      <c r="I31" s="242"/>
      <c r="J31" s="242"/>
      <c r="K31" s="5"/>
    </row>
    <row r="32" spans="1:11" s="9" customFormat="1" ht="31.5">
      <c r="A32" s="236">
        <v>22</v>
      </c>
      <c r="B32" s="236"/>
      <c r="C32" s="242" t="s">
        <v>484</v>
      </c>
      <c r="D32" s="828" t="s">
        <v>55</v>
      </c>
      <c r="E32" s="828"/>
      <c r="F32" s="246">
        <v>1</v>
      </c>
      <c r="G32" s="242" t="s">
        <v>44</v>
      </c>
      <c r="H32" s="242"/>
      <c r="I32" s="246">
        <v>1.2500000000000001E-2</v>
      </c>
      <c r="J32" s="246">
        <f>I32*F32</f>
        <v>1.2500000000000001E-2</v>
      </c>
      <c r="K32" s="5"/>
    </row>
    <row r="33" spans="1:11" s="9" customFormat="1" ht="15.6" customHeight="1">
      <c r="A33" s="827"/>
      <c r="B33" s="827"/>
      <c r="C33" s="827"/>
      <c r="D33" s="827"/>
      <c r="E33" s="827"/>
      <c r="F33" s="827"/>
      <c r="G33" s="827"/>
      <c r="H33" s="827"/>
      <c r="I33" s="827"/>
      <c r="J33" s="827"/>
      <c r="K33" s="5"/>
    </row>
    <row r="34" spans="1:11" s="9" customFormat="1">
      <c r="A34" s="236"/>
      <c r="B34" s="242"/>
      <c r="C34" s="17" t="s">
        <v>56</v>
      </c>
      <c r="D34" s="19"/>
      <c r="E34" s="19"/>
      <c r="F34" s="246"/>
      <c r="G34" s="242"/>
      <c r="H34" s="242"/>
      <c r="I34" s="246"/>
      <c r="J34" s="246"/>
      <c r="K34" s="5"/>
    </row>
    <row r="35" spans="1:11">
      <c r="A35" s="236">
        <v>23</v>
      </c>
      <c r="B35" s="242"/>
      <c r="C35" s="18" t="s">
        <v>57</v>
      </c>
      <c r="D35" s="18"/>
      <c r="E35" s="18"/>
      <c r="F35" s="18">
        <v>1</v>
      </c>
      <c r="G35" s="18" t="s">
        <v>44</v>
      </c>
      <c r="H35" s="31"/>
      <c r="I35" s="31">
        <v>1</v>
      </c>
      <c r="J35" s="242">
        <f t="shared" ref="J35:J49" si="1">I35*F35</f>
        <v>1</v>
      </c>
    </row>
    <row r="36" spans="1:11">
      <c r="A36" s="236">
        <v>24</v>
      </c>
      <c r="B36" s="242"/>
      <c r="C36" s="18" t="s">
        <v>58</v>
      </c>
      <c r="D36" s="18"/>
      <c r="E36" s="18"/>
      <c r="F36" s="18">
        <v>1</v>
      </c>
      <c r="G36" s="18" t="s">
        <v>44</v>
      </c>
      <c r="H36" s="31"/>
      <c r="I36" s="31">
        <v>1</v>
      </c>
      <c r="J36" s="242">
        <f t="shared" si="1"/>
        <v>1</v>
      </c>
    </row>
    <row r="37" spans="1:11">
      <c r="A37" s="236">
        <v>25</v>
      </c>
      <c r="B37" s="242"/>
      <c r="C37" s="18" t="s">
        <v>113</v>
      </c>
      <c r="D37" s="18"/>
      <c r="E37" s="18"/>
      <c r="F37" s="18">
        <v>1</v>
      </c>
      <c r="G37" s="18" t="s">
        <v>44</v>
      </c>
      <c r="H37" s="31"/>
      <c r="I37" s="31">
        <v>1</v>
      </c>
      <c r="J37" s="242">
        <f t="shared" si="1"/>
        <v>1</v>
      </c>
    </row>
    <row r="38" spans="1:11" ht="15.75" customHeight="1">
      <c r="A38" s="236">
        <v>26</v>
      </c>
      <c r="B38" s="242"/>
      <c r="C38" s="18" t="s">
        <v>675</v>
      </c>
      <c r="D38" s="18"/>
      <c r="E38" s="18"/>
      <c r="F38" s="18">
        <v>1</v>
      </c>
      <c r="G38" s="18" t="s">
        <v>44</v>
      </c>
      <c r="H38" s="31"/>
      <c r="I38" s="31">
        <v>1</v>
      </c>
      <c r="J38" s="242">
        <f t="shared" si="1"/>
        <v>1</v>
      </c>
    </row>
    <row r="39" spans="1:11" ht="15.75" customHeight="1">
      <c r="A39" s="236">
        <v>27</v>
      </c>
      <c r="B39" s="242"/>
      <c r="C39" s="18" t="s">
        <v>130</v>
      </c>
      <c r="D39" s="27"/>
      <c r="E39" s="18"/>
      <c r="F39" s="18">
        <v>1</v>
      </c>
      <c r="G39" s="18" t="s">
        <v>44</v>
      </c>
      <c r="H39" s="246"/>
      <c r="I39" s="242">
        <v>1</v>
      </c>
      <c r="J39" s="242">
        <f t="shared" si="1"/>
        <v>1</v>
      </c>
    </row>
    <row r="40" spans="1:11">
      <c r="A40" s="236">
        <v>28</v>
      </c>
      <c r="B40" s="242"/>
      <c r="C40" s="18" t="s">
        <v>616</v>
      </c>
      <c r="D40" s="829" t="s">
        <v>59</v>
      </c>
      <c r="E40" s="829"/>
      <c r="F40" s="18">
        <v>1</v>
      </c>
      <c r="G40" s="18" t="s">
        <v>44</v>
      </c>
      <c r="H40" s="242"/>
      <c r="I40" s="246">
        <v>1</v>
      </c>
      <c r="J40" s="242">
        <f t="shared" si="1"/>
        <v>1</v>
      </c>
    </row>
    <row r="41" spans="1:11">
      <c r="A41" s="236">
        <v>29</v>
      </c>
      <c r="B41" s="242"/>
      <c r="C41" s="18" t="s">
        <v>60</v>
      </c>
      <c r="D41" s="739" t="s">
        <v>61</v>
      </c>
      <c r="E41" s="739"/>
      <c r="F41" s="18">
        <v>1</v>
      </c>
      <c r="G41" s="18" t="s">
        <v>29</v>
      </c>
      <c r="H41" s="242"/>
      <c r="I41" s="246">
        <v>12.05</v>
      </c>
      <c r="J41" s="242">
        <f t="shared" si="1"/>
        <v>12.05</v>
      </c>
    </row>
    <row r="42" spans="1:11">
      <c r="A42" s="236">
        <v>30</v>
      </c>
      <c r="B42" s="15"/>
      <c r="C42" s="18" t="s">
        <v>617</v>
      </c>
      <c r="D42" s="739" t="s">
        <v>63</v>
      </c>
      <c r="E42" s="739"/>
      <c r="F42" s="18">
        <v>1</v>
      </c>
      <c r="G42" s="18" t="s">
        <v>44</v>
      </c>
      <c r="H42" s="242"/>
      <c r="I42" s="242">
        <v>1</v>
      </c>
      <c r="J42" s="242">
        <f t="shared" si="1"/>
        <v>1</v>
      </c>
    </row>
    <row r="43" spans="1:11" ht="15.75" customHeight="1">
      <c r="A43" s="236">
        <v>31</v>
      </c>
      <c r="B43" s="15"/>
      <c r="C43" s="18" t="s">
        <v>64</v>
      </c>
      <c r="D43" s="739" t="s">
        <v>63</v>
      </c>
      <c r="E43" s="739"/>
      <c r="F43" s="18">
        <v>3</v>
      </c>
      <c r="G43" s="18" t="s">
        <v>44</v>
      </c>
      <c r="H43" s="15"/>
      <c r="I43" s="32">
        <v>1</v>
      </c>
      <c r="J43" s="242">
        <f t="shared" si="1"/>
        <v>3</v>
      </c>
    </row>
    <row r="44" spans="1:11" ht="15.75" customHeight="1">
      <c r="A44" s="236">
        <v>32</v>
      </c>
      <c r="B44" s="15"/>
      <c r="C44" s="18" t="s">
        <v>66</v>
      </c>
      <c r="D44" s="739" t="s">
        <v>63</v>
      </c>
      <c r="E44" s="739"/>
      <c r="F44" s="18">
        <v>1</v>
      </c>
      <c r="G44" s="245" t="s">
        <v>67</v>
      </c>
      <c r="H44" s="33"/>
      <c r="I44" s="236">
        <v>8.3000000000000004E-2</v>
      </c>
      <c r="J44" s="242">
        <f t="shared" si="1"/>
        <v>8.3000000000000004E-2</v>
      </c>
    </row>
    <row r="45" spans="1:11" ht="15.75" customHeight="1">
      <c r="A45" s="236">
        <v>33</v>
      </c>
      <c r="B45" s="15"/>
      <c r="C45" s="245" t="s">
        <v>70</v>
      </c>
      <c r="D45" s="245"/>
      <c r="E45" s="245"/>
      <c r="F45" s="245">
        <v>1</v>
      </c>
      <c r="G45" s="245" t="s">
        <v>29</v>
      </c>
      <c r="H45" s="245"/>
      <c r="I45" s="245">
        <v>7.0000000000000001E-3</v>
      </c>
      <c r="J45" s="242">
        <f t="shared" si="1"/>
        <v>7.0000000000000001E-3</v>
      </c>
    </row>
    <row r="46" spans="1:11">
      <c r="A46" s="236">
        <v>34</v>
      </c>
      <c r="B46" s="242"/>
      <c r="C46" s="242" t="s">
        <v>71</v>
      </c>
      <c r="D46" s="823" t="s">
        <v>72</v>
      </c>
      <c r="E46" s="824"/>
      <c r="F46" s="18">
        <v>1</v>
      </c>
      <c r="G46" s="18" t="s">
        <v>39</v>
      </c>
      <c r="H46" s="242"/>
      <c r="I46" s="242">
        <v>10.3</v>
      </c>
      <c r="J46" s="242">
        <f t="shared" si="1"/>
        <v>10.3</v>
      </c>
    </row>
    <row r="47" spans="1:11">
      <c r="A47" s="236">
        <v>35</v>
      </c>
      <c r="B47" s="244"/>
      <c r="C47" s="242" t="s">
        <v>73</v>
      </c>
      <c r="D47" s="823" t="s">
        <v>74</v>
      </c>
      <c r="E47" s="824"/>
      <c r="F47" s="242">
        <v>1</v>
      </c>
      <c r="G47" s="242" t="s">
        <v>29</v>
      </c>
      <c r="H47" s="242"/>
      <c r="I47" s="242">
        <v>2E-3</v>
      </c>
      <c r="J47" s="242">
        <f t="shared" si="1"/>
        <v>2E-3</v>
      </c>
    </row>
    <row r="48" spans="1:11">
      <c r="A48" s="236">
        <v>36</v>
      </c>
      <c r="B48" s="242"/>
      <c r="C48" s="242" t="s">
        <v>736</v>
      </c>
      <c r="D48" s="823" t="s">
        <v>72</v>
      </c>
      <c r="E48" s="824"/>
      <c r="F48" s="242">
        <v>1</v>
      </c>
      <c r="G48" s="242" t="s">
        <v>29</v>
      </c>
      <c r="H48" s="242"/>
      <c r="I48" s="242">
        <v>3.0000000000000001E-3</v>
      </c>
      <c r="J48" s="242">
        <f t="shared" si="1"/>
        <v>3.0000000000000001E-3</v>
      </c>
    </row>
    <row r="49" spans="1:13">
      <c r="A49" s="236">
        <v>37</v>
      </c>
      <c r="B49" s="244"/>
      <c r="C49" s="18" t="s">
        <v>75</v>
      </c>
      <c r="D49" s="825" t="s">
        <v>76</v>
      </c>
      <c r="E49" s="826"/>
      <c r="F49" s="18">
        <v>1</v>
      </c>
      <c r="G49" s="18" t="s">
        <v>29</v>
      </c>
      <c r="H49" s="242"/>
      <c r="I49" s="242">
        <v>9.0999999999999998E-2</v>
      </c>
      <c r="J49" s="242">
        <f t="shared" si="1"/>
        <v>9.0999999999999998E-2</v>
      </c>
    </row>
    <row r="50" spans="1:13" ht="15.75" customHeight="1">
      <c r="A50" s="236">
        <v>38</v>
      </c>
      <c r="B50" s="15"/>
      <c r="C50" s="18" t="s">
        <v>77</v>
      </c>
      <c r="D50" s="819" t="s">
        <v>78</v>
      </c>
      <c r="E50" s="820"/>
      <c r="F50" s="18">
        <v>1</v>
      </c>
      <c r="G50" s="18" t="s">
        <v>44</v>
      </c>
      <c r="H50" s="242"/>
      <c r="I50" s="242">
        <v>0.01</v>
      </c>
      <c r="J50" s="242">
        <f t="shared" ref="J50:J55" si="2">I50*F50</f>
        <v>0.01</v>
      </c>
    </row>
    <row r="51" spans="1:13" ht="15.75" customHeight="1">
      <c r="A51" s="236">
        <v>39</v>
      </c>
      <c r="B51" s="20"/>
      <c r="C51" s="18" t="s">
        <v>79</v>
      </c>
      <c r="D51" s="819" t="s">
        <v>80</v>
      </c>
      <c r="E51" s="820"/>
      <c r="F51" s="18">
        <v>1</v>
      </c>
      <c r="G51" s="18" t="s">
        <v>29</v>
      </c>
      <c r="H51" s="242"/>
      <c r="I51" s="242">
        <v>5.0000000000000001E-3</v>
      </c>
      <c r="J51" s="242">
        <f t="shared" si="2"/>
        <v>5.0000000000000001E-3</v>
      </c>
    </row>
    <row r="52" spans="1:13" ht="15.75" customHeight="1">
      <c r="A52" s="236">
        <v>40</v>
      </c>
      <c r="B52" s="20"/>
      <c r="C52" s="18" t="s">
        <v>309</v>
      </c>
      <c r="D52" s="819"/>
      <c r="E52" s="820"/>
      <c r="F52" s="18">
        <v>1</v>
      </c>
      <c r="G52" s="18" t="s">
        <v>29</v>
      </c>
      <c r="H52" s="242"/>
      <c r="I52" s="242">
        <v>1E-3</v>
      </c>
      <c r="J52" s="242">
        <f t="shared" si="2"/>
        <v>1E-3</v>
      </c>
    </row>
    <row r="53" spans="1:13">
      <c r="A53" s="236">
        <v>41</v>
      </c>
      <c r="B53" s="20"/>
      <c r="C53" s="18" t="s">
        <v>81</v>
      </c>
      <c r="D53" s="819" t="s">
        <v>82</v>
      </c>
      <c r="E53" s="820"/>
      <c r="F53" s="18">
        <v>1</v>
      </c>
      <c r="G53" s="18" t="s">
        <v>29</v>
      </c>
      <c r="H53" s="242"/>
      <c r="I53" s="242">
        <v>1.2999999999999999E-2</v>
      </c>
      <c r="J53" s="242">
        <f t="shared" si="2"/>
        <v>1.2999999999999999E-2</v>
      </c>
      <c r="K53" s="21" t="s">
        <v>96</v>
      </c>
    </row>
    <row r="54" spans="1:13">
      <c r="A54" s="236">
        <v>42</v>
      </c>
      <c r="B54" s="20"/>
      <c r="C54" s="245" t="s">
        <v>83</v>
      </c>
      <c r="D54" s="821" t="s">
        <v>84</v>
      </c>
      <c r="E54" s="822"/>
      <c r="F54" s="245">
        <v>1</v>
      </c>
      <c r="G54" s="245" t="s">
        <v>44</v>
      </c>
      <c r="H54" s="245"/>
      <c r="I54" s="245">
        <v>3.0000000000000001E-3</v>
      </c>
      <c r="J54" s="242">
        <f t="shared" si="2"/>
        <v>3.0000000000000001E-3</v>
      </c>
      <c r="K54" s="21" t="s">
        <v>611</v>
      </c>
    </row>
    <row r="55" spans="1:13">
      <c r="A55" s="236">
        <v>43</v>
      </c>
      <c r="B55" s="20"/>
      <c r="C55" s="18" t="s">
        <v>132</v>
      </c>
      <c r="D55" s="819" t="s">
        <v>86</v>
      </c>
      <c r="E55" s="820"/>
      <c r="F55" s="18">
        <v>1</v>
      </c>
      <c r="G55" s="18" t="s">
        <v>29</v>
      </c>
      <c r="H55" s="242"/>
      <c r="I55" s="242">
        <v>5.0000000000000001E-3</v>
      </c>
      <c r="J55" s="242">
        <f t="shared" si="2"/>
        <v>5.0000000000000001E-3</v>
      </c>
      <c r="K55" s="22"/>
    </row>
    <row r="56" spans="1:13" ht="31.5">
      <c r="A56" s="236">
        <v>44</v>
      </c>
      <c r="B56" s="20"/>
      <c r="C56" s="18" t="s">
        <v>89</v>
      </c>
      <c r="D56" s="819" t="s">
        <v>90</v>
      </c>
      <c r="E56" s="820"/>
      <c r="F56" s="18">
        <v>1</v>
      </c>
      <c r="G56" s="18" t="s">
        <v>29</v>
      </c>
      <c r="H56" s="242"/>
      <c r="I56" s="242">
        <v>0.02</v>
      </c>
      <c r="J56" s="242">
        <v>0.02</v>
      </c>
      <c r="K56" s="21" t="s">
        <v>497</v>
      </c>
    </row>
    <row r="57" spans="1:13">
      <c r="A57" s="236">
        <v>45</v>
      </c>
      <c r="B57" s="20"/>
      <c r="C57" s="18" t="s">
        <v>91</v>
      </c>
      <c r="D57" s="819" t="s">
        <v>92</v>
      </c>
      <c r="E57" s="820"/>
      <c r="F57" s="18">
        <v>1</v>
      </c>
      <c r="G57" s="18" t="s">
        <v>44</v>
      </c>
      <c r="H57" s="242"/>
      <c r="I57" s="242">
        <v>0.11</v>
      </c>
      <c r="J57" s="242">
        <f t="shared" ref="J57:J62" si="3">I57*F57</f>
        <v>0.11</v>
      </c>
      <c r="K57" s="21" t="s">
        <v>637</v>
      </c>
      <c r="L57" s="22"/>
      <c r="M57" s="22"/>
    </row>
    <row r="58" spans="1:13">
      <c r="A58" s="236">
        <v>46</v>
      </c>
      <c r="B58" s="20"/>
      <c r="C58" s="18" t="s">
        <v>93</v>
      </c>
      <c r="D58" s="819" t="s">
        <v>92</v>
      </c>
      <c r="E58" s="820"/>
      <c r="F58" s="18">
        <v>1</v>
      </c>
      <c r="G58" s="18" t="s">
        <v>44</v>
      </c>
      <c r="H58" s="242"/>
      <c r="I58" s="242">
        <v>1E-3</v>
      </c>
      <c r="J58" s="242">
        <f t="shared" si="3"/>
        <v>1E-3</v>
      </c>
      <c r="K58" s="21"/>
      <c r="L58" s="22"/>
      <c r="M58" s="22"/>
    </row>
    <row r="59" spans="1:13" s="24" customFormat="1" ht="15.75" customHeight="1">
      <c r="A59" s="236">
        <v>47</v>
      </c>
      <c r="B59" s="20"/>
      <c r="C59" s="18" t="s">
        <v>133</v>
      </c>
      <c r="D59" s="819"/>
      <c r="E59" s="820"/>
      <c r="F59" s="18">
        <v>1</v>
      </c>
      <c r="G59" s="245" t="s">
        <v>67</v>
      </c>
      <c r="H59" s="242"/>
      <c r="I59" s="242">
        <v>0.02</v>
      </c>
      <c r="J59" s="242">
        <f t="shared" si="3"/>
        <v>0.02</v>
      </c>
      <c r="K59" s="21" t="s">
        <v>638</v>
      </c>
      <c r="L59" s="22"/>
      <c r="M59" s="22"/>
    </row>
    <row r="60" spans="1:13" s="24" customFormat="1" ht="16.5" customHeight="1">
      <c r="A60" s="236">
        <v>48</v>
      </c>
      <c r="B60" s="20"/>
      <c r="C60" s="18" t="s">
        <v>97</v>
      </c>
      <c r="D60" s="819" t="s">
        <v>98</v>
      </c>
      <c r="E60" s="820"/>
      <c r="F60" s="18">
        <v>1</v>
      </c>
      <c r="G60" s="18" t="s">
        <v>44</v>
      </c>
      <c r="H60" s="242"/>
      <c r="I60" s="242">
        <v>4.0000000000000001E-3</v>
      </c>
      <c r="J60" s="242">
        <f t="shared" si="3"/>
        <v>4.0000000000000001E-3</v>
      </c>
      <c r="K60" s="21"/>
      <c r="L60" s="22"/>
      <c r="M60" s="22"/>
    </row>
    <row r="61" spans="1:13">
      <c r="A61" s="236">
        <v>49</v>
      </c>
      <c r="B61" s="23"/>
      <c r="C61" s="18" t="s">
        <v>99</v>
      </c>
      <c r="D61" s="823" t="s">
        <v>100</v>
      </c>
      <c r="E61" s="824"/>
      <c r="F61" s="18">
        <v>1</v>
      </c>
      <c r="G61" s="18" t="s">
        <v>44</v>
      </c>
      <c r="H61" s="242"/>
      <c r="I61" s="242">
        <v>1E-3</v>
      </c>
      <c r="J61" s="242">
        <f t="shared" si="3"/>
        <v>1E-3</v>
      </c>
      <c r="K61" s="21" t="s">
        <v>639</v>
      </c>
      <c r="L61" s="22"/>
      <c r="M61" s="22"/>
    </row>
    <row r="62" spans="1:13">
      <c r="A62" s="236">
        <v>50</v>
      </c>
      <c r="B62" s="23"/>
      <c r="C62" s="34" t="s">
        <v>121</v>
      </c>
      <c r="D62" s="821" t="s">
        <v>122</v>
      </c>
      <c r="E62" s="822"/>
      <c r="F62" s="34">
        <v>1</v>
      </c>
      <c r="G62" s="35" t="s">
        <v>123</v>
      </c>
      <c r="H62" s="242"/>
      <c r="I62" s="242">
        <v>1E-3</v>
      </c>
      <c r="J62" s="242">
        <f t="shared" si="3"/>
        <v>1E-3</v>
      </c>
      <c r="K62" s="21"/>
      <c r="L62" s="22"/>
      <c r="M62" s="22"/>
    </row>
    <row r="63" spans="1:13" ht="15.75" customHeight="1" thickBot="1">
      <c r="A63" s="236">
        <v>51</v>
      </c>
      <c r="B63" s="23"/>
      <c r="C63" s="245" t="s">
        <v>101</v>
      </c>
      <c r="D63" s="847" t="s">
        <v>102</v>
      </c>
      <c r="E63" s="848"/>
      <c r="F63" s="18">
        <v>1</v>
      </c>
      <c r="G63" s="18" t="s">
        <v>44</v>
      </c>
      <c r="H63" s="242"/>
      <c r="I63" s="242">
        <v>3.0000000000000001E-3</v>
      </c>
      <c r="J63" s="242">
        <v>3.0000000000000001E-3</v>
      </c>
      <c r="K63" s="21" t="s">
        <v>640</v>
      </c>
    </row>
    <row r="64" spans="1:13" ht="15.6" customHeight="1">
      <c r="A64" s="236">
        <v>52</v>
      </c>
      <c r="B64" s="23"/>
      <c r="C64" s="240" t="s">
        <v>104</v>
      </c>
      <c r="D64" s="851" t="s">
        <v>105</v>
      </c>
      <c r="E64" s="852"/>
      <c r="F64" s="235">
        <v>1</v>
      </c>
      <c r="G64" s="240" t="s">
        <v>106</v>
      </c>
      <c r="H64" s="240"/>
      <c r="I64" s="235">
        <v>1.2999999999999999E-2</v>
      </c>
      <c r="J64" s="246">
        <f>I64*F64</f>
        <v>1.2999999999999999E-2</v>
      </c>
      <c r="K64" s="21"/>
    </row>
    <row r="65" spans="1:13" ht="15.6" customHeight="1">
      <c r="A65" s="236">
        <v>53</v>
      </c>
      <c r="B65" s="20"/>
      <c r="C65" s="243" t="s">
        <v>107</v>
      </c>
      <c r="D65" s="846" t="s">
        <v>108</v>
      </c>
      <c r="E65" s="846"/>
      <c r="F65" s="244">
        <v>1</v>
      </c>
      <c r="G65" s="244" t="s">
        <v>44</v>
      </c>
      <c r="H65" s="244"/>
      <c r="I65" s="244">
        <v>1E-3</v>
      </c>
      <c r="J65" s="244">
        <v>1E-3</v>
      </c>
      <c r="K65" s="21" t="s">
        <v>103</v>
      </c>
    </row>
    <row r="66" spans="1:13">
      <c r="A66" s="236">
        <v>54</v>
      </c>
      <c r="B66" s="15"/>
      <c r="C66" s="245" t="s">
        <v>87</v>
      </c>
      <c r="D66" s="821" t="s">
        <v>88</v>
      </c>
      <c r="E66" s="822"/>
      <c r="F66" s="245">
        <v>1</v>
      </c>
      <c r="G66" s="245" t="s">
        <v>29</v>
      </c>
      <c r="H66" s="8"/>
      <c r="I66" s="245">
        <v>5.0000000000000001E-3</v>
      </c>
      <c r="J66" s="28">
        <f>I66*F66</f>
        <v>5.0000000000000001E-3</v>
      </c>
      <c r="K66" s="21" t="s">
        <v>641</v>
      </c>
    </row>
    <row r="75" spans="1:13">
      <c r="F75" s="5"/>
      <c r="G75" s="5"/>
      <c r="H75" s="5"/>
      <c r="I75" s="5"/>
    </row>
    <row r="76" spans="1:13">
      <c r="F76" s="5"/>
      <c r="G76" s="5"/>
      <c r="H76" s="5"/>
      <c r="I76" s="5"/>
      <c r="K76" s="22"/>
      <c r="L76" s="22"/>
      <c r="M76" s="22"/>
    </row>
    <row r="77" spans="1:13">
      <c r="F77" s="5"/>
      <c r="G77" s="5"/>
      <c r="H77" s="5"/>
      <c r="I77" s="5"/>
      <c r="K77" s="22"/>
      <c r="L77" s="22"/>
      <c r="M77" s="22"/>
    </row>
    <row r="78" spans="1:13">
      <c r="F78" s="5"/>
      <c r="G78" s="5"/>
      <c r="H78" s="5"/>
      <c r="I78" s="5"/>
      <c r="K78" s="22"/>
      <c r="L78" s="22"/>
      <c r="M78" s="22"/>
    </row>
    <row r="79" spans="1:13">
      <c r="F79" s="5"/>
      <c r="G79" s="5"/>
      <c r="H79" s="5"/>
      <c r="I79" s="5"/>
      <c r="K79" s="22"/>
      <c r="L79" s="22"/>
      <c r="M79" s="22"/>
    </row>
    <row r="80" spans="1:13">
      <c r="F80" s="5"/>
      <c r="G80" s="5"/>
      <c r="H80" s="5"/>
      <c r="I80" s="5"/>
      <c r="K80" s="22"/>
      <c r="L80" s="22"/>
      <c r="M80" s="22"/>
    </row>
    <row r="81" spans="10:13" s="5" customFormat="1">
      <c r="J81" s="26"/>
      <c r="K81" s="22"/>
      <c r="L81" s="22"/>
      <c r="M81" s="22"/>
    </row>
    <row r="82" spans="10:13" s="5" customFormat="1">
      <c r="J82" s="26"/>
      <c r="K82" s="22"/>
      <c r="L82" s="22"/>
      <c r="M82" s="22"/>
    </row>
  </sheetData>
  <mergeCells count="47">
    <mergeCell ref="D64:E64"/>
    <mergeCell ref="D65:E65"/>
    <mergeCell ref="D66:E66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53:E53"/>
    <mergeCell ref="D41:E41"/>
    <mergeCell ref="D47:E47"/>
    <mergeCell ref="D48:E48"/>
    <mergeCell ref="D49:E49"/>
    <mergeCell ref="D50:E50"/>
    <mergeCell ref="D51:E51"/>
    <mergeCell ref="D42:E42"/>
    <mergeCell ref="D43:E43"/>
    <mergeCell ref="D44:E44"/>
    <mergeCell ref="D46:E46"/>
    <mergeCell ref="A1:J2"/>
    <mergeCell ref="A3:A4"/>
    <mergeCell ref="B3:B4"/>
    <mergeCell ref="C3:C4"/>
    <mergeCell ref="D3:E4"/>
    <mergeCell ref="F3:F4"/>
    <mergeCell ref="G3:G4"/>
    <mergeCell ref="H3:H4"/>
    <mergeCell ref="I3:J3"/>
    <mergeCell ref="D32:E32"/>
    <mergeCell ref="A33:J33"/>
    <mergeCell ref="D40:E40"/>
    <mergeCell ref="D52:E52"/>
    <mergeCell ref="D5:D6"/>
    <mergeCell ref="E5:E6"/>
    <mergeCell ref="J5:J6"/>
    <mergeCell ref="A11:J11"/>
    <mergeCell ref="A17:J17"/>
    <mergeCell ref="D22:E22"/>
    <mergeCell ref="D23:D24"/>
    <mergeCell ref="E23:E24"/>
    <mergeCell ref="D28:E28"/>
    <mergeCell ref="D30:E30"/>
  </mergeCells>
  <pageMargins left="3.937007874015748E-2" right="3.937007874015748E-2" top="0.19685039370078741" bottom="0" header="0.11811023622047244" footer="0.11811023622047244"/>
  <pageSetup paperSize="9" scale="67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82"/>
  <sheetViews>
    <sheetView workbookViewId="0">
      <selection activeCell="E20" sqref="E20"/>
    </sheetView>
  </sheetViews>
  <sheetFormatPr defaultRowHeight="15"/>
  <cols>
    <col min="2" max="2" width="59.42578125" customWidth="1"/>
    <col min="3" max="3" width="9.140625" customWidth="1"/>
    <col min="5" max="5" width="55.140625" customWidth="1"/>
    <col min="8" max="8" width="11.85546875" customWidth="1"/>
    <col min="9" max="9" width="15.7109375" customWidth="1"/>
  </cols>
  <sheetData>
    <row r="3" spans="2:9" thickBot="1"/>
    <row r="4" spans="2:9" ht="45.75" thickBot="1">
      <c r="B4" s="853" t="s">
        <v>381</v>
      </c>
      <c r="C4" s="854"/>
      <c r="E4" t="s">
        <v>419</v>
      </c>
      <c r="H4" s="48" t="s">
        <v>426</v>
      </c>
      <c r="I4" s="48" t="s">
        <v>427</v>
      </c>
    </row>
    <row r="5" spans="2:9" ht="18.75" customHeight="1" thickBot="1">
      <c r="B5" s="95" t="s">
        <v>382</v>
      </c>
      <c r="C5" s="75" t="s">
        <v>356</v>
      </c>
      <c r="E5" s="93" t="s">
        <v>383</v>
      </c>
      <c r="F5" s="94">
        <f>C6+C8+C14+C16+C19+C21+C26+C28+C31+C38+C45</f>
        <v>3.8399999999999997E-2</v>
      </c>
      <c r="H5" s="41" t="s">
        <v>428</v>
      </c>
      <c r="I5" s="41">
        <v>50</v>
      </c>
    </row>
    <row r="6" spans="2:9" ht="18">
      <c r="B6" s="93" t="s">
        <v>383</v>
      </c>
      <c r="C6" s="80">
        <v>1.6999999999999999E-3</v>
      </c>
      <c r="E6" s="96" t="s">
        <v>384</v>
      </c>
      <c r="F6" s="94">
        <f>C7+C15+C20+C27+C33+C40+C52+C66+C73+C80</f>
        <v>8.1200000000000008E-2</v>
      </c>
      <c r="H6" s="41" t="s">
        <v>429</v>
      </c>
      <c r="I6" s="41">
        <v>10</v>
      </c>
    </row>
    <row r="7" spans="2:9" ht="18">
      <c r="B7" s="96" t="s">
        <v>384</v>
      </c>
      <c r="C7" s="83">
        <v>6.7000000000000002E-3</v>
      </c>
      <c r="E7" s="98" t="s">
        <v>386</v>
      </c>
      <c r="F7" s="94">
        <f>C9+C22+C34</f>
        <v>1.06E-2</v>
      </c>
      <c r="H7" s="41"/>
      <c r="I7" s="41"/>
    </row>
    <row r="8" spans="2:9" ht="18.75" thickBot="1">
      <c r="B8" s="97" t="s">
        <v>385</v>
      </c>
      <c r="C8" s="81">
        <v>3.3E-3</v>
      </c>
      <c r="E8" s="99" t="s">
        <v>387</v>
      </c>
      <c r="F8" s="94">
        <f>C10</f>
        <v>2.5000000000000001E-3</v>
      </c>
      <c r="H8" s="41"/>
      <c r="I8" s="41"/>
    </row>
    <row r="9" spans="2:9" ht="18">
      <c r="B9" s="98" t="s">
        <v>386</v>
      </c>
      <c r="C9" s="84">
        <v>4.0000000000000001E-3</v>
      </c>
      <c r="E9" s="101" t="s">
        <v>389</v>
      </c>
      <c r="F9" s="94">
        <f>C13+C25+C46+C58+C71</f>
        <v>1.9400000000000001E-2</v>
      </c>
      <c r="H9" s="41"/>
      <c r="I9" s="41"/>
    </row>
    <row r="10" spans="2:9" ht="18.75" thickBot="1">
      <c r="B10" s="99" t="s">
        <v>387</v>
      </c>
      <c r="C10" s="78">
        <v>2.5000000000000001E-3</v>
      </c>
      <c r="E10" s="108" t="s">
        <v>395</v>
      </c>
      <c r="F10" s="94">
        <f>C32+C39+C57+C64</f>
        <v>1.6199999999999999E-2</v>
      </c>
      <c r="H10" s="41"/>
      <c r="I10" s="41"/>
    </row>
    <row r="11" spans="2:9" ht="18.75" thickBot="1">
      <c r="B11" s="853" t="s">
        <v>388</v>
      </c>
      <c r="C11" s="854"/>
      <c r="E11" s="112" t="s">
        <v>398</v>
      </c>
      <c r="F11" s="94">
        <f>C41+C65</f>
        <v>7.1000000000000004E-3</v>
      </c>
      <c r="H11" s="41"/>
      <c r="I11" s="41"/>
    </row>
    <row r="12" spans="2:9" ht="34.5" customHeight="1" thickBot="1">
      <c r="B12" s="100" t="s">
        <v>382</v>
      </c>
      <c r="C12" s="75" t="s">
        <v>356</v>
      </c>
      <c r="E12" s="123" t="s">
        <v>400</v>
      </c>
      <c r="F12" s="94">
        <f>C47</f>
        <v>5.0000000000000001E-3</v>
      </c>
      <c r="H12" s="41"/>
      <c r="I12" s="41"/>
    </row>
    <row r="13" spans="2:9" ht="18">
      <c r="B13" s="101" t="s">
        <v>389</v>
      </c>
      <c r="C13" s="87">
        <v>3.3E-3</v>
      </c>
      <c r="E13" s="115" t="s">
        <v>402</v>
      </c>
      <c r="F13" s="94">
        <f>C50</f>
        <v>1E-3</v>
      </c>
      <c r="H13" s="41"/>
      <c r="I13" s="41"/>
    </row>
    <row r="14" spans="2:9" ht="18">
      <c r="B14" s="102" t="s">
        <v>390</v>
      </c>
      <c r="C14" s="81">
        <v>2.5000000000000001E-3</v>
      </c>
      <c r="E14" s="116" t="s">
        <v>403</v>
      </c>
      <c r="F14" s="94">
        <f>C51</f>
        <v>1.6999999999999999E-3</v>
      </c>
      <c r="H14" s="41"/>
      <c r="I14" s="41"/>
    </row>
    <row r="15" spans="2:9" ht="18">
      <c r="B15" s="103" t="s">
        <v>384</v>
      </c>
      <c r="C15" s="83">
        <v>2.5000000000000001E-3</v>
      </c>
      <c r="E15" s="118" t="s">
        <v>407</v>
      </c>
      <c r="F15" s="94">
        <f>C59+C72</f>
        <v>6.1999999999999998E-3</v>
      </c>
      <c r="H15" s="41"/>
      <c r="I15" s="41"/>
    </row>
    <row r="16" spans="2:9" ht="18.75" thickBot="1">
      <c r="B16" s="104" t="s">
        <v>385</v>
      </c>
      <c r="C16" s="82">
        <v>3.3E-3</v>
      </c>
    </row>
    <row r="17" spans="2:3" ht="18.75" thickBot="1">
      <c r="B17" s="853" t="s">
        <v>391</v>
      </c>
      <c r="C17" s="854"/>
    </row>
    <row r="18" spans="2:3" ht="18.75" customHeight="1" thickBot="1">
      <c r="B18" s="100" t="s">
        <v>382</v>
      </c>
      <c r="C18" s="75" t="s">
        <v>356</v>
      </c>
    </row>
    <row r="19" spans="2:3" ht="18">
      <c r="B19" s="105" t="s">
        <v>383</v>
      </c>
      <c r="C19" s="80">
        <v>2E-3</v>
      </c>
    </row>
    <row r="20" spans="2:3" ht="18">
      <c r="B20" s="96" t="s">
        <v>384</v>
      </c>
      <c r="C20" s="83">
        <v>5.0000000000000001E-3</v>
      </c>
    </row>
    <row r="21" spans="2:3" ht="18">
      <c r="B21" s="106" t="s">
        <v>392</v>
      </c>
      <c r="C21" s="81">
        <v>3.3E-3</v>
      </c>
    </row>
    <row r="22" spans="2:3" ht="18.75" thickBot="1">
      <c r="B22" s="107" t="s">
        <v>386</v>
      </c>
      <c r="C22" s="85">
        <v>3.3E-3</v>
      </c>
    </row>
    <row r="23" spans="2:3" ht="18.75" thickBot="1">
      <c r="B23" s="853" t="s">
        <v>393</v>
      </c>
      <c r="C23" s="854"/>
    </row>
    <row r="24" spans="2:3" ht="18.75" customHeight="1" thickBot="1">
      <c r="B24" s="100" t="s">
        <v>382</v>
      </c>
      <c r="C24" s="75" t="s">
        <v>356</v>
      </c>
    </row>
    <row r="25" spans="2:3" ht="18">
      <c r="B25" s="101" t="s">
        <v>389</v>
      </c>
      <c r="C25" s="87">
        <v>3.3E-3</v>
      </c>
    </row>
    <row r="26" spans="2:3" ht="18">
      <c r="B26" s="102" t="s">
        <v>383</v>
      </c>
      <c r="C26" s="81">
        <v>2.5000000000000001E-3</v>
      </c>
    </row>
    <row r="27" spans="2:3" ht="18">
      <c r="B27" s="103" t="s">
        <v>384</v>
      </c>
      <c r="C27" s="83">
        <v>3.3E-3</v>
      </c>
    </row>
    <row r="28" spans="2:3" ht="18.75" thickBot="1">
      <c r="B28" s="104" t="s">
        <v>385</v>
      </c>
      <c r="C28" s="82">
        <v>4.0000000000000001E-3</v>
      </c>
    </row>
    <row r="29" spans="2:3" ht="18.75" thickBot="1">
      <c r="B29" s="853" t="s">
        <v>394</v>
      </c>
      <c r="C29" s="854"/>
    </row>
    <row r="30" spans="2:3" ht="18.75" customHeight="1" thickBot="1">
      <c r="B30" s="100" t="s">
        <v>382</v>
      </c>
      <c r="C30" s="75" t="s">
        <v>356</v>
      </c>
    </row>
    <row r="31" spans="2:3" ht="18">
      <c r="B31" s="93" t="s">
        <v>390</v>
      </c>
      <c r="C31" s="80">
        <v>3.3E-3</v>
      </c>
    </row>
    <row r="32" spans="2:3" ht="18">
      <c r="B32" s="108" t="s">
        <v>395</v>
      </c>
      <c r="C32" s="90">
        <v>7.1000000000000004E-3</v>
      </c>
    </row>
    <row r="33" spans="2:3" ht="18">
      <c r="B33" s="96" t="s">
        <v>384</v>
      </c>
      <c r="C33" s="83">
        <v>3.3E-3</v>
      </c>
    </row>
    <row r="34" spans="2:3" ht="18">
      <c r="B34" s="109" t="s">
        <v>386</v>
      </c>
      <c r="C34" s="86">
        <v>3.3E-3</v>
      </c>
    </row>
    <row r="35" spans="2:3" ht="18.75" thickBot="1">
      <c r="B35" s="110" t="s">
        <v>396</v>
      </c>
      <c r="C35" s="78"/>
    </row>
    <row r="36" spans="2:3" ht="18.75" thickBot="1">
      <c r="B36" s="853" t="s">
        <v>397</v>
      </c>
      <c r="C36" s="854"/>
    </row>
    <row r="37" spans="2:3" ht="18.75" customHeight="1" thickBot="1">
      <c r="B37" s="100" t="s">
        <v>382</v>
      </c>
      <c r="C37" s="75" t="s">
        <v>356</v>
      </c>
    </row>
    <row r="38" spans="2:3" ht="18">
      <c r="B38" s="93" t="s">
        <v>390</v>
      </c>
      <c r="C38" s="80">
        <v>2.5000000000000001E-3</v>
      </c>
    </row>
    <row r="39" spans="2:3" ht="18">
      <c r="B39" s="108" t="s">
        <v>395</v>
      </c>
      <c r="C39" s="90">
        <v>3.3E-3</v>
      </c>
    </row>
    <row r="40" spans="2:3" ht="18">
      <c r="B40" s="111" t="s">
        <v>384</v>
      </c>
      <c r="C40" s="83">
        <v>4.0000000000000001E-3</v>
      </c>
    </row>
    <row r="41" spans="2:3" ht="18">
      <c r="B41" s="112" t="s">
        <v>398</v>
      </c>
      <c r="C41" s="89">
        <v>3.8E-3</v>
      </c>
    </row>
    <row r="42" spans="2:3" ht="18.75" thickBot="1">
      <c r="B42" s="113" t="s">
        <v>396</v>
      </c>
      <c r="C42" s="78"/>
    </row>
    <row r="43" spans="2:3" ht="18.75" thickBot="1">
      <c r="B43" s="853" t="s">
        <v>399</v>
      </c>
      <c r="C43" s="854"/>
    </row>
    <row r="44" spans="2:3" ht="18.75" customHeight="1" thickBot="1">
      <c r="B44" s="100" t="s">
        <v>382</v>
      </c>
      <c r="C44" s="75" t="s">
        <v>356</v>
      </c>
    </row>
    <row r="45" spans="2:3" ht="18">
      <c r="B45" s="93" t="s">
        <v>390</v>
      </c>
      <c r="C45" s="80">
        <f>2*0.005</f>
        <v>0.01</v>
      </c>
    </row>
    <row r="46" spans="2:3" ht="18">
      <c r="B46" s="114" t="s">
        <v>389</v>
      </c>
      <c r="C46" s="88">
        <f>2*0.0033</f>
        <v>6.6E-3</v>
      </c>
    </row>
    <row r="47" spans="2:3" ht="37.5" customHeight="1" thickBot="1">
      <c r="B47" s="123" t="s">
        <v>400</v>
      </c>
      <c r="C47" s="124">
        <f>2*0.0025</f>
        <v>5.0000000000000001E-3</v>
      </c>
    </row>
    <row r="48" spans="2:3" ht="18.75" thickBot="1">
      <c r="B48" s="853" t="s">
        <v>401</v>
      </c>
      <c r="C48" s="854"/>
    </row>
    <row r="49" spans="2:3" ht="18.75" customHeight="1" thickBot="1">
      <c r="B49" s="100" t="s">
        <v>382</v>
      </c>
      <c r="C49" s="75" t="s">
        <v>356</v>
      </c>
    </row>
    <row r="50" spans="2:3" ht="18">
      <c r="B50" s="115" t="s">
        <v>402</v>
      </c>
      <c r="C50" s="76">
        <v>1E-3</v>
      </c>
    </row>
    <row r="51" spans="2:3" ht="18">
      <c r="B51" s="116" t="s">
        <v>403</v>
      </c>
      <c r="C51" s="77">
        <v>1.6999999999999999E-3</v>
      </c>
    </row>
    <row r="52" spans="2:3" ht="18">
      <c r="B52" s="96" t="s">
        <v>384</v>
      </c>
      <c r="C52" s="83">
        <v>1.4E-3</v>
      </c>
    </row>
    <row r="53" spans="2:3" ht="18.75" thickBot="1">
      <c r="B53" s="113" t="s">
        <v>404</v>
      </c>
      <c r="C53" s="78"/>
    </row>
    <row r="54" spans="2:3" ht="18.75" thickBot="1">
      <c r="B54" s="853" t="s">
        <v>405</v>
      </c>
      <c r="C54" s="854"/>
    </row>
    <row r="55" spans="2:3" ht="18.75" customHeight="1" thickBot="1">
      <c r="B55" s="100" t="s">
        <v>382</v>
      </c>
      <c r="C55" s="75" t="s">
        <v>356</v>
      </c>
    </row>
    <row r="56" spans="2:3" ht="18">
      <c r="B56" s="93" t="s">
        <v>406</v>
      </c>
      <c r="C56" s="80">
        <v>2E-3</v>
      </c>
    </row>
    <row r="57" spans="2:3" ht="18">
      <c r="B57" s="108" t="s">
        <v>395</v>
      </c>
      <c r="C57" s="90">
        <v>2.5000000000000001E-3</v>
      </c>
    </row>
    <row r="58" spans="2:3" ht="18">
      <c r="B58" s="117" t="s">
        <v>389</v>
      </c>
      <c r="C58" s="88">
        <v>2.8999999999999998E-3</v>
      </c>
    </row>
    <row r="59" spans="2:3" ht="18">
      <c r="B59" s="118" t="s">
        <v>407</v>
      </c>
      <c r="C59" s="91">
        <v>2.8999999999999998E-3</v>
      </c>
    </row>
    <row r="60" spans="2:3" ht="18.75" thickBot="1">
      <c r="B60" s="113" t="s">
        <v>408</v>
      </c>
      <c r="C60" s="78"/>
    </row>
    <row r="61" spans="2:3" ht="18.75" thickBot="1">
      <c r="B61" s="853" t="s">
        <v>409</v>
      </c>
      <c r="C61" s="854"/>
    </row>
    <row r="62" spans="2:3" ht="18.75" customHeight="1" thickBot="1">
      <c r="B62" s="100" t="s">
        <v>382</v>
      </c>
      <c r="C62" s="75" t="s">
        <v>356</v>
      </c>
    </row>
    <row r="63" spans="2:3" ht="18">
      <c r="B63" s="93" t="s">
        <v>390</v>
      </c>
      <c r="C63" s="80">
        <v>2E-3</v>
      </c>
    </row>
    <row r="64" spans="2:3" ht="18">
      <c r="B64" s="108" t="s">
        <v>395</v>
      </c>
      <c r="C64" s="90">
        <v>3.3E-3</v>
      </c>
    </row>
    <row r="65" spans="2:3" ht="18">
      <c r="B65" s="112" t="s">
        <v>398</v>
      </c>
      <c r="C65" s="89">
        <v>3.3E-3</v>
      </c>
    </row>
    <row r="66" spans="2:3" ht="18">
      <c r="B66" s="119" t="s">
        <v>384</v>
      </c>
      <c r="C66" s="83">
        <v>2.5000000000000001E-3</v>
      </c>
    </row>
    <row r="67" spans="2:3" ht="18.75" thickBot="1">
      <c r="B67" s="113" t="s">
        <v>396</v>
      </c>
      <c r="C67" s="78"/>
    </row>
    <row r="68" spans="2:3" ht="18.75" thickBot="1">
      <c r="B68" s="853" t="s">
        <v>410</v>
      </c>
      <c r="C68" s="854"/>
    </row>
    <row r="69" spans="2:3" ht="18.75" customHeight="1" thickBot="1">
      <c r="B69" s="100" t="s">
        <v>382</v>
      </c>
      <c r="C69" s="75" t="s">
        <v>356</v>
      </c>
    </row>
    <row r="70" spans="2:3" ht="18">
      <c r="B70" s="93" t="s">
        <v>390</v>
      </c>
      <c r="C70" s="80">
        <v>2.5000000000000001E-3</v>
      </c>
    </row>
    <row r="71" spans="2:3" ht="18">
      <c r="B71" s="114" t="s">
        <v>389</v>
      </c>
      <c r="C71" s="88">
        <v>3.3E-3</v>
      </c>
    </row>
    <row r="72" spans="2:3" ht="18">
      <c r="B72" s="120" t="s">
        <v>411</v>
      </c>
      <c r="C72" s="92">
        <v>3.3E-3</v>
      </c>
    </row>
    <row r="73" spans="2:3" ht="18">
      <c r="B73" s="111" t="s">
        <v>412</v>
      </c>
      <c r="C73" s="83">
        <v>0.05</v>
      </c>
    </row>
    <row r="74" spans="2:3" ht="18">
      <c r="B74" s="121" t="s">
        <v>413</v>
      </c>
      <c r="C74" s="77"/>
    </row>
    <row r="75" spans="2:3" ht="18">
      <c r="B75" s="122" t="s">
        <v>414</v>
      </c>
      <c r="C75" s="79"/>
    </row>
    <row r="76" spans="2:3" ht="18.75" thickBot="1">
      <c r="B76" s="113" t="s">
        <v>415</v>
      </c>
      <c r="C76" s="78"/>
    </row>
    <row r="77" spans="2:3" ht="18.75" thickBot="1">
      <c r="B77" s="853" t="s">
        <v>416</v>
      </c>
      <c r="C77" s="854"/>
    </row>
    <row r="78" spans="2:3" ht="18.75" customHeight="1" thickBot="1">
      <c r="B78" s="100" t="s">
        <v>382</v>
      </c>
      <c r="C78" s="75" t="s">
        <v>356</v>
      </c>
    </row>
    <row r="79" spans="2:3" ht="18">
      <c r="B79" s="93" t="s">
        <v>390</v>
      </c>
      <c r="C79" s="80">
        <v>1.6999999999999999E-3</v>
      </c>
    </row>
    <row r="80" spans="2:3" ht="18">
      <c r="B80" s="96" t="s">
        <v>417</v>
      </c>
      <c r="C80" s="83">
        <v>2.5000000000000001E-3</v>
      </c>
    </row>
    <row r="81" spans="2:3" ht="18">
      <c r="B81" s="121" t="s">
        <v>418</v>
      </c>
      <c r="C81" s="77"/>
    </row>
    <row r="82" spans="2:3" ht="18.75" thickBot="1">
      <c r="B82" s="113" t="s">
        <v>404</v>
      </c>
      <c r="C82" s="78"/>
    </row>
  </sheetData>
  <mergeCells count="12">
    <mergeCell ref="B11:C11"/>
    <mergeCell ref="B4:C4"/>
    <mergeCell ref="B43:C43"/>
    <mergeCell ref="B36:C36"/>
    <mergeCell ref="B29:C29"/>
    <mergeCell ref="B23:C23"/>
    <mergeCell ref="B17:C17"/>
    <mergeCell ref="B77:C77"/>
    <mergeCell ref="B68:C68"/>
    <mergeCell ref="B61:C61"/>
    <mergeCell ref="B54:C54"/>
    <mergeCell ref="B48:C4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2"/>
  <sheetViews>
    <sheetView view="pageBreakPreview" topLeftCell="A49" zoomScale="115" zoomScaleSheetLayoutView="115" workbookViewId="0">
      <selection activeCell="A53" sqref="A53"/>
    </sheetView>
  </sheetViews>
  <sheetFormatPr defaultColWidth="9.140625" defaultRowHeight="15"/>
  <cols>
    <col min="1" max="1" width="41.28515625" style="399" customWidth="1"/>
    <col min="2" max="2" width="24.85546875" style="1" customWidth="1"/>
    <col min="3" max="3" width="18.140625" style="1" customWidth="1"/>
    <col min="4" max="4" width="11.85546875" style="1" customWidth="1"/>
    <col min="5" max="16384" width="9.140625" style="1"/>
  </cols>
  <sheetData>
    <row r="1" spans="1:7" ht="25.5">
      <c r="A1" s="390" t="s">
        <v>162</v>
      </c>
      <c r="B1" s="46" t="s">
        <v>177</v>
      </c>
      <c r="C1" s="39" t="s">
        <v>178</v>
      </c>
      <c r="G1" s="38" t="s">
        <v>748</v>
      </c>
    </row>
    <row r="2" spans="1:7">
      <c r="A2" s="632" t="s">
        <v>1424</v>
      </c>
      <c r="B2" s="633"/>
      <c r="C2" s="633"/>
      <c r="G2" s="38"/>
    </row>
    <row r="3" spans="1:7">
      <c r="A3" s="327" t="s">
        <v>1397</v>
      </c>
      <c r="B3" s="263">
        <v>65</v>
      </c>
      <c r="C3" s="532">
        <v>44875</v>
      </c>
      <c r="D3" s="249"/>
      <c r="G3" s="38" t="s">
        <v>29</v>
      </c>
    </row>
    <row r="4" spans="1:7">
      <c r="A4" s="327" t="s">
        <v>1398</v>
      </c>
      <c r="B4" s="263">
        <v>61.8</v>
      </c>
      <c r="C4" s="532">
        <v>44875</v>
      </c>
      <c r="D4" s="249"/>
      <c r="G4" s="38" t="s">
        <v>29</v>
      </c>
    </row>
    <row r="5" spans="1:7">
      <c r="A5" s="327" t="s">
        <v>163</v>
      </c>
      <c r="B5" s="533">
        <v>54.3</v>
      </c>
      <c r="C5" s="534">
        <v>44799</v>
      </c>
      <c r="D5" s="249"/>
      <c r="G5" s="38" t="s">
        <v>29</v>
      </c>
    </row>
    <row r="6" spans="1:7">
      <c r="A6" s="393" t="s">
        <v>1427</v>
      </c>
      <c r="B6" s="533">
        <v>1860</v>
      </c>
      <c r="C6" s="534">
        <v>44515</v>
      </c>
      <c r="D6" s="249"/>
      <c r="G6" s="38" t="s">
        <v>44</v>
      </c>
    </row>
    <row r="7" spans="1:7">
      <c r="A7" s="327" t="s">
        <v>165</v>
      </c>
      <c r="B7" s="263">
        <v>1204</v>
      </c>
      <c r="C7" s="532">
        <v>44812</v>
      </c>
      <c r="D7" s="267"/>
      <c r="G7" s="38" t="s">
        <v>29</v>
      </c>
    </row>
    <row r="8" spans="1:7">
      <c r="A8" s="327" t="s">
        <v>1016</v>
      </c>
      <c r="B8" s="533">
        <v>159</v>
      </c>
      <c r="C8" s="534">
        <v>44883</v>
      </c>
      <c r="D8" s="249"/>
      <c r="G8" s="38"/>
    </row>
    <row r="9" spans="1:7">
      <c r="A9" s="327" t="s">
        <v>1015</v>
      </c>
      <c r="B9" s="263">
        <v>159</v>
      </c>
      <c r="C9" s="532">
        <v>44886</v>
      </c>
      <c r="D9" s="249"/>
      <c r="G9" s="38"/>
    </row>
    <row r="10" spans="1:7">
      <c r="A10" s="327" t="s">
        <v>590</v>
      </c>
      <c r="B10" s="263">
        <v>159</v>
      </c>
      <c r="C10" s="532">
        <v>44806</v>
      </c>
      <c r="D10" s="249"/>
      <c r="G10" s="38" t="s">
        <v>29</v>
      </c>
    </row>
    <row r="11" spans="1:7">
      <c r="A11" s="327" t="s">
        <v>591</v>
      </c>
      <c r="B11" s="533">
        <v>159</v>
      </c>
      <c r="C11" s="534">
        <v>44749</v>
      </c>
      <c r="D11" s="249"/>
      <c r="G11" s="38" t="s">
        <v>29</v>
      </c>
    </row>
    <row r="12" spans="1:7">
      <c r="A12" s="327" t="s">
        <v>1414</v>
      </c>
      <c r="B12" s="533">
        <v>194.3</v>
      </c>
      <c r="C12" s="532">
        <v>44785</v>
      </c>
      <c r="G12" s="38"/>
    </row>
    <row r="13" spans="1:7">
      <c r="A13" s="327" t="s">
        <v>1415</v>
      </c>
      <c r="B13" s="535">
        <v>175.1</v>
      </c>
      <c r="C13" s="534">
        <v>44785</v>
      </c>
      <c r="G13" s="38"/>
    </row>
    <row r="14" spans="1:7">
      <c r="A14" s="327" t="s">
        <v>1416</v>
      </c>
      <c r="B14" s="535">
        <v>144.30000000000001</v>
      </c>
      <c r="C14" s="532">
        <v>44785</v>
      </c>
      <c r="G14" s="38"/>
    </row>
    <row r="15" spans="1:7">
      <c r="A15" s="391" t="s">
        <v>501</v>
      </c>
      <c r="B15" s="533">
        <v>64.989999999999995</v>
      </c>
      <c r="C15" s="534">
        <v>44784</v>
      </c>
      <c r="D15" s="1">
        <f>0.51*B15</f>
        <v>33.1449</v>
      </c>
      <c r="G15" s="38" t="s">
        <v>29</v>
      </c>
    </row>
    <row r="16" spans="1:7">
      <c r="A16" s="391" t="s">
        <v>1417</v>
      </c>
      <c r="B16" s="536">
        <v>63.34</v>
      </c>
      <c r="C16" s="478">
        <v>44826</v>
      </c>
    </row>
    <row r="17" spans="1:7">
      <c r="A17" s="393" t="s">
        <v>175</v>
      </c>
      <c r="B17" s="536">
        <v>63.79</v>
      </c>
      <c r="C17" s="534">
        <v>44826</v>
      </c>
      <c r="G17" s="38" t="s">
        <v>29</v>
      </c>
    </row>
    <row r="18" spans="1:7">
      <c r="A18" s="393" t="s">
        <v>1418</v>
      </c>
      <c r="B18" s="533">
        <v>64.989999999999995</v>
      </c>
      <c r="C18" s="478">
        <v>44784</v>
      </c>
    </row>
    <row r="19" spans="1:7">
      <c r="A19" s="391" t="s">
        <v>1017</v>
      </c>
      <c r="B19" s="533">
        <v>64.989999999999995</v>
      </c>
      <c r="C19" s="534">
        <v>44784</v>
      </c>
      <c r="G19" s="38"/>
    </row>
    <row r="20" spans="1:7">
      <c r="A20" s="391" t="s">
        <v>1420</v>
      </c>
      <c r="B20" s="533">
        <v>68.47</v>
      </c>
      <c r="C20" s="478">
        <v>44826</v>
      </c>
      <c r="G20" s="249"/>
    </row>
    <row r="21" spans="1:7">
      <c r="A21" s="391" t="s">
        <v>1421</v>
      </c>
      <c r="B21" s="533">
        <v>70.44</v>
      </c>
      <c r="C21" s="534">
        <v>44826</v>
      </c>
    </row>
    <row r="22" spans="1:7">
      <c r="A22" s="393" t="s">
        <v>1422</v>
      </c>
      <c r="B22" s="536">
        <v>148.9</v>
      </c>
      <c r="C22" s="478">
        <v>44784</v>
      </c>
      <c r="G22" s="38" t="s">
        <v>29</v>
      </c>
    </row>
    <row r="23" spans="1:7">
      <c r="A23" s="393" t="s">
        <v>1423</v>
      </c>
      <c r="B23" s="533">
        <v>136.19999999999999</v>
      </c>
      <c r="C23" s="534">
        <v>44784</v>
      </c>
    </row>
    <row r="24" spans="1:7">
      <c r="A24" s="391" t="s">
        <v>166</v>
      </c>
      <c r="B24" s="535">
        <v>329.7</v>
      </c>
      <c r="C24" s="537">
        <v>44637</v>
      </c>
      <c r="D24" s="473">
        <v>44516</v>
      </c>
      <c r="G24" s="38" t="s">
        <v>29</v>
      </c>
    </row>
    <row r="25" spans="1:7">
      <c r="A25" s="391" t="s">
        <v>1670</v>
      </c>
      <c r="B25" s="535">
        <v>1275</v>
      </c>
      <c r="C25" s="537">
        <v>44785</v>
      </c>
      <c r="D25" s="473"/>
      <c r="G25" s="38"/>
    </row>
    <row r="26" spans="1:7">
      <c r="A26" s="634" t="s">
        <v>262</v>
      </c>
      <c r="B26" s="637"/>
      <c r="C26" s="637"/>
      <c r="G26" s="38"/>
    </row>
    <row r="27" spans="1:7">
      <c r="A27" s="391" t="s">
        <v>560</v>
      </c>
      <c r="B27" s="535">
        <v>85.8</v>
      </c>
      <c r="C27" s="537">
        <v>44783</v>
      </c>
      <c r="G27" s="38" t="s">
        <v>44</v>
      </c>
    </row>
    <row r="28" spans="1:7">
      <c r="A28" s="393" t="s">
        <v>127</v>
      </c>
      <c r="B28" s="535">
        <v>25.6</v>
      </c>
      <c r="C28" s="537">
        <v>44833</v>
      </c>
      <c r="D28" s="1">
        <f>B28*5</f>
        <v>128</v>
      </c>
      <c r="G28" s="38" t="s">
        <v>44</v>
      </c>
    </row>
    <row r="29" spans="1:7">
      <c r="A29" s="392" t="s">
        <v>179</v>
      </c>
      <c r="B29" s="535">
        <v>308.5</v>
      </c>
      <c r="C29" s="537">
        <v>44831</v>
      </c>
      <c r="D29" s="1">
        <f>B29*5.2</f>
        <v>1604.2</v>
      </c>
      <c r="G29" s="38" t="s">
        <v>29</v>
      </c>
    </row>
    <row r="30" spans="1:7">
      <c r="A30" s="327" t="s">
        <v>448</v>
      </c>
      <c r="B30" s="535">
        <v>5.9249999999999998</v>
      </c>
      <c r="C30" s="537"/>
      <c r="G30" s="38" t="s">
        <v>29</v>
      </c>
    </row>
    <row r="31" spans="1:7">
      <c r="A31" s="327" t="s">
        <v>1425</v>
      </c>
      <c r="B31" s="535">
        <v>155.16</v>
      </c>
      <c r="C31" s="537">
        <v>44613</v>
      </c>
      <c r="G31" s="38" t="s">
        <v>44</v>
      </c>
    </row>
    <row r="32" spans="1:7">
      <c r="A32" s="393" t="s">
        <v>1239</v>
      </c>
      <c r="B32" s="535">
        <v>2000</v>
      </c>
      <c r="C32" s="537">
        <v>44781</v>
      </c>
      <c r="G32" s="38"/>
    </row>
    <row r="33" spans="1:7">
      <c r="A33" s="398" t="s">
        <v>1085</v>
      </c>
      <c r="B33" s="535"/>
      <c r="C33" s="537"/>
      <c r="G33" s="38"/>
    </row>
    <row r="34" spans="1:7">
      <c r="A34" s="638" t="s">
        <v>263</v>
      </c>
      <c r="B34" s="639"/>
      <c r="C34" s="640"/>
      <c r="G34" s="38"/>
    </row>
    <row r="35" spans="1:7">
      <c r="A35" s="389" t="s">
        <v>144</v>
      </c>
      <c r="B35" s="280">
        <v>84.7</v>
      </c>
      <c r="C35" s="277">
        <v>44881</v>
      </c>
      <c r="G35" s="38" t="s">
        <v>123</v>
      </c>
    </row>
    <row r="36" spans="1:7" ht="14.25" customHeight="1">
      <c r="A36" s="326" t="s">
        <v>1426</v>
      </c>
      <c r="B36" s="278">
        <v>588</v>
      </c>
      <c r="C36" s="277">
        <v>44837</v>
      </c>
      <c r="D36" s="1">
        <f>B36*0.15</f>
        <v>88.2</v>
      </c>
      <c r="G36" s="38" t="s">
        <v>29</v>
      </c>
    </row>
    <row r="37" spans="1:7">
      <c r="A37" s="629" t="s">
        <v>219</v>
      </c>
      <c r="B37" s="630"/>
      <c r="C37" s="631"/>
      <c r="G37" s="38"/>
    </row>
    <row r="38" spans="1:7">
      <c r="A38" s="326" t="s">
        <v>1640</v>
      </c>
      <c r="B38" s="278">
        <v>1.8</v>
      </c>
      <c r="C38" s="385">
        <v>44400</v>
      </c>
      <c r="G38" s="38" t="s">
        <v>44</v>
      </c>
    </row>
    <row r="39" spans="1:7">
      <c r="A39" s="395" t="s">
        <v>1256</v>
      </c>
      <c r="B39" s="278">
        <v>14</v>
      </c>
      <c r="C39" s="385">
        <v>44523</v>
      </c>
      <c r="G39" s="38"/>
    </row>
    <row r="40" spans="1:7">
      <c r="A40" s="395" t="s">
        <v>1079</v>
      </c>
      <c r="B40" s="278">
        <v>9.2899999999999991</v>
      </c>
      <c r="C40" s="385">
        <v>44523</v>
      </c>
      <c r="G40" s="38"/>
    </row>
    <row r="41" spans="1:7">
      <c r="A41" s="395" t="s">
        <v>1081</v>
      </c>
      <c r="B41" s="278">
        <v>9.2899999999999991</v>
      </c>
      <c r="C41" s="385">
        <v>44523</v>
      </c>
      <c r="G41" s="38"/>
    </row>
    <row r="42" spans="1:7">
      <c r="A42" s="395" t="s">
        <v>1098</v>
      </c>
      <c r="B42" s="278">
        <v>8</v>
      </c>
      <c r="C42" s="385">
        <v>44523</v>
      </c>
      <c r="G42" s="38"/>
    </row>
    <row r="43" spans="1:7">
      <c r="A43" s="396" t="s">
        <v>1083</v>
      </c>
      <c r="B43" s="278">
        <v>8</v>
      </c>
      <c r="C43" s="479">
        <v>44523</v>
      </c>
      <c r="G43" s="38"/>
    </row>
    <row r="44" spans="1:7">
      <c r="A44" s="327" t="s">
        <v>164</v>
      </c>
      <c r="B44" s="276">
        <v>92.19</v>
      </c>
      <c r="C44" s="397" t="s">
        <v>1641</v>
      </c>
      <c r="D44" s="44"/>
      <c r="G44" s="38" t="s">
        <v>29</v>
      </c>
    </row>
    <row r="45" spans="1:7">
      <c r="A45" s="391" t="s">
        <v>1014</v>
      </c>
      <c r="B45" s="276">
        <v>1205.3</v>
      </c>
      <c r="C45" s="397" t="s">
        <v>1639</v>
      </c>
      <c r="D45" s="44"/>
      <c r="G45" s="38"/>
    </row>
    <row r="46" spans="1:7">
      <c r="A46" s="402" t="s">
        <v>1135</v>
      </c>
      <c r="B46" s="538">
        <v>105</v>
      </c>
      <c r="C46" s="277">
        <v>44785</v>
      </c>
      <c r="D46" s="44"/>
      <c r="G46" s="38"/>
    </row>
    <row r="47" spans="1:7">
      <c r="A47" s="402" t="s">
        <v>1428</v>
      </c>
      <c r="B47" s="538">
        <v>160.33000000000001</v>
      </c>
      <c r="C47" s="277">
        <v>44840</v>
      </c>
      <c r="D47" s="44"/>
      <c r="G47" s="38"/>
    </row>
    <row r="48" spans="1:7">
      <c r="A48" s="391" t="s">
        <v>736</v>
      </c>
      <c r="B48" s="535"/>
      <c r="C48" s="537"/>
      <c r="D48" s="44"/>
      <c r="G48" s="38"/>
    </row>
    <row r="49" spans="1:7">
      <c r="A49" s="401" t="s">
        <v>682</v>
      </c>
      <c r="B49" s="539"/>
      <c r="C49" s="540"/>
      <c r="D49" s="44"/>
      <c r="G49" s="38"/>
    </row>
    <row r="50" spans="1:7">
      <c r="A50" s="402" t="s">
        <v>728</v>
      </c>
      <c r="B50" s="538">
        <v>333</v>
      </c>
      <c r="C50" s="277">
        <v>44785</v>
      </c>
      <c r="D50" s="44"/>
      <c r="G50" s="38"/>
    </row>
    <row r="51" spans="1:7">
      <c r="A51" s="629" t="s">
        <v>233</v>
      </c>
      <c r="B51" s="630"/>
      <c r="C51" s="631"/>
      <c r="D51" s="44"/>
      <c r="G51" s="38"/>
    </row>
    <row r="52" spans="1:7">
      <c r="A52" s="402" t="s">
        <v>50</v>
      </c>
      <c r="B52" s="276">
        <v>28.46</v>
      </c>
      <c r="C52" s="397" t="s">
        <v>1639</v>
      </c>
      <c r="D52" s="44"/>
      <c r="G52" s="38"/>
    </row>
    <row r="53" spans="1:7">
      <c r="A53" s="402" t="s">
        <v>1755</v>
      </c>
      <c r="B53" s="276"/>
      <c r="C53" s="397"/>
      <c r="D53" s="44"/>
      <c r="G53" s="38"/>
    </row>
    <row r="54" spans="1:7">
      <c r="A54" s="402" t="s">
        <v>1073</v>
      </c>
      <c r="B54" s="539">
        <v>125</v>
      </c>
      <c r="C54" s="540">
        <v>44783</v>
      </c>
      <c r="D54" s="44"/>
      <c r="G54" s="38"/>
    </row>
    <row r="55" spans="1:7">
      <c r="A55" s="402" t="s">
        <v>1076</v>
      </c>
      <c r="B55" s="539">
        <v>255</v>
      </c>
      <c r="C55" s="540">
        <v>44783</v>
      </c>
      <c r="D55" s="44"/>
      <c r="G55" s="38"/>
    </row>
    <row r="56" spans="1:7">
      <c r="A56" s="402" t="s">
        <v>239</v>
      </c>
      <c r="B56" s="276">
        <v>22.87</v>
      </c>
      <c r="C56" s="397" t="s">
        <v>1650</v>
      </c>
      <c r="D56" s="44"/>
      <c r="G56" s="38"/>
    </row>
    <row r="57" spans="1:7">
      <c r="A57" s="419" t="s">
        <v>245</v>
      </c>
      <c r="B57" s="529">
        <v>500</v>
      </c>
      <c r="C57" s="397" t="s">
        <v>1639</v>
      </c>
      <c r="D57" s="44"/>
      <c r="G57" s="38"/>
    </row>
    <row r="58" spans="1:7">
      <c r="A58" s="416" t="s">
        <v>1307</v>
      </c>
      <c r="B58" s="276">
        <v>8</v>
      </c>
      <c r="C58" s="478">
        <v>44523</v>
      </c>
      <c r="D58" s="44"/>
      <c r="G58" s="38"/>
    </row>
    <row r="59" spans="1:7">
      <c r="A59" s="416" t="s">
        <v>1228</v>
      </c>
      <c r="B59" s="276">
        <v>27.35</v>
      </c>
      <c r="C59" s="478">
        <v>44523</v>
      </c>
      <c r="D59" s="44"/>
      <c r="G59" s="38"/>
    </row>
    <row r="60" spans="1:7">
      <c r="A60" s="402" t="s">
        <v>1301</v>
      </c>
      <c r="B60" s="276">
        <v>5</v>
      </c>
      <c r="C60" s="478">
        <v>44523</v>
      </c>
      <c r="D60" s="44"/>
      <c r="G60" s="38"/>
    </row>
    <row r="61" spans="1:7">
      <c r="A61" s="416" t="s">
        <v>1226</v>
      </c>
      <c r="B61" s="539">
        <v>222</v>
      </c>
      <c r="C61" s="540">
        <v>44783</v>
      </c>
      <c r="D61" s="44"/>
      <c r="G61" s="38"/>
    </row>
    <row r="62" spans="1:7">
      <c r="A62" s="402" t="s">
        <v>1211</v>
      </c>
      <c r="B62" s="539">
        <v>552.03599999999994</v>
      </c>
      <c r="C62" s="540">
        <v>44783</v>
      </c>
      <c r="D62" s="44"/>
      <c r="G62" s="38"/>
    </row>
    <row r="63" spans="1:7" ht="25.5">
      <c r="A63" s="398" t="s">
        <v>1452</v>
      </c>
      <c r="B63" s="276">
        <v>6</v>
      </c>
      <c r="C63" s="478">
        <v>44523</v>
      </c>
      <c r="D63" s="44"/>
      <c r="G63" s="38"/>
    </row>
    <row r="64" spans="1:7" ht="25.5">
      <c r="A64" s="398" t="s">
        <v>1453</v>
      </c>
      <c r="B64" s="276">
        <v>5</v>
      </c>
      <c r="C64" s="478">
        <v>44523</v>
      </c>
      <c r="D64" s="44"/>
      <c r="G64" s="38"/>
    </row>
    <row r="65" spans="1:7">
      <c r="A65" s="398" t="s">
        <v>1676</v>
      </c>
      <c r="B65" s="276">
        <v>6.1</v>
      </c>
      <c r="C65" s="397" t="s">
        <v>1689</v>
      </c>
      <c r="D65" s="44"/>
      <c r="G65" s="38"/>
    </row>
    <row r="66" spans="1:7">
      <c r="A66" s="398" t="s">
        <v>1677</v>
      </c>
      <c r="B66" s="276">
        <v>6.4</v>
      </c>
      <c r="C66" s="397" t="s">
        <v>1689</v>
      </c>
      <c r="D66" s="44"/>
      <c r="G66" s="38"/>
    </row>
    <row r="67" spans="1:7">
      <c r="A67" s="398" t="s">
        <v>1678</v>
      </c>
      <c r="B67" s="276">
        <v>7.7</v>
      </c>
      <c r="C67" s="397" t="s">
        <v>1689</v>
      </c>
      <c r="D67" s="44"/>
      <c r="G67" s="38"/>
    </row>
    <row r="68" spans="1:7">
      <c r="A68" s="398" t="s">
        <v>1679</v>
      </c>
      <c r="B68" s="276">
        <v>13</v>
      </c>
      <c r="C68" s="397" t="s">
        <v>1689</v>
      </c>
      <c r="D68" s="44"/>
      <c r="G68" s="38"/>
    </row>
    <row r="69" spans="1:7">
      <c r="A69" s="416" t="s">
        <v>1673</v>
      </c>
      <c r="B69" s="276">
        <v>8.9</v>
      </c>
      <c r="C69" s="478">
        <v>44523</v>
      </c>
      <c r="D69" s="44"/>
      <c r="G69" s="38"/>
    </row>
    <row r="70" spans="1:7" ht="26.25">
      <c r="A70" s="416" t="s">
        <v>1672</v>
      </c>
      <c r="B70" s="276">
        <v>8.8000000000000007</v>
      </c>
      <c r="C70" s="478">
        <v>44523</v>
      </c>
      <c r="D70" s="44"/>
      <c r="G70" s="38"/>
    </row>
    <row r="71" spans="1:7">
      <c r="A71" s="416" t="s">
        <v>1674</v>
      </c>
      <c r="B71" s="276">
        <v>8.8000000000000007</v>
      </c>
      <c r="C71" s="478">
        <v>44523</v>
      </c>
      <c r="D71" s="44"/>
      <c r="G71" s="38"/>
    </row>
    <row r="72" spans="1:7">
      <c r="A72" s="416" t="s">
        <v>1675</v>
      </c>
      <c r="B72" s="276">
        <v>12</v>
      </c>
      <c r="C72" s="478">
        <v>44523</v>
      </c>
      <c r="D72" s="44"/>
      <c r="G72" s="38"/>
    </row>
    <row r="73" spans="1:7">
      <c r="A73" s="402" t="s">
        <v>1299</v>
      </c>
      <c r="B73" s="276">
        <v>15</v>
      </c>
      <c r="C73" s="478">
        <v>44523</v>
      </c>
      <c r="D73" s="44"/>
      <c r="G73" s="38"/>
    </row>
    <row r="74" spans="1:7">
      <c r="A74" s="402" t="s">
        <v>1298</v>
      </c>
      <c r="B74" s="276">
        <v>10.4</v>
      </c>
      <c r="C74" s="478">
        <v>44523</v>
      </c>
      <c r="D74" s="44"/>
      <c r="G74" s="38"/>
    </row>
    <row r="75" spans="1:7">
      <c r="A75" s="402" t="s">
        <v>1454</v>
      </c>
      <c r="B75" s="276">
        <v>94.24</v>
      </c>
      <c r="C75" s="397" t="s">
        <v>1639</v>
      </c>
      <c r="D75" s="44"/>
      <c r="G75" s="38"/>
    </row>
    <row r="76" spans="1:7" ht="14.25" customHeight="1">
      <c r="A76" s="416" t="s">
        <v>1377</v>
      </c>
      <c r="B76" s="276">
        <v>75.02</v>
      </c>
      <c r="C76" s="478">
        <v>44523</v>
      </c>
      <c r="D76" s="478"/>
      <c r="G76" s="38"/>
    </row>
    <row r="77" spans="1:7">
      <c r="A77" s="420" t="s">
        <v>1087</v>
      </c>
      <c r="B77" s="539">
        <v>8</v>
      </c>
      <c r="C77" s="540">
        <v>44783</v>
      </c>
      <c r="D77" s="478"/>
      <c r="G77" s="38"/>
    </row>
    <row r="78" spans="1:7" ht="26.25">
      <c r="A78" s="402" t="s">
        <v>1091</v>
      </c>
      <c r="B78" s="539">
        <v>12.6</v>
      </c>
      <c r="C78" s="540">
        <v>44774</v>
      </c>
      <c r="D78" s="478"/>
      <c r="G78" s="38"/>
    </row>
    <row r="79" spans="1:7">
      <c r="A79" s="416" t="s">
        <v>1647</v>
      </c>
      <c r="B79" s="539"/>
      <c r="C79" s="540"/>
      <c r="D79" s="44"/>
      <c r="G79" s="38"/>
    </row>
    <row r="80" spans="1:7">
      <c r="A80" s="402" t="s">
        <v>236</v>
      </c>
      <c r="B80" s="541">
        <v>54</v>
      </c>
      <c r="C80" s="540">
        <v>44774</v>
      </c>
      <c r="D80" s="44"/>
      <c r="G80" s="38"/>
    </row>
    <row r="81" spans="1:7">
      <c r="A81" s="401" t="s">
        <v>1451</v>
      </c>
      <c r="B81" s="539">
        <v>200</v>
      </c>
      <c r="C81" s="540"/>
      <c r="D81" s="44"/>
      <c r="G81" s="38"/>
    </row>
    <row r="82" spans="1:7">
      <c r="A82" s="418" t="s">
        <v>1219</v>
      </c>
      <c r="B82" s="539">
        <v>2316</v>
      </c>
      <c r="C82" s="540">
        <v>44831</v>
      </c>
      <c r="D82" s="44"/>
      <c r="G82" s="38"/>
    </row>
    <row r="83" spans="1:7">
      <c r="A83" s="418" t="s">
        <v>1221</v>
      </c>
      <c r="B83" s="539">
        <v>3960</v>
      </c>
      <c r="C83" s="540">
        <v>44831</v>
      </c>
      <c r="D83" s="44"/>
      <c r="G83" s="38"/>
    </row>
    <row r="84" spans="1:7">
      <c r="A84" s="418" t="s">
        <v>1406</v>
      </c>
      <c r="B84" s="276">
        <v>4000</v>
      </c>
      <c r="C84" s="478">
        <v>44523</v>
      </c>
      <c r="D84" s="44"/>
      <c r="G84" s="38"/>
    </row>
    <row r="85" spans="1:7">
      <c r="A85" s="418" t="s">
        <v>1407</v>
      </c>
      <c r="B85" s="276"/>
      <c r="C85" s="397"/>
      <c r="D85" s="44"/>
      <c r="G85" s="38"/>
    </row>
    <row r="86" spans="1:7">
      <c r="A86" s="418" t="s">
        <v>1408</v>
      </c>
      <c r="B86" s="276"/>
      <c r="C86" s="397"/>
      <c r="D86" s="44"/>
      <c r="G86" s="38"/>
    </row>
    <row r="87" spans="1:7">
      <c r="A87" s="418" t="s">
        <v>1409</v>
      </c>
      <c r="B87" s="276"/>
      <c r="C87" s="397"/>
      <c r="D87" s="44"/>
      <c r="G87" s="38"/>
    </row>
    <row r="88" spans="1:7">
      <c r="A88" s="402" t="s">
        <v>1232</v>
      </c>
      <c r="B88" s="276">
        <v>2.82</v>
      </c>
      <c r="C88" s="478">
        <v>44523</v>
      </c>
      <c r="D88" s="44"/>
      <c r="G88" s="38"/>
    </row>
    <row r="89" spans="1:7">
      <c r="A89" s="402" t="s">
        <v>1207</v>
      </c>
      <c r="B89" s="276">
        <v>5.57</v>
      </c>
      <c r="C89" s="478">
        <v>44523</v>
      </c>
      <c r="D89" s="44"/>
      <c r="G89" s="38"/>
    </row>
    <row r="90" spans="1:7">
      <c r="A90" s="402" t="s">
        <v>1402</v>
      </c>
      <c r="B90" s="528">
        <v>2.77</v>
      </c>
      <c r="C90" s="397"/>
      <c r="D90" s="44"/>
      <c r="G90" s="38"/>
    </row>
    <row r="91" spans="1:7">
      <c r="A91" s="402" t="s">
        <v>764</v>
      </c>
      <c r="B91" s="276">
        <v>14.5</v>
      </c>
      <c r="C91" s="397" t="s">
        <v>1639</v>
      </c>
      <c r="D91" s="44"/>
      <c r="G91" s="38"/>
    </row>
    <row r="92" spans="1:7">
      <c r="A92" s="402" t="s">
        <v>1367</v>
      </c>
      <c r="B92" s="528">
        <v>0.16300000000000001</v>
      </c>
      <c r="C92" s="478">
        <v>44523</v>
      </c>
      <c r="D92" s="44"/>
      <c r="G92" s="38"/>
    </row>
    <row r="93" spans="1:7">
      <c r="A93" s="402" t="s">
        <v>1368</v>
      </c>
      <c r="B93" s="276">
        <v>1.3</v>
      </c>
      <c r="C93" s="478">
        <v>44523</v>
      </c>
      <c r="D93" s="44"/>
      <c r="G93" s="38"/>
    </row>
    <row r="94" spans="1:7">
      <c r="A94" s="402" t="s">
        <v>1369</v>
      </c>
      <c r="B94" s="528">
        <v>0.2</v>
      </c>
      <c r="C94" s="478">
        <v>44523</v>
      </c>
      <c r="D94" s="44"/>
      <c r="G94" s="38"/>
    </row>
    <row r="95" spans="1:7">
      <c r="A95" s="402" t="s">
        <v>1378</v>
      </c>
      <c r="B95" s="276">
        <v>0.9</v>
      </c>
      <c r="C95" s="478">
        <v>44523</v>
      </c>
      <c r="D95" s="44"/>
      <c r="G95" s="38"/>
    </row>
    <row r="96" spans="1:7">
      <c r="A96" s="402" t="s">
        <v>1370</v>
      </c>
      <c r="B96" s="528">
        <v>0.31</v>
      </c>
      <c r="C96" s="478">
        <v>44523</v>
      </c>
      <c r="D96" s="44"/>
      <c r="G96" s="38"/>
    </row>
    <row r="97" spans="1:7">
      <c r="A97" s="402" t="s">
        <v>1230</v>
      </c>
      <c r="B97" s="528">
        <v>0.4</v>
      </c>
      <c r="C97" s="478">
        <v>44523</v>
      </c>
      <c r="D97" s="44"/>
      <c r="G97" s="38"/>
    </row>
    <row r="98" spans="1:7">
      <c r="A98" s="402" t="s">
        <v>1365</v>
      </c>
      <c r="B98" s="276">
        <v>0.97</v>
      </c>
      <c r="C98" s="478">
        <v>44523</v>
      </c>
      <c r="D98" s="44"/>
      <c r="G98" s="38"/>
    </row>
    <row r="99" spans="1:7">
      <c r="A99" s="402" t="s">
        <v>1208</v>
      </c>
      <c r="B99" s="528">
        <v>1.96</v>
      </c>
      <c r="C99" s="478">
        <v>44523</v>
      </c>
      <c r="D99" s="44"/>
      <c r="G99" s="38"/>
    </row>
    <row r="100" spans="1:7">
      <c r="A100" s="402" t="s">
        <v>1292</v>
      </c>
      <c r="B100" s="528">
        <v>0.15</v>
      </c>
      <c r="C100" s="478">
        <v>44523</v>
      </c>
      <c r="D100" s="44"/>
      <c r="G100" s="38"/>
    </row>
    <row r="101" spans="1:7">
      <c r="A101" s="402" t="s">
        <v>1233</v>
      </c>
      <c r="B101" s="528">
        <v>0.2</v>
      </c>
      <c r="C101" s="478">
        <v>44523</v>
      </c>
      <c r="D101" s="44"/>
      <c r="G101" s="38"/>
    </row>
    <row r="102" spans="1:7">
      <c r="A102" s="402" t="s">
        <v>119</v>
      </c>
      <c r="B102" s="528">
        <v>0.88</v>
      </c>
      <c r="C102" s="478">
        <v>44523</v>
      </c>
      <c r="D102" s="44"/>
      <c r="G102" s="38"/>
    </row>
    <row r="103" spans="1:7">
      <c r="A103" s="402" t="s">
        <v>1223</v>
      </c>
      <c r="B103" s="528">
        <v>2.1</v>
      </c>
      <c r="C103" s="478">
        <v>44523</v>
      </c>
      <c r="D103" s="44"/>
      <c r="G103" s="38"/>
    </row>
    <row r="104" spans="1:7">
      <c r="A104" s="402" t="s">
        <v>767</v>
      </c>
      <c r="B104" s="528">
        <v>6.13</v>
      </c>
      <c r="C104" s="478">
        <v>44526</v>
      </c>
      <c r="D104" s="44"/>
      <c r="G104" s="38"/>
    </row>
    <row r="105" spans="1:7">
      <c r="A105" s="402" t="s">
        <v>466</v>
      </c>
      <c r="B105" s="528">
        <v>27.34</v>
      </c>
      <c r="C105" s="397" t="s">
        <v>1639</v>
      </c>
      <c r="D105" s="44"/>
      <c r="G105" s="38"/>
    </row>
    <row r="106" spans="1:7">
      <c r="A106" s="402" t="s">
        <v>1379</v>
      </c>
      <c r="B106" s="528">
        <v>0.1</v>
      </c>
      <c r="C106" s="397" t="s">
        <v>1681</v>
      </c>
      <c r="D106" s="44"/>
      <c r="G106" s="38"/>
    </row>
    <row r="107" spans="1:7">
      <c r="A107" s="402" t="s">
        <v>758</v>
      </c>
      <c r="B107" s="528">
        <v>0.17</v>
      </c>
      <c r="C107" s="397" t="s">
        <v>1681</v>
      </c>
      <c r="D107" s="44"/>
      <c r="G107" s="38"/>
    </row>
    <row r="108" spans="1:7">
      <c r="A108" s="402" t="s">
        <v>1683</v>
      </c>
      <c r="B108" s="528">
        <v>0.35</v>
      </c>
      <c r="C108" s="397" t="s">
        <v>1639</v>
      </c>
      <c r="D108" s="44"/>
      <c r="G108" s="38"/>
    </row>
    <row r="109" spans="1:7">
      <c r="A109" s="402" t="s">
        <v>1682</v>
      </c>
      <c r="B109" s="528">
        <v>1.75</v>
      </c>
      <c r="C109" s="397" t="s">
        <v>1689</v>
      </c>
      <c r="D109" s="44"/>
      <c r="G109" s="38"/>
    </row>
    <row r="110" spans="1:7">
      <c r="A110" s="402" t="s">
        <v>1429</v>
      </c>
      <c r="B110" s="276">
        <v>1.85</v>
      </c>
      <c r="C110" s="397" t="s">
        <v>1651</v>
      </c>
      <c r="D110" s="44"/>
      <c r="G110" s="38"/>
    </row>
    <row r="111" spans="1:7">
      <c r="A111" s="402" t="s">
        <v>765</v>
      </c>
      <c r="B111" s="276">
        <v>4.75</v>
      </c>
      <c r="C111" s="397" t="s">
        <v>1680</v>
      </c>
      <c r="D111" s="44"/>
      <c r="G111" s="38"/>
    </row>
    <row r="112" spans="1:7" ht="25.5">
      <c r="A112" s="398" t="s">
        <v>1643</v>
      </c>
      <c r="B112" s="276">
        <v>3500</v>
      </c>
      <c r="C112" s="397" t="s">
        <v>1650</v>
      </c>
      <c r="D112" s="44"/>
      <c r="G112" s="38"/>
    </row>
    <row r="113" spans="1:7" ht="25.5">
      <c r="A113" s="398" t="s">
        <v>1644</v>
      </c>
      <c r="B113" s="276"/>
      <c r="C113" s="397"/>
      <c r="D113" s="44"/>
      <c r="G113" s="38"/>
    </row>
    <row r="114" spans="1:7" ht="25.5">
      <c r="A114" s="398" t="s">
        <v>1645</v>
      </c>
      <c r="B114" s="276"/>
      <c r="C114" s="397"/>
      <c r="D114" s="44"/>
      <c r="G114" s="38"/>
    </row>
    <row r="115" spans="1:7" ht="25.5">
      <c r="A115" s="398" t="s">
        <v>1646</v>
      </c>
      <c r="B115" s="276"/>
      <c r="C115" s="397"/>
      <c r="D115" s="44"/>
      <c r="G115" s="38"/>
    </row>
    <row r="116" spans="1:7">
      <c r="A116" s="634" t="s">
        <v>264</v>
      </c>
      <c r="B116" s="634"/>
      <c r="C116" s="634"/>
      <c r="G116" s="38"/>
    </row>
    <row r="117" spans="1:7">
      <c r="A117" s="327" t="s">
        <v>1455</v>
      </c>
      <c r="B117" s="528">
        <v>138</v>
      </c>
      <c r="C117" s="635">
        <v>44516</v>
      </c>
      <c r="G117" s="38"/>
    </row>
    <row r="118" spans="1:7">
      <c r="A118" s="327" t="s">
        <v>1033</v>
      </c>
      <c r="B118" s="528">
        <v>59</v>
      </c>
      <c r="C118" s="636"/>
      <c r="G118" s="38"/>
    </row>
    <row r="119" spans="1:7">
      <c r="A119" s="327" t="s">
        <v>1456</v>
      </c>
      <c r="B119" s="528">
        <v>202</v>
      </c>
      <c r="C119" s="636"/>
      <c r="G119" s="38"/>
    </row>
    <row r="120" spans="1:7" ht="15" customHeight="1">
      <c r="A120" s="327" t="s">
        <v>1457</v>
      </c>
      <c r="B120" s="528">
        <v>221</v>
      </c>
      <c r="C120" s="277">
        <v>44516</v>
      </c>
      <c r="G120" s="38"/>
    </row>
    <row r="121" spans="1:7">
      <c r="A121" s="327" t="s">
        <v>1458</v>
      </c>
      <c r="B121" s="528">
        <v>146</v>
      </c>
      <c r="C121" s="277">
        <v>44516</v>
      </c>
      <c r="G121" s="38" t="s">
        <v>44</v>
      </c>
    </row>
    <row r="122" spans="1:7">
      <c r="A122" s="327" t="s">
        <v>1459</v>
      </c>
      <c r="B122" s="528">
        <v>9.6</v>
      </c>
      <c r="C122" s="277">
        <v>44516</v>
      </c>
      <c r="G122" s="38"/>
    </row>
    <row r="123" spans="1:7">
      <c r="A123" s="327" t="s">
        <v>1460</v>
      </c>
      <c r="B123" s="528">
        <v>17.5</v>
      </c>
      <c r="C123" s="277">
        <v>44516</v>
      </c>
      <c r="G123" s="38" t="s">
        <v>44</v>
      </c>
    </row>
    <row r="124" spans="1:7" ht="26.25">
      <c r="A124" s="327" t="s">
        <v>1461</v>
      </c>
      <c r="B124" s="539">
        <v>236</v>
      </c>
      <c r="C124" s="540">
        <v>44757</v>
      </c>
      <c r="G124" s="38"/>
    </row>
    <row r="125" spans="1:7" ht="26.25">
      <c r="A125" s="327" t="s">
        <v>1462</v>
      </c>
      <c r="B125" s="539">
        <v>256</v>
      </c>
      <c r="C125" s="540">
        <v>44757</v>
      </c>
      <c r="G125" s="38"/>
    </row>
    <row r="126" spans="1:7">
      <c r="A126" s="327" t="s">
        <v>1684</v>
      </c>
      <c r="B126" s="528">
        <v>23.8</v>
      </c>
      <c r="C126" s="277">
        <v>44424</v>
      </c>
      <c r="G126" s="38" t="s">
        <v>44</v>
      </c>
    </row>
    <row r="127" spans="1:7">
      <c r="A127" s="327" t="s">
        <v>1685</v>
      </c>
      <c r="B127" s="528">
        <v>32.5</v>
      </c>
      <c r="C127" s="40">
        <v>44424</v>
      </c>
      <c r="G127" s="38"/>
    </row>
    <row r="128" spans="1:7">
      <c r="A128" s="327" t="s">
        <v>1463</v>
      </c>
      <c r="B128" s="474">
        <v>404</v>
      </c>
      <c r="C128" s="277">
        <v>44523</v>
      </c>
      <c r="G128" s="38"/>
    </row>
    <row r="129" spans="1:7">
      <c r="A129" s="327" t="s">
        <v>1464</v>
      </c>
      <c r="B129" s="474"/>
      <c r="C129" s="40">
        <v>44424</v>
      </c>
      <c r="G129" s="38"/>
    </row>
    <row r="130" spans="1:7">
      <c r="A130" s="327" t="s">
        <v>1465</v>
      </c>
      <c r="B130" s="474"/>
      <c r="C130" s="40">
        <v>44424</v>
      </c>
      <c r="G130" s="38"/>
    </row>
    <row r="131" spans="1:7">
      <c r="A131" s="327" t="s">
        <v>1466</v>
      </c>
      <c r="B131" s="474"/>
      <c r="C131" s="40">
        <v>44424</v>
      </c>
      <c r="G131" s="38" t="s">
        <v>44</v>
      </c>
    </row>
    <row r="132" spans="1:7">
      <c r="A132" s="327" t="s">
        <v>171</v>
      </c>
      <c r="B132" s="474">
        <v>54.6</v>
      </c>
      <c r="C132" s="277">
        <v>44516</v>
      </c>
      <c r="G132" s="38" t="s">
        <v>44</v>
      </c>
    </row>
    <row r="133" spans="1:7">
      <c r="A133" s="641" t="s">
        <v>272</v>
      </c>
      <c r="B133" s="642"/>
      <c r="C133" s="643"/>
      <c r="G133" s="38" t="s">
        <v>44</v>
      </c>
    </row>
    <row r="134" spans="1:7">
      <c r="A134" s="367" t="s">
        <v>71</v>
      </c>
      <c r="B134" s="542">
        <v>62.3</v>
      </c>
      <c r="C134" s="543">
        <v>44783</v>
      </c>
      <c r="G134" s="38" t="s">
        <v>44</v>
      </c>
    </row>
    <row r="135" spans="1:7">
      <c r="A135" s="367" t="s">
        <v>173</v>
      </c>
      <c r="B135" s="541">
        <v>505</v>
      </c>
      <c r="C135" s="544">
        <v>44760</v>
      </c>
      <c r="D135" s="1">
        <f>B135*0.16</f>
        <v>80.8</v>
      </c>
      <c r="G135" s="38" t="s">
        <v>44</v>
      </c>
    </row>
    <row r="136" spans="1:7">
      <c r="A136" s="367" t="s">
        <v>737</v>
      </c>
      <c r="B136" s="545">
        <v>525</v>
      </c>
      <c r="C136" s="546">
        <v>44785</v>
      </c>
      <c r="D136" s="1">
        <f>B136*0.008</f>
        <v>4.2</v>
      </c>
      <c r="G136" s="38" t="s">
        <v>44</v>
      </c>
    </row>
    <row r="137" spans="1:7" ht="13.5" customHeight="1">
      <c r="A137" s="422" t="s">
        <v>1467</v>
      </c>
      <c r="B137" s="539">
        <v>0.15</v>
      </c>
      <c r="C137" s="540">
        <v>44734</v>
      </c>
      <c r="G137" s="38"/>
    </row>
    <row r="138" spans="1:7">
      <c r="A138" s="423" t="s">
        <v>1468</v>
      </c>
      <c r="B138" s="539">
        <v>400</v>
      </c>
      <c r="C138" s="540">
        <v>44774</v>
      </c>
      <c r="G138" s="38"/>
    </row>
    <row r="139" spans="1:7">
      <c r="A139" s="424" t="s">
        <v>1430</v>
      </c>
      <c r="B139" s="411">
        <v>1025.7</v>
      </c>
      <c r="C139" s="277">
        <v>44523</v>
      </c>
      <c r="G139" s="38"/>
    </row>
    <row r="140" spans="1:7">
      <c r="A140" s="424" t="s">
        <v>1431</v>
      </c>
      <c r="B140" s="411">
        <v>1276.5999999999999</v>
      </c>
      <c r="C140" s="277">
        <v>44523</v>
      </c>
      <c r="G140" s="38"/>
    </row>
    <row r="141" spans="1:7">
      <c r="A141" s="425" t="s">
        <v>1469</v>
      </c>
      <c r="B141" s="470">
        <v>2000</v>
      </c>
      <c r="C141" s="277"/>
      <c r="D141" s="1" t="s">
        <v>1652</v>
      </c>
      <c r="G141" s="38"/>
    </row>
    <row r="142" spans="1:7">
      <c r="A142" s="425" t="s">
        <v>1653</v>
      </c>
      <c r="B142" s="470">
        <v>1005</v>
      </c>
      <c r="C142" s="277"/>
      <c r="G142" s="38"/>
    </row>
    <row r="143" spans="1:7">
      <c r="A143" s="425" t="s">
        <v>1654</v>
      </c>
      <c r="B143" s="470"/>
      <c r="C143" s="277"/>
      <c r="G143" s="38"/>
    </row>
    <row r="144" spans="1:7">
      <c r="A144" s="425" t="s">
        <v>1655</v>
      </c>
      <c r="B144" s="470"/>
      <c r="C144" s="277"/>
      <c r="G144" s="38"/>
    </row>
    <row r="145" spans="1:7">
      <c r="A145" s="424" t="s">
        <v>1656</v>
      </c>
      <c r="B145" s="411"/>
      <c r="C145" s="277"/>
      <c r="G145" s="38"/>
    </row>
    <row r="146" spans="1:7">
      <c r="A146" s="632" t="s">
        <v>280</v>
      </c>
      <c r="B146" s="633"/>
      <c r="C146" s="633"/>
      <c r="G146" s="38"/>
    </row>
    <row r="147" spans="1:7">
      <c r="A147" s="367" t="s">
        <v>593</v>
      </c>
      <c r="B147" s="276">
        <v>25</v>
      </c>
      <c r="C147" s="2"/>
    </row>
    <row r="148" spans="1:7">
      <c r="A148" s="367" t="s">
        <v>594</v>
      </c>
      <c r="B148" s="276">
        <v>5</v>
      </c>
      <c r="C148" s="277">
        <v>44424</v>
      </c>
      <c r="G148" s="38" t="s">
        <v>44</v>
      </c>
    </row>
    <row r="149" spans="1:7">
      <c r="A149" s="367" t="s">
        <v>595</v>
      </c>
      <c r="B149" s="276">
        <v>16</v>
      </c>
      <c r="C149" s="277">
        <v>44523</v>
      </c>
      <c r="G149" s="249"/>
    </row>
    <row r="150" spans="1:7">
      <c r="A150" s="367" t="s">
        <v>596</v>
      </c>
      <c r="B150" s="276">
        <v>12</v>
      </c>
      <c r="C150" s="277">
        <v>44530</v>
      </c>
      <c r="G150" s="249"/>
    </row>
    <row r="151" spans="1:7">
      <c r="A151" s="367" t="s">
        <v>597</v>
      </c>
      <c r="B151" s="276">
        <v>4</v>
      </c>
      <c r="C151" s="277">
        <v>44530</v>
      </c>
      <c r="G151" s="249"/>
    </row>
    <row r="152" spans="1:7">
      <c r="A152" s="367" t="s">
        <v>598</v>
      </c>
      <c r="B152" s="276">
        <v>6</v>
      </c>
      <c r="C152" s="277">
        <v>44530</v>
      </c>
      <c r="G152" s="249"/>
    </row>
    <row r="153" spans="1:7">
      <c r="A153" s="367" t="s">
        <v>599</v>
      </c>
      <c r="B153" s="276">
        <v>10</v>
      </c>
      <c r="C153" s="277">
        <v>44530</v>
      </c>
      <c r="G153" s="249"/>
    </row>
    <row r="154" spans="1:7">
      <c r="A154" s="367" t="s">
        <v>600</v>
      </c>
      <c r="B154" s="276">
        <v>4</v>
      </c>
      <c r="C154" s="277">
        <v>44530</v>
      </c>
      <c r="G154" s="249"/>
    </row>
    <row r="155" spans="1:7">
      <c r="A155" s="367" t="s">
        <v>601</v>
      </c>
      <c r="B155" s="276">
        <v>4</v>
      </c>
      <c r="C155" s="277">
        <v>44530</v>
      </c>
      <c r="G155" s="249"/>
    </row>
    <row r="156" spans="1:7">
      <c r="A156" s="367" t="s">
        <v>678</v>
      </c>
      <c r="B156" s="276">
        <v>10</v>
      </c>
      <c r="C156" s="277">
        <v>44530</v>
      </c>
      <c r="G156" s="249"/>
    </row>
    <row r="157" spans="1:7">
      <c r="A157" s="367" t="s">
        <v>679</v>
      </c>
      <c r="B157" s="276">
        <v>4</v>
      </c>
      <c r="C157" s="277">
        <v>44530</v>
      </c>
      <c r="G157" s="249"/>
    </row>
    <row r="158" spans="1:7">
      <c r="A158" s="367" t="s">
        <v>680</v>
      </c>
      <c r="B158" s="276">
        <v>4</v>
      </c>
      <c r="C158" s="277"/>
      <c r="G158" s="249"/>
    </row>
    <row r="159" spans="1:7">
      <c r="A159" s="367" t="s">
        <v>602</v>
      </c>
      <c r="B159" s="276">
        <v>14</v>
      </c>
      <c r="C159" s="277">
        <v>44530</v>
      </c>
      <c r="G159" s="249"/>
    </row>
    <row r="160" spans="1:7">
      <c r="A160" s="367" t="s">
        <v>603</v>
      </c>
      <c r="B160" s="276">
        <v>4</v>
      </c>
      <c r="C160" s="277">
        <v>44530</v>
      </c>
      <c r="G160" s="249"/>
    </row>
    <row r="161" spans="1:7">
      <c r="A161" s="367" t="s">
        <v>604</v>
      </c>
      <c r="B161" s="276">
        <v>13</v>
      </c>
      <c r="C161" s="277">
        <v>44523</v>
      </c>
      <c r="G161" s="249"/>
    </row>
    <row r="162" spans="1:7">
      <c r="A162" s="367" t="s">
        <v>1018</v>
      </c>
      <c r="B162" s="276">
        <v>10</v>
      </c>
      <c r="C162" s="277">
        <v>44523</v>
      </c>
      <c r="G162" s="249"/>
    </row>
    <row r="163" spans="1:7">
      <c r="A163" s="367" t="s">
        <v>1019</v>
      </c>
      <c r="B163" s="279">
        <v>4</v>
      </c>
      <c r="C163" s="384">
        <v>44523</v>
      </c>
      <c r="G163" s="249"/>
    </row>
    <row r="164" spans="1:7">
      <c r="A164" s="367" t="s">
        <v>1020</v>
      </c>
      <c r="B164" s="279">
        <v>9</v>
      </c>
      <c r="C164" s="384">
        <v>44530</v>
      </c>
      <c r="G164" s="249"/>
    </row>
    <row r="165" spans="1:7">
      <c r="A165" s="367" t="s">
        <v>1021</v>
      </c>
      <c r="B165" s="279">
        <v>4</v>
      </c>
      <c r="C165" s="384"/>
      <c r="G165" s="249"/>
    </row>
    <row r="166" spans="1:7" ht="14.25" customHeight="1">
      <c r="A166" s="367" t="s">
        <v>1022</v>
      </c>
      <c r="B166" s="279">
        <v>6</v>
      </c>
      <c r="C166" s="384"/>
      <c r="G166" s="249"/>
    </row>
    <row r="167" spans="1:7">
      <c r="A167" s="367" t="s">
        <v>1023</v>
      </c>
      <c r="B167" s="279">
        <v>5</v>
      </c>
      <c r="C167" s="384"/>
      <c r="G167" s="249"/>
    </row>
    <row r="168" spans="1:7" ht="16.5" customHeight="1">
      <c r="A168" s="367" t="s">
        <v>1024</v>
      </c>
      <c r="B168" s="279">
        <v>9</v>
      </c>
      <c r="C168" s="384"/>
      <c r="G168" s="249"/>
    </row>
    <row r="169" spans="1:7">
      <c r="A169" s="367" t="s">
        <v>1025</v>
      </c>
      <c r="B169" s="279">
        <v>5</v>
      </c>
      <c r="C169" s="384">
        <v>44530</v>
      </c>
      <c r="G169" s="249"/>
    </row>
    <row r="170" spans="1:7" ht="14.25" customHeight="1">
      <c r="A170" s="367" t="s">
        <v>1026</v>
      </c>
      <c r="B170" s="279">
        <v>14</v>
      </c>
      <c r="C170" s="384">
        <v>44530</v>
      </c>
      <c r="G170" s="249"/>
    </row>
    <row r="171" spans="1:7" ht="14.25" customHeight="1">
      <c r="A171" s="427" t="s">
        <v>1687</v>
      </c>
      <c r="B171" s="279"/>
      <c r="C171" s="384"/>
      <c r="G171" s="249"/>
    </row>
    <row r="172" spans="1:7">
      <c r="A172" s="367" t="s">
        <v>1602</v>
      </c>
      <c r="B172" s="279">
        <v>15</v>
      </c>
      <c r="C172" s="384">
        <v>44530</v>
      </c>
      <c r="G172" s="249"/>
    </row>
    <row r="173" spans="1:7">
      <c r="A173" s="367" t="s">
        <v>1603</v>
      </c>
      <c r="B173" s="279">
        <v>16</v>
      </c>
      <c r="C173" s="384"/>
      <c r="G173" s="249"/>
    </row>
    <row r="174" spans="1:7">
      <c r="A174" s="367" t="s">
        <v>1612</v>
      </c>
      <c r="B174" s="279">
        <v>5</v>
      </c>
      <c r="C174" s="384">
        <v>44530</v>
      </c>
      <c r="G174" s="249"/>
    </row>
    <row r="175" spans="1:7">
      <c r="A175" s="367" t="s">
        <v>1613</v>
      </c>
      <c r="B175" s="279">
        <v>5</v>
      </c>
      <c r="C175" s="384">
        <v>44530</v>
      </c>
      <c r="G175" s="249"/>
    </row>
    <row r="176" spans="1:7">
      <c r="A176" s="367" t="s">
        <v>1615</v>
      </c>
      <c r="B176" s="279">
        <v>7</v>
      </c>
      <c r="C176" s="384">
        <v>44530</v>
      </c>
      <c r="G176" s="249"/>
    </row>
    <row r="177" spans="1:7">
      <c r="A177" s="367" t="s">
        <v>1614</v>
      </c>
      <c r="B177" s="276">
        <v>7</v>
      </c>
      <c r="C177" s="277">
        <v>44530</v>
      </c>
      <c r="G177" s="249"/>
    </row>
    <row r="178" spans="1:7">
      <c r="A178" s="367" t="s">
        <v>1604</v>
      </c>
      <c r="B178" s="276">
        <v>6</v>
      </c>
      <c r="C178" s="277"/>
      <c r="G178" s="249"/>
    </row>
    <row r="179" spans="1:7">
      <c r="A179" s="367" t="s">
        <v>1605</v>
      </c>
      <c r="B179" s="276">
        <v>6</v>
      </c>
      <c r="C179" s="277"/>
      <c r="G179" s="249"/>
    </row>
    <row r="180" spans="1:7">
      <c r="A180" s="367" t="s">
        <v>1606</v>
      </c>
      <c r="B180" s="276">
        <v>6</v>
      </c>
      <c r="C180" s="277"/>
      <c r="G180" s="249"/>
    </row>
    <row r="181" spans="1:7">
      <c r="A181" s="367" t="s">
        <v>1607</v>
      </c>
      <c r="B181" s="276">
        <v>6</v>
      </c>
      <c r="C181" s="277"/>
      <c r="G181" s="249"/>
    </row>
    <row r="182" spans="1:7">
      <c r="A182" s="367" t="s">
        <v>1608</v>
      </c>
      <c r="B182" s="276">
        <v>7</v>
      </c>
      <c r="C182" s="277"/>
      <c r="G182" s="249"/>
    </row>
    <row r="183" spans="1:7">
      <c r="A183" s="367" t="s">
        <v>1609</v>
      </c>
      <c r="B183" s="276">
        <v>7</v>
      </c>
      <c r="C183" s="277"/>
      <c r="G183" s="249"/>
    </row>
    <row r="184" spans="1:7">
      <c r="A184" s="367" t="s">
        <v>1610</v>
      </c>
      <c r="B184" s="276">
        <v>7</v>
      </c>
      <c r="C184" s="277"/>
      <c r="G184" s="249"/>
    </row>
    <row r="185" spans="1:7">
      <c r="A185" s="367" t="s">
        <v>1611</v>
      </c>
      <c r="B185" s="276">
        <v>7</v>
      </c>
      <c r="C185" s="277"/>
      <c r="G185" s="249"/>
    </row>
    <row r="186" spans="1:7">
      <c r="A186" s="367" t="s">
        <v>1660</v>
      </c>
      <c r="B186" s="276">
        <v>150</v>
      </c>
      <c r="C186" s="277">
        <v>44530</v>
      </c>
      <c r="G186" s="249"/>
    </row>
    <row r="187" spans="1:7">
      <c r="A187" s="367" t="s">
        <v>1661</v>
      </c>
      <c r="B187" s="276"/>
      <c r="C187" s="277"/>
      <c r="G187" s="249"/>
    </row>
    <row r="188" spans="1:7">
      <c r="A188" s="367" t="s">
        <v>1662</v>
      </c>
      <c r="B188" s="276"/>
      <c r="C188" s="277"/>
      <c r="G188" s="249"/>
    </row>
    <row r="189" spans="1:7">
      <c r="A189" s="367" t="s">
        <v>1663</v>
      </c>
      <c r="B189" s="276"/>
      <c r="C189" s="277"/>
      <c r="G189" s="249"/>
    </row>
    <row r="190" spans="1:7">
      <c r="A190" s="629" t="s">
        <v>313</v>
      </c>
      <c r="B190" s="630"/>
      <c r="C190" s="631"/>
      <c r="G190" s="249"/>
    </row>
    <row r="191" spans="1:7">
      <c r="A191" s="402" t="s">
        <v>698</v>
      </c>
      <c r="B191" s="539">
        <f>15480/18</f>
        <v>860</v>
      </c>
      <c r="C191" s="540">
        <v>44785</v>
      </c>
      <c r="G191" s="249"/>
    </row>
    <row r="192" spans="1:7">
      <c r="A192" s="547" t="s">
        <v>1746</v>
      </c>
      <c r="B192" s="549">
        <v>251.48</v>
      </c>
      <c r="C192" s="548">
        <v>44777</v>
      </c>
      <c r="G192" s="249"/>
    </row>
    <row r="193" spans="1:7">
      <c r="A193" s="547" t="s">
        <v>1470</v>
      </c>
      <c r="B193" s="549">
        <f>10000/20</f>
        <v>500</v>
      </c>
      <c r="C193" s="548">
        <v>44777</v>
      </c>
      <c r="G193" s="249"/>
    </row>
    <row r="194" spans="1:7">
      <c r="A194" s="401" t="s">
        <v>310</v>
      </c>
      <c r="B194" s="539"/>
      <c r="C194" s="540"/>
      <c r="G194" s="249"/>
    </row>
    <row r="195" spans="1:7">
      <c r="A195" s="401" t="s">
        <v>508</v>
      </c>
      <c r="B195" s="538"/>
      <c r="C195" s="277"/>
      <c r="G195" s="249"/>
    </row>
    <row r="196" spans="1:7" ht="15.75" customHeight="1">
      <c r="A196" s="424" t="s">
        <v>1471</v>
      </c>
      <c r="B196" s="550">
        <v>950</v>
      </c>
      <c r="C196" s="506">
        <v>44784</v>
      </c>
    </row>
    <row r="197" spans="1:7" ht="15.75" customHeight="1">
      <c r="A197" s="424" t="s">
        <v>1665</v>
      </c>
      <c r="B197" s="551">
        <v>6900</v>
      </c>
      <c r="C197" s="477">
        <v>44774</v>
      </c>
    </row>
    <row r="198" spans="1:7">
      <c r="A198" s="402" t="s">
        <v>312</v>
      </c>
      <c r="B198" s="535">
        <v>396</v>
      </c>
      <c r="C198" s="537"/>
      <c r="G198" s="38" t="s">
        <v>44</v>
      </c>
    </row>
    <row r="199" spans="1:7">
      <c r="A199" s="402" t="s">
        <v>1472</v>
      </c>
      <c r="B199" s="539">
        <v>2800</v>
      </c>
      <c r="C199" s="540">
        <v>44774</v>
      </c>
      <c r="G199" s="38"/>
    </row>
    <row r="200" spans="1:7" ht="16.5" customHeight="1">
      <c r="A200" s="402" t="s">
        <v>1473</v>
      </c>
      <c r="B200" s="539">
        <v>450</v>
      </c>
      <c r="C200" s="540"/>
    </row>
    <row r="201" spans="1:7">
      <c r="A201" s="402" t="s">
        <v>335</v>
      </c>
      <c r="B201" s="539">
        <v>335</v>
      </c>
      <c r="C201" s="540"/>
    </row>
    <row r="202" spans="1:7">
      <c r="A202" s="402" t="s">
        <v>1477</v>
      </c>
      <c r="B202" s="545">
        <v>210</v>
      </c>
      <c r="C202" s="552">
        <v>44781</v>
      </c>
      <c r="G202" s="38"/>
    </row>
    <row r="203" spans="1:7">
      <c r="A203" s="453" t="s">
        <v>1475</v>
      </c>
      <c r="B203" s="539">
        <v>32</v>
      </c>
      <c r="C203" s="553">
        <v>44781</v>
      </c>
      <c r="E203" s="44"/>
      <c r="G203" s="38" t="s">
        <v>44</v>
      </c>
    </row>
    <row r="204" spans="1:7">
      <c r="A204" s="398" t="s">
        <v>1476</v>
      </c>
      <c r="B204" s="539">
        <v>31</v>
      </c>
      <c r="C204" s="552">
        <v>44781</v>
      </c>
      <c r="G204" s="38" t="s">
        <v>44</v>
      </c>
    </row>
    <row r="205" spans="1:7">
      <c r="A205" s="398" t="s">
        <v>494</v>
      </c>
      <c r="B205" s="443">
        <v>3949</v>
      </c>
      <c r="C205" s="277"/>
      <c r="G205" s="38"/>
    </row>
    <row r="206" spans="1:7">
      <c r="A206" s="452" t="s">
        <v>1474</v>
      </c>
      <c r="B206" s="443">
        <v>3949</v>
      </c>
      <c r="C206" s="645">
        <v>44516</v>
      </c>
      <c r="G206" s="38"/>
    </row>
    <row r="207" spans="1:7">
      <c r="A207" s="452" t="s">
        <v>769</v>
      </c>
      <c r="B207" s="530">
        <v>650</v>
      </c>
      <c r="C207" s="646"/>
      <c r="G207" s="38"/>
    </row>
    <row r="208" spans="1:7">
      <c r="A208" s="416" t="s">
        <v>318</v>
      </c>
      <c r="B208" s="443">
        <v>40000</v>
      </c>
      <c r="C208" s="277">
        <v>44424</v>
      </c>
      <c r="G208" s="38" t="s">
        <v>44</v>
      </c>
    </row>
    <row r="209" spans="1:7">
      <c r="A209" s="416" t="s">
        <v>319</v>
      </c>
      <c r="B209" s="443">
        <v>600000</v>
      </c>
      <c r="C209" s="277">
        <v>44424</v>
      </c>
      <c r="G209" s="38" t="s">
        <v>29</v>
      </c>
    </row>
    <row r="210" spans="1:7">
      <c r="A210" s="632" t="s">
        <v>320</v>
      </c>
      <c r="B210" s="633"/>
      <c r="C210" s="633"/>
      <c r="G210" s="38"/>
    </row>
    <row r="211" spans="1:7">
      <c r="A211" s="402" t="s">
        <v>180</v>
      </c>
      <c r="B211" s="443">
        <v>13.68</v>
      </c>
      <c r="C211" s="647">
        <v>44516</v>
      </c>
      <c r="G211" s="38"/>
    </row>
    <row r="212" spans="1:7" ht="25.5">
      <c r="A212" s="398" t="s">
        <v>751</v>
      </c>
      <c r="B212" s="476">
        <v>45.21</v>
      </c>
      <c r="C212" s="648"/>
      <c r="G212" s="38"/>
    </row>
    <row r="213" spans="1:7">
      <c r="A213" s="402" t="s">
        <v>753</v>
      </c>
      <c r="B213" s="475">
        <v>450</v>
      </c>
      <c r="C213" s="648"/>
      <c r="G213" s="38"/>
    </row>
    <row r="214" spans="1:7">
      <c r="A214" s="402" t="s">
        <v>755</v>
      </c>
      <c r="B214" s="475">
        <v>50</v>
      </c>
      <c r="C214" s="648"/>
      <c r="G214" s="38"/>
    </row>
    <row r="215" spans="1:7">
      <c r="A215" s="402" t="s">
        <v>1478</v>
      </c>
      <c r="B215" s="443">
        <v>50</v>
      </c>
      <c r="C215" s="648"/>
      <c r="G215" s="38"/>
    </row>
    <row r="216" spans="1:7">
      <c r="A216" s="402" t="s">
        <v>323</v>
      </c>
      <c r="B216" s="443">
        <v>30</v>
      </c>
      <c r="C216" s="40"/>
      <c r="G216" s="38"/>
    </row>
    <row r="217" spans="1:7" ht="14.25" customHeight="1">
      <c r="A217" s="402" t="s">
        <v>750</v>
      </c>
      <c r="B217" s="443">
        <v>900</v>
      </c>
      <c r="C217" s="649">
        <v>44523</v>
      </c>
      <c r="G217" s="38"/>
    </row>
    <row r="218" spans="1:7">
      <c r="A218" s="402" t="s">
        <v>337</v>
      </c>
      <c r="B218" s="443">
        <v>23</v>
      </c>
      <c r="C218" s="650"/>
      <c r="G218" s="38"/>
    </row>
    <row r="219" spans="1:7">
      <c r="A219" s="401" t="s">
        <v>325</v>
      </c>
      <c r="B219" s="443"/>
      <c r="C219" s="650"/>
      <c r="G219" s="38"/>
    </row>
    <row r="220" spans="1:7">
      <c r="A220" s="401" t="s">
        <v>1479</v>
      </c>
      <c r="B220" s="443">
        <v>19</v>
      </c>
      <c r="C220" s="333">
        <v>44516</v>
      </c>
      <c r="G220" s="38"/>
    </row>
    <row r="221" spans="1:7">
      <c r="A221" s="401" t="s">
        <v>1480</v>
      </c>
      <c r="B221" s="443">
        <v>22</v>
      </c>
      <c r="C221" s="333">
        <v>44516</v>
      </c>
      <c r="G221" s="38" t="s">
        <v>29</v>
      </c>
    </row>
    <row r="222" spans="1:7" ht="11.25" customHeight="1">
      <c r="A222" s="401" t="s">
        <v>1481</v>
      </c>
      <c r="B222" s="443">
        <v>258</v>
      </c>
      <c r="C222" s="333">
        <v>44516</v>
      </c>
      <c r="G222" s="38" t="s">
        <v>29</v>
      </c>
    </row>
    <row r="223" spans="1:7">
      <c r="A223" s="401" t="s">
        <v>326</v>
      </c>
      <c r="B223" s="443">
        <v>100.18</v>
      </c>
      <c r="C223" s="333">
        <v>44516</v>
      </c>
      <c r="G223" s="38" t="s">
        <v>39</v>
      </c>
    </row>
    <row r="224" spans="1:7">
      <c r="A224" s="401" t="s">
        <v>327</v>
      </c>
      <c r="B224" s="443"/>
      <c r="C224" s="333"/>
      <c r="G224" s="38" t="s">
        <v>29</v>
      </c>
    </row>
    <row r="225" spans="1:7">
      <c r="A225" s="401" t="s">
        <v>328</v>
      </c>
      <c r="B225" s="443">
        <v>94.8</v>
      </c>
      <c r="C225" s="277">
        <v>44516</v>
      </c>
      <c r="G225" s="38"/>
    </row>
    <row r="226" spans="1:7">
      <c r="A226" s="401" t="s">
        <v>94</v>
      </c>
      <c r="B226" s="443">
        <v>28.8</v>
      </c>
      <c r="C226" s="277">
        <v>44516</v>
      </c>
      <c r="G226" s="38" t="s">
        <v>29</v>
      </c>
    </row>
    <row r="227" spans="1:7">
      <c r="A227" s="402" t="s">
        <v>329</v>
      </c>
      <c r="B227" s="443">
        <v>26</v>
      </c>
      <c r="C227" s="277">
        <v>44526</v>
      </c>
      <c r="G227" s="38" t="s">
        <v>29</v>
      </c>
    </row>
    <row r="228" spans="1:7">
      <c r="A228" s="402" t="s">
        <v>97</v>
      </c>
      <c r="B228" s="443">
        <v>40</v>
      </c>
      <c r="C228" s="277"/>
      <c r="G228" s="277" t="s">
        <v>29</v>
      </c>
    </row>
    <row r="229" spans="1:7">
      <c r="A229" s="402" t="s">
        <v>99</v>
      </c>
      <c r="B229" s="443"/>
      <c r="C229" s="277"/>
      <c r="G229" s="38"/>
    </row>
    <row r="234" spans="1:7">
      <c r="A234" s="644" t="s">
        <v>352</v>
      </c>
      <c r="B234" s="644"/>
      <c r="C234" s="644"/>
      <c r="G234" s="38"/>
    </row>
    <row r="235" spans="1:7">
      <c r="A235" s="400" t="s">
        <v>353</v>
      </c>
      <c r="B235" s="45">
        <v>720</v>
      </c>
      <c r="C235" s="70"/>
      <c r="G235" s="38"/>
    </row>
    <row r="236" spans="1:7">
      <c r="A236" s="400" t="s">
        <v>354</v>
      </c>
      <c r="B236" s="45">
        <v>700</v>
      </c>
      <c r="C236" s="70"/>
      <c r="G236" s="38"/>
    </row>
    <row r="237" spans="1:7">
      <c r="A237" s="400" t="s">
        <v>355</v>
      </c>
      <c r="B237" s="45"/>
      <c r="C237" s="70"/>
      <c r="G237" s="38"/>
    </row>
    <row r="238" spans="1:7">
      <c r="G238" s="38"/>
    </row>
    <row r="239" spans="1:7">
      <c r="G239" s="38"/>
    </row>
    <row r="240" spans="1:7">
      <c r="A240" s="399" t="s">
        <v>8</v>
      </c>
      <c r="B240" s="1">
        <f>88000/20020</f>
        <v>4.395604395604396</v>
      </c>
      <c r="G240" s="38"/>
    </row>
    <row r="241" spans="1:7">
      <c r="A241" s="399" t="s">
        <v>550</v>
      </c>
      <c r="B241" s="1">
        <f>26326.25/30051</f>
        <v>0.87605237762470467</v>
      </c>
      <c r="G241" s="38"/>
    </row>
    <row r="242" spans="1:7">
      <c r="A242" s="399" t="s">
        <v>551</v>
      </c>
      <c r="B242" s="1">
        <f>1450/10</f>
        <v>145</v>
      </c>
      <c r="G242" s="38"/>
    </row>
  </sheetData>
  <mergeCells count="15">
    <mergeCell ref="A234:C234"/>
    <mergeCell ref="A210:C210"/>
    <mergeCell ref="C206:C207"/>
    <mergeCell ref="C211:C215"/>
    <mergeCell ref="C217:C219"/>
    <mergeCell ref="A190:C190"/>
    <mergeCell ref="A146:C146"/>
    <mergeCell ref="A2:C2"/>
    <mergeCell ref="A116:C116"/>
    <mergeCell ref="C117:C119"/>
    <mergeCell ref="A26:C26"/>
    <mergeCell ref="A34:C34"/>
    <mergeCell ref="A37:C37"/>
    <mergeCell ref="A51:C51"/>
    <mergeCell ref="A133:C133"/>
  </mergeCells>
  <phoneticPr fontId="48" type="noConversion"/>
  <pageMargins left="3.937007874015748E-2" right="3.937007874015748E-2" top="0.19685039370078741" bottom="0" header="0.11811023622047244" footer="0.1181102362204724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workbookViewId="0">
      <selection activeCell="K2" sqref="K2:K3"/>
    </sheetView>
  </sheetViews>
  <sheetFormatPr defaultRowHeight="15"/>
  <cols>
    <col min="1" max="1" width="8.140625" customWidth="1"/>
    <col min="2" max="2" width="18.85546875" customWidth="1"/>
    <col min="3" max="3" width="25.7109375" customWidth="1"/>
    <col min="4" max="4" width="14.28515625" customWidth="1"/>
    <col min="5" max="5" width="17.85546875" customWidth="1"/>
    <col min="6" max="6" width="16" customWidth="1"/>
    <col min="7" max="7" width="18.42578125" customWidth="1"/>
    <col min="8" max="8" width="17.85546875" customWidth="1"/>
    <col min="9" max="9" width="17.5703125" customWidth="1"/>
    <col min="11" max="11" width="18.5703125" customWidth="1"/>
  </cols>
  <sheetData>
    <row r="1" spans="1:14" ht="15.75">
      <c r="A1" s="293"/>
      <c r="B1" s="294"/>
      <c r="C1" s="294"/>
      <c r="D1" s="294"/>
      <c r="E1" s="294"/>
      <c r="F1" s="294"/>
      <c r="G1" s="294"/>
      <c r="H1" s="294"/>
      <c r="I1" s="294"/>
      <c r="J1" s="294"/>
      <c r="K1" s="294" t="s">
        <v>785</v>
      </c>
    </row>
    <row r="2" spans="1:14" ht="15.75">
      <c r="A2" s="293"/>
      <c r="B2" s="294"/>
      <c r="C2" s="294"/>
      <c r="D2" s="294"/>
      <c r="E2" s="294"/>
      <c r="F2" s="294"/>
      <c r="G2" s="294"/>
      <c r="H2" s="294"/>
      <c r="I2" s="294"/>
      <c r="J2" s="294"/>
      <c r="K2" s="653"/>
    </row>
    <row r="3" spans="1:14" ht="61.5" thickBot="1">
      <c r="A3" s="293"/>
      <c r="B3" s="294"/>
      <c r="C3" s="294"/>
      <c r="D3" s="294"/>
      <c r="E3" s="295" t="s">
        <v>787</v>
      </c>
      <c r="F3" s="294"/>
      <c r="G3" s="294"/>
      <c r="H3" s="294"/>
      <c r="I3" s="294"/>
      <c r="J3" s="294"/>
      <c r="K3" s="654"/>
    </row>
    <row r="4" spans="1:14" ht="21" thickBot="1">
      <c r="A4" s="655" t="s">
        <v>788</v>
      </c>
      <c r="B4" s="656"/>
      <c r="C4" s="656"/>
      <c r="D4" s="656"/>
      <c r="E4" s="656"/>
      <c r="F4" s="656"/>
      <c r="G4" s="656"/>
      <c r="H4" s="657"/>
      <c r="I4" s="657"/>
      <c r="J4" s="657"/>
      <c r="K4" s="658"/>
    </row>
    <row r="5" spans="1:14" ht="15" customHeight="1">
      <c r="A5" s="659" t="s">
        <v>17</v>
      </c>
      <c r="B5" s="661" t="s">
        <v>789</v>
      </c>
      <c r="C5" s="661" t="s">
        <v>790</v>
      </c>
      <c r="D5" s="661" t="s">
        <v>791</v>
      </c>
      <c r="E5" s="661"/>
      <c r="F5" s="661"/>
      <c r="G5" s="661" t="s">
        <v>792</v>
      </c>
      <c r="H5" s="663" t="s">
        <v>367</v>
      </c>
      <c r="I5" s="664"/>
      <c r="J5" s="665" t="s">
        <v>793</v>
      </c>
      <c r="K5" s="667" t="s">
        <v>794</v>
      </c>
      <c r="M5" t="s">
        <v>1034</v>
      </c>
      <c r="N5" t="s">
        <v>805</v>
      </c>
    </row>
    <row r="6" spans="1:14" ht="15" customHeight="1" thickBot="1">
      <c r="A6" s="660"/>
      <c r="B6" s="662"/>
      <c r="C6" s="662"/>
      <c r="D6" s="287" t="s">
        <v>795</v>
      </c>
      <c r="E6" s="287" t="s">
        <v>796</v>
      </c>
      <c r="F6" s="287" t="s">
        <v>797</v>
      </c>
      <c r="G6" s="662"/>
      <c r="H6" s="296" t="s">
        <v>25</v>
      </c>
      <c r="I6" s="296" t="s">
        <v>798</v>
      </c>
      <c r="J6" s="666"/>
      <c r="K6" s="668"/>
      <c r="M6" s="18" t="s">
        <v>770</v>
      </c>
      <c r="N6" s="18" t="s">
        <v>813</v>
      </c>
    </row>
    <row r="7" spans="1:14" ht="15" customHeight="1" thickBot="1">
      <c r="A7" s="669" t="s">
        <v>799</v>
      </c>
      <c r="B7" s="670"/>
      <c r="C7" s="670"/>
      <c r="D7" s="670"/>
      <c r="E7" s="670"/>
      <c r="F7" s="670"/>
      <c r="G7" s="670"/>
      <c r="H7" s="670"/>
      <c r="I7" s="670"/>
      <c r="J7" s="670"/>
      <c r="K7" s="671"/>
    </row>
    <row r="8" spans="1:14" ht="15" customHeight="1">
      <c r="A8" s="297">
        <v>1</v>
      </c>
      <c r="B8" s="672" t="s">
        <v>800</v>
      </c>
      <c r="C8" s="672"/>
      <c r="D8" s="672"/>
      <c r="E8" s="672"/>
      <c r="F8" s="672"/>
      <c r="G8" s="672"/>
      <c r="H8" s="672"/>
      <c r="I8" s="672"/>
      <c r="J8" s="672"/>
      <c r="K8" s="673"/>
    </row>
    <row r="9" spans="1:14" ht="15" customHeight="1">
      <c r="A9" s="298" t="s">
        <v>801</v>
      </c>
      <c r="B9" s="651" t="s">
        <v>2</v>
      </c>
      <c r="C9" s="651"/>
      <c r="D9" s="651"/>
      <c r="E9" s="651"/>
      <c r="F9" s="651"/>
      <c r="G9" s="651"/>
      <c r="H9" s="651"/>
      <c r="I9" s="651"/>
      <c r="J9" s="651"/>
      <c r="K9" s="652"/>
    </row>
    <row r="10" spans="1:14" ht="15" customHeight="1">
      <c r="A10" s="298" t="s">
        <v>802</v>
      </c>
      <c r="B10" s="18" t="s">
        <v>803</v>
      </c>
      <c r="C10" s="18" t="s">
        <v>804</v>
      </c>
      <c r="D10" s="18" t="s">
        <v>772</v>
      </c>
      <c r="E10" s="18" t="s">
        <v>805</v>
      </c>
      <c r="F10" s="18" t="s">
        <v>806</v>
      </c>
      <c r="G10" s="18">
        <v>1</v>
      </c>
      <c r="H10" s="18">
        <v>4.5650000000000004</v>
      </c>
      <c r="I10" s="18">
        <f>H10*G10</f>
        <v>4.5650000000000004</v>
      </c>
      <c r="J10" s="18" t="s">
        <v>807</v>
      </c>
      <c r="K10" s="299"/>
    </row>
    <row r="11" spans="1:14" ht="15" customHeight="1">
      <c r="A11" s="298" t="s">
        <v>808</v>
      </c>
      <c r="B11" s="18" t="s">
        <v>809</v>
      </c>
      <c r="C11" s="18" t="s">
        <v>810</v>
      </c>
      <c r="D11" s="18" t="s">
        <v>772</v>
      </c>
      <c r="E11" s="18" t="s">
        <v>805</v>
      </c>
      <c r="F11" s="18" t="s">
        <v>806</v>
      </c>
      <c r="G11" s="18">
        <v>1</v>
      </c>
      <c r="H11" s="18">
        <v>4.5650000000000004</v>
      </c>
      <c r="I11" s="18">
        <f>H11*G11</f>
        <v>4.5650000000000004</v>
      </c>
      <c r="J11" s="18" t="s">
        <v>807</v>
      </c>
      <c r="K11" s="299"/>
    </row>
    <row r="12" spans="1:14" ht="15" customHeight="1">
      <c r="A12" s="298" t="s">
        <v>811</v>
      </c>
      <c r="B12" s="18" t="s">
        <v>812</v>
      </c>
      <c r="C12" s="18" t="s">
        <v>135</v>
      </c>
      <c r="D12" s="18" t="s">
        <v>770</v>
      </c>
      <c r="E12" s="18" t="s">
        <v>813</v>
      </c>
      <c r="F12" s="18" t="s">
        <v>814</v>
      </c>
      <c r="G12" s="18">
        <v>1</v>
      </c>
      <c r="H12" s="18">
        <v>0.46900000000000003</v>
      </c>
      <c r="I12" s="18">
        <f>H12*G12</f>
        <v>0.46900000000000003</v>
      </c>
      <c r="J12" s="18" t="s">
        <v>807</v>
      </c>
      <c r="K12" s="299"/>
    </row>
    <row r="13" spans="1:14" ht="15" customHeight="1">
      <c r="A13" s="298" t="s">
        <v>815</v>
      </c>
      <c r="B13" s="18" t="s">
        <v>816</v>
      </c>
      <c r="C13" s="18" t="s">
        <v>32</v>
      </c>
      <c r="D13" s="18" t="s">
        <v>770</v>
      </c>
      <c r="E13" s="18" t="s">
        <v>817</v>
      </c>
      <c r="F13" s="18" t="s">
        <v>814</v>
      </c>
      <c r="G13" s="18">
        <v>1</v>
      </c>
      <c r="H13" s="18">
        <v>0.32300000000000001</v>
      </c>
      <c r="I13" s="18">
        <f>H13*G13</f>
        <v>0.32300000000000001</v>
      </c>
      <c r="J13" s="18" t="s">
        <v>807</v>
      </c>
      <c r="K13" s="299"/>
    </row>
    <row r="14" spans="1:14" ht="15" customHeight="1" thickBot="1">
      <c r="A14" s="300" t="s">
        <v>818</v>
      </c>
      <c r="B14" s="287" t="s">
        <v>819</v>
      </c>
      <c r="C14" s="287" t="s">
        <v>134</v>
      </c>
      <c r="D14" s="287" t="s">
        <v>771</v>
      </c>
      <c r="E14" s="287" t="s">
        <v>820</v>
      </c>
      <c r="F14" s="287" t="s">
        <v>821</v>
      </c>
      <c r="G14" s="287">
        <v>1</v>
      </c>
      <c r="H14" s="287">
        <v>0.14599999999999999</v>
      </c>
      <c r="I14" s="287">
        <f>H14*G14</f>
        <v>0.14599999999999999</v>
      </c>
      <c r="J14" s="287" t="s">
        <v>807</v>
      </c>
      <c r="K14" s="301"/>
    </row>
    <row r="15" spans="1:14" ht="15" customHeight="1">
      <c r="A15" s="302" t="s">
        <v>822</v>
      </c>
      <c r="B15" s="674" t="s">
        <v>823</v>
      </c>
      <c r="C15" s="674"/>
      <c r="D15" s="674"/>
      <c r="E15" s="674"/>
      <c r="F15" s="674"/>
      <c r="G15" s="674"/>
      <c r="H15" s="674"/>
      <c r="I15" s="674"/>
      <c r="J15" s="674"/>
      <c r="K15" s="675"/>
    </row>
    <row r="16" spans="1:14" ht="15" customHeight="1">
      <c r="A16" s="298" t="s">
        <v>824</v>
      </c>
      <c r="B16" s="651" t="s">
        <v>2</v>
      </c>
      <c r="C16" s="651"/>
      <c r="D16" s="651"/>
      <c r="E16" s="651"/>
      <c r="F16" s="651"/>
      <c r="G16" s="651"/>
      <c r="H16" s="651"/>
      <c r="I16" s="651"/>
      <c r="J16" s="651"/>
      <c r="K16" s="652"/>
    </row>
    <row r="17" spans="1:11" ht="15" customHeight="1">
      <c r="A17" s="298" t="s">
        <v>825</v>
      </c>
      <c r="B17" s="18" t="s">
        <v>826</v>
      </c>
      <c r="C17" s="18" t="s">
        <v>827</v>
      </c>
      <c r="D17" s="18" t="s">
        <v>777</v>
      </c>
      <c r="E17" s="18" t="s">
        <v>775</v>
      </c>
      <c r="F17" s="18" t="s">
        <v>828</v>
      </c>
      <c r="G17" s="18">
        <v>1</v>
      </c>
      <c r="H17" s="18">
        <v>0.28699999999999998</v>
      </c>
      <c r="I17" s="18">
        <f>G17*H17</f>
        <v>0.28699999999999998</v>
      </c>
      <c r="J17" s="18" t="s">
        <v>807</v>
      </c>
      <c r="K17" s="299"/>
    </row>
    <row r="18" spans="1:11" ht="15" customHeight="1">
      <c r="A18" s="298" t="s">
        <v>829</v>
      </c>
      <c r="B18" s="18" t="s">
        <v>830</v>
      </c>
      <c r="C18" s="18" t="s">
        <v>5</v>
      </c>
      <c r="D18" s="18" t="s">
        <v>772</v>
      </c>
      <c r="E18" s="18" t="s">
        <v>779</v>
      </c>
      <c r="F18" s="18" t="s">
        <v>831</v>
      </c>
      <c r="G18" s="18">
        <v>1</v>
      </c>
      <c r="H18" s="18">
        <v>1.3999999999999999E-2</v>
      </c>
      <c r="I18" s="18">
        <f>G18*H18</f>
        <v>1.3999999999999999E-2</v>
      </c>
      <c r="J18" s="18" t="s">
        <v>807</v>
      </c>
      <c r="K18" s="299"/>
    </row>
    <row r="19" spans="1:11" ht="15" customHeight="1">
      <c r="A19" s="298" t="s">
        <v>832</v>
      </c>
      <c r="B19" s="18" t="s">
        <v>833</v>
      </c>
      <c r="C19" s="18" t="s">
        <v>7</v>
      </c>
      <c r="D19" s="18" t="s">
        <v>778</v>
      </c>
      <c r="E19" s="18" t="s">
        <v>776</v>
      </c>
      <c r="F19" s="18" t="s">
        <v>834</v>
      </c>
      <c r="G19" s="18">
        <v>1</v>
      </c>
      <c r="H19" s="18">
        <v>2E-3</v>
      </c>
      <c r="I19" s="18">
        <f>G19*H19</f>
        <v>2E-3</v>
      </c>
      <c r="J19" s="18" t="s">
        <v>807</v>
      </c>
      <c r="K19" s="299"/>
    </row>
    <row r="20" spans="1:11" ht="15" customHeight="1">
      <c r="A20" s="298" t="s">
        <v>835</v>
      </c>
      <c r="B20" s="18" t="s">
        <v>836</v>
      </c>
      <c r="C20" s="18" t="s">
        <v>837</v>
      </c>
      <c r="D20" s="18" t="s">
        <v>771</v>
      </c>
      <c r="E20" s="18" t="s">
        <v>820</v>
      </c>
      <c r="F20" s="18" t="s">
        <v>821</v>
      </c>
      <c r="G20" s="18">
        <v>1</v>
      </c>
      <c r="H20" s="18">
        <v>0.06</v>
      </c>
      <c r="I20" s="18">
        <f>G20*H20</f>
        <v>0.06</v>
      </c>
      <c r="J20" s="18" t="s">
        <v>807</v>
      </c>
      <c r="K20" s="299"/>
    </row>
    <row r="21" spans="1:11" ht="15" customHeight="1">
      <c r="A21" s="298" t="s">
        <v>838</v>
      </c>
      <c r="B21" s="651" t="s">
        <v>839</v>
      </c>
      <c r="C21" s="651"/>
      <c r="D21" s="651"/>
      <c r="E21" s="651"/>
      <c r="F21" s="651"/>
      <c r="G21" s="651"/>
      <c r="H21" s="651"/>
      <c r="I21" s="651"/>
      <c r="J21" s="651"/>
      <c r="K21" s="652"/>
    </row>
    <row r="22" spans="1:11" ht="15" customHeight="1" thickBot="1">
      <c r="A22" s="300" t="s">
        <v>840</v>
      </c>
      <c r="B22" s="287" t="s">
        <v>3</v>
      </c>
      <c r="C22" s="287" t="s">
        <v>780</v>
      </c>
      <c r="D22" s="287" t="s">
        <v>3</v>
      </c>
      <c r="E22" s="287" t="s">
        <v>3</v>
      </c>
      <c r="F22" s="287" t="s">
        <v>36</v>
      </c>
      <c r="G22" s="287">
        <v>2</v>
      </c>
      <c r="H22" s="287">
        <v>1</v>
      </c>
      <c r="I22" s="287">
        <f>G22*H22</f>
        <v>2</v>
      </c>
      <c r="J22" s="287" t="s">
        <v>841</v>
      </c>
      <c r="K22" s="303"/>
    </row>
    <row r="23" spans="1:11" ht="15" customHeight="1">
      <c r="A23" s="302">
        <v>3</v>
      </c>
      <c r="B23" s="674" t="s">
        <v>842</v>
      </c>
      <c r="C23" s="674"/>
      <c r="D23" s="674"/>
      <c r="E23" s="674"/>
      <c r="F23" s="674"/>
      <c r="G23" s="674"/>
      <c r="H23" s="674"/>
      <c r="I23" s="674"/>
      <c r="J23" s="674"/>
      <c r="K23" s="675"/>
    </row>
    <row r="24" spans="1:11" ht="15" customHeight="1">
      <c r="A24" s="298" t="s">
        <v>843</v>
      </c>
      <c r="B24" s="651" t="s">
        <v>2</v>
      </c>
      <c r="C24" s="651"/>
      <c r="D24" s="651"/>
      <c r="E24" s="651"/>
      <c r="F24" s="651"/>
      <c r="G24" s="651"/>
      <c r="H24" s="651"/>
      <c r="I24" s="651"/>
      <c r="J24" s="651"/>
      <c r="K24" s="652"/>
    </row>
    <row r="25" spans="1:11" ht="15" customHeight="1">
      <c r="A25" s="298" t="s">
        <v>844</v>
      </c>
      <c r="B25" s="18" t="s">
        <v>845</v>
      </c>
      <c r="C25" s="18" t="s">
        <v>846</v>
      </c>
      <c r="D25" s="18" t="s">
        <v>771</v>
      </c>
      <c r="E25" s="18" t="s">
        <v>847</v>
      </c>
      <c r="F25" s="18" t="s">
        <v>821</v>
      </c>
      <c r="G25" s="18">
        <v>2</v>
      </c>
      <c r="H25" s="18">
        <v>1.8000000000000002E-2</v>
      </c>
      <c r="I25" s="18">
        <f t="shared" ref="I25:I33" si="0">G25*H25</f>
        <v>3.6000000000000004E-2</v>
      </c>
      <c r="J25" s="18" t="s">
        <v>807</v>
      </c>
      <c r="K25" s="299"/>
    </row>
    <row r="26" spans="1:11" ht="15" customHeight="1">
      <c r="A26" s="298" t="s">
        <v>848</v>
      </c>
      <c r="B26" s="18" t="s">
        <v>849</v>
      </c>
      <c r="C26" s="18" t="s">
        <v>850</v>
      </c>
      <c r="D26" s="18" t="s">
        <v>770</v>
      </c>
      <c r="E26" s="18" t="s">
        <v>813</v>
      </c>
      <c r="F26" s="18" t="s">
        <v>814</v>
      </c>
      <c r="G26" s="18">
        <v>1</v>
      </c>
      <c r="H26" s="18">
        <v>1.1539999999999999</v>
      </c>
      <c r="I26" s="18">
        <f t="shared" si="0"/>
        <v>1.1539999999999999</v>
      </c>
      <c r="J26" s="18" t="s">
        <v>807</v>
      </c>
      <c r="K26" s="304"/>
    </row>
    <row r="27" spans="1:11" ht="15" customHeight="1">
      <c r="A27" s="298" t="s">
        <v>851</v>
      </c>
      <c r="B27" s="18" t="s">
        <v>852</v>
      </c>
      <c r="C27" s="18" t="s">
        <v>853</v>
      </c>
      <c r="D27" s="18" t="s">
        <v>770</v>
      </c>
      <c r="E27" s="18" t="s">
        <v>813</v>
      </c>
      <c r="F27" s="18" t="s">
        <v>814</v>
      </c>
      <c r="G27" s="18">
        <v>1</v>
      </c>
      <c r="H27" s="18">
        <v>0.53500000000000003</v>
      </c>
      <c r="I27" s="18">
        <f t="shared" si="0"/>
        <v>0.53500000000000003</v>
      </c>
      <c r="J27" s="18" t="s">
        <v>807</v>
      </c>
      <c r="K27" s="299"/>
    </row>
    <row r="28" spans="1:11" ht="15" customHeight="1">
      <c r="A28" s="298" t="s">
        <v>854</v>
      </c>
      <c r="B28" s="18" t="s">
        <v>855</v>
      </c>
      <c r="C28" s="18" t="s">
        <v>856</v>
      </c>
      <c r="D28" s="18" t="s">
        <v>772</v>
      </c>
      <c r="E28" s="18" t="s">
        <v>779</v>
      </c>
      <c r="F28" s="18" t="s">
        <v>831</v>
      </c>
      <c r="G28" s="18">
        <v>1</v>
      </c>
      <c r="H28" s="18">
        <v>0.18</v>
      </c>
      <c r="I28" s="18">
        <f t="shared" si="0"/>
        <v>0.18</v>
      </c>
      <c r="J28" s="18" t="s">
        <v>807</v>
      </c>
      <c r="K28" s="304"/>
    </row>
    <row r="29" spans="1:11" ht="15" customHeight="1">
      <c r="A29" s="298" t="s">
        <v>857</v>
      </c>
      <c r="B29" s="18" t="s">
        <v>858</v>
      </c>
      <c r="C29" s="18" t="s">
        <v>859</v>
      </c>
      <c r="D29" s="18" t="s">
        <v>772</v>
      </c>
      <c r="E29" s="18" t="s">
        <v>779</v>
      </c>
      <c r="F29" s="18" t="s">
        <v>831</v>
      </c>
      <c r="G29" s="18">
        <v>1</v>
      </c>
      <c r="H29" s="18">
        <v>0.18</v>
      </c>
      <c r="I29" s="18">
        <f t="shared" si="0"/>
        <v>0.18</v>
      </c>
      <c r="J29" s="18" t="s">
        <v>807</v>
      </c>
      <c r="K29" s="299"/>
    </row>
    <row r="30" spans="1:11" ht="15" customHeight="1">
      <c r="A30" s="298" t="s">
        <v>860</v>
      </c>
      <c r="B30" s="18" t="s">
        <v>861</v>
      </c>
      <c r="C30" s="18" t="s">
        <v>42</v>
      </c>
      <c r="D30" s="18" t="s">
        <v>862</v>
      </c>
      <c r="E30" s="18" t="s">
        <v>863</v>
      </c>
      <c r="F30" s="18" t="s">
        <v>43</v>
      </c>
      <c r="G30" s="18">
        <v>1</v>
      </c>
      <c r="H30" s="18">
        <v>2E-3</v>
      </c>
      <c r="I30" s="18">
        <f t="shared" si="0"/>
        <v>2E-3</v>
      </c>
      <c r="J30" s="18" t="s">
        <v>807</v>
      </c>
      <c r="K30" s="299"/>
    </row>
    <row r="31" spans="1:11" ht="15" customHeight="1">
      <c r="A31" s="298" t="s">
        <v>864</v>
      </c>
      <c r="B31" s="18" t="s">
        <v>865</v>
      </c>
      <c r="C31" s="18" t="s">
        <v>866</v>
      </c>
      <c r="D31" s="18" t="s">
        <v>867</v>
      </c>
      <c r="E31" s="18" t="s">
        <v>868</v>
      </c>
      <c r="F31" s="18" t="s">
        <v>869</v>
      </c>
      <c r="G31" s="18">
        <v>1</v>
      </c>
      <c r="H31" s="18">
        <v>0.01</v>
      </c>
      <c r="I31" s="18">
        <v>0.01</v>
      </c>
      <c r="J31" s="18" t="s">
        <v>870</v>
      </c>
      <c r="K31" s="304"/>
    </row>
    <row r="32" spans="1:11" ht="15" customHeight="1">
      <c r="A32" s="298" t="s">
        <v>871</v>
      </c>
      <c r="B32" s="18" t="s">
        <v>872</v>
      </c>
      <c r="C32" s="18" t="s">
        <v>856</v>
      </c>
      <c r="D32" s="18" t="s">
        <v>772</v>
      </c>
      <c r="E32" s="18" t="s">
        <v>779</v>
      </c>
      <c r="F32" s="18" t="s">
        <v>831</v>
      </c>
      <c r="G32" s="18">
        <v>1</v>
      </c>
      <c r="H32" s="18">
        <v>0.192</v>
      </c>
      <c r="I32" s="18">
        <f t="shared" si="0"/>
        <v>0.192</v>
      </c>
      <c r="J32" s="18" t="s">
        <v>807</v>
      </c>
      <c r="K32" s="299"/>
    </row>
    <row r="33" spans="1:11" ht="15" customHeight="1">
      <c r="A33" s="298" t="s">
        <v>873</v>
      </c>
      <c r="B33" s="18" t="s">
        <v>874</v>
      </c>
      <c r="C33" s="18" t="s">
        <v>875</v>
      </c>
      <c r="D33" s="18" t="s">
        <v>772</v>
      </c>
      <c r="E33" s="18" t="s">
        <v>779</v>
      </c>
      <c r="F33" s="18" t="s">
        <v>831</v>
      </c>
      <c r="G33" s="18">
        <v>1</v>
      </c>
      <c r="H33" s="18">
        <v>0.192</v>
      </c>
      <c r="I33" s="18">
        <f t="shared" si="0"/>
        <v>0.192</v>
      </c>
      <c r="J33" s="18" t="s">
        <v>807</v>
      </c>
      <c r="K33" s="304"/>
    </row>
    <row r="34" spans="1:11" ht="15" customHeight="1">
      <c r="A34" s="298" t="s">
        <v>876</v>
      </c>
      <c r="B34" s="651" t="s">
        <v>839</v>
      </c>
      <c r="C34" s="651"/>
      <c r="D34" s="651"/>
      <c r="E34" s="651"/>
      <c r="F34" s="651"/>
      <c r="G34" s="651"/>
      <c r="H34" s="651"/>
      <c r="I34" s="651"/>
      <c r="J34" s="651"/>
      <c r="K34" s="652"/>
    </row>
    <row r="35" spans="1:11" ht="15" customHeight="1">
      <c r="A35" s="305" t="s">
        <v>877</v>
      </c>
      <c r="B35" s="306" t="s">
        <v>3</v>
      </c>
      <c r="C35" s="245" t="s">
        <v>236</v>
      </c>
      <c r="D35" s="34" t="s">
        <v>3</v>
      </c>
      <c r="E35" s="34" t="s">
        <v>3</v>
      </c>
      <c r="F35" s="34" t="s">
        <v>53</v>
      </c>
      <c r="G35" s="34">
        <v>1</v>
      </c>
      <c r="H35" s="34">
        <v>1</v>
      </c>
      <c r="I35" s="34">
        <f>G35*H35</f>
        <v>1</v>
      </c>
      <c r="J35" s="34" t="s">
        <v>841</v>
      </c>
      <c r="K35" s="307"/>
    </row>
    <row r="36" spans="1:11" ht="15" customHeight="1">
      <c r="A36" s="305" t="s">
        <v>878</v>
      </c>
      <c r="B36" s="306" t="s">
        <v>3</v>
      </c>
      <c r="C36" s="34" t="s">
        <v>733</v>
      </c>
      <c r="D36" s="34" t="s">
        <v>3</v>
      </c>
      <c r="E36" s="34" t="s">
        <v>3</v>
      </c>
      <c r="F36" s="34" t="s">
        <v>3</v>
      </c>
      <c r="G36" s="34">
        <v>6</v>
      </c>
      <c r="H36" s="34">
        <v>1</v>
      </c>
      <c r="I36" s="34">
        <f>G36*H36</f>
        <v>6</v>
      </c>
      <c r="J36" s="34" t="s">
        <v>841</v>
      </c>
      <c r="K36" s="307"/>
    </row>
    <row r="37" spans="1:11" ht="15" customHeight="1">
      <c r="A37" s="305" t="s">
        <v>879</v>
      </c>
      <c r="B37" s="306" t="s">
        <v>3</v>
      </c>
      <c r="C37" s="34" t="s">
        <v>734</v>
      </c>
      <c r="D37" s="34" t="s">
        <v>3</v>
      </c>
      <c r="E37" s="34" t="s">
        <v>3</v>
      </c>
      <c r="F37" s="34" t="s">
        <v>74</v>
      </c>
      <c r="G37" s="34">
        <v>1</v>
      </c>
      <c r="H37" s="34">
        <v>2E-3</v>
      </c>
      <c r="I37" s="34">
        <f>G37*H37</f>
        <v>2E-3</v>
      </c>
      <c r="J37" s="34" t="s">
        <v>807</v>
      </c>
      <c r="K37" s="307"/>
    </row>
    <row r="38" spans="1:11" ht="15" customHeight="1" thickBot="1">
      <c r="A38" s="305" t="s">
        <v>880</v>
      </c>
      <c r="B38" s="306" t="s">
        <v>3</v>
      </c>
      <c r="C38" s="245" t="s">
        <v>736</v>
      </c>
      <c r="D38" s="34" t="s">
        <v>3</v>
      </c>
      <c r="E38" s="34" t="s">
        <v>3</v>
      </c>
      <c r="F38" s="34" t="s">
        <v>72</v>
      </c>
      <c r="G38" s="34">
        <v>1</v>
      </c>
      <c r="H38" s="34">
        <v>3.0000000000000001E-3</v>
      </c>
      <c r="I38" s="34">
        <f>G38*H38</f>
        <v>3.0000000000000001E-3</v>
      </c>
      <c r="J38" s="34" t="s">
        <v>807</v>
      </c>
      <c r="K38" s="307"/>
    </row>
    <row r="39" spans="1:11" ht="15" customHeight="1">
      <c r="A39" s="297" t="s">
        <v>881</v>
      </c>
      <c r="B39" s="672" t="s">
        <v>14</v>
      </c>
      <c r="C39" s="672"/>
      <c r="D39" s="672"/>
      <c r="E39" s="672"/>
      <c r="F39" s="672"/>
      <c r="G39" s="672"/>
      <c r="H39" s="672"/>
      <c r="I39" s="672"/>
      <c r="J39" s="672"/>
      <c r="K39" s="673"/>
    </row>
    <row r="40" spans="1:11" ht="15" customHeight="1">
      <c r="A40" s="298" t="s">
        <v>882</v>
      </c>
      <c r="B40" s="651" t="s">
        <v>2</v>
      </c>
      <c r="C40" s="651"/>
      <c r="D40" s="651"/>
      <c r="E40" s="651"/>
      <c r="F40" s="651"/>
      <c r="G40" s="651"/>
      <c r="H40" s="651"/>
      <c r="I40" s="651"/>
      <c r="J40" s="651"/>
      <c r="K40" s="652"/>
    </row>
    <row r="41" spans="1:11" ht="15" customHeight="1">
      <c r="A41" s="298" t="s">
        <v>883</v>
      </c>
      <c r="B41" s="18" t="s">
        <v>884</v>
      </c>
      <c r="C41" s="18" t="s">
        <v>643</v>
      </c>
      <c r="D41" s="18" t="s">
        <v>771</v>
      </c>
      <c r="E41" s="18" t="s">
        <v>773</v>
      </c>
      <c r="F41" s="18" t="s">
        <v>37</v>
      </c>
      <c r="G41" s="18">
        <v>1</v>
      </c>
      <c r="H41" s="18">
        <v>5.1000000000000004E-2</v>
      </c>
      <c r="I41" s="18">
        <f t="shared" ref="I41:I47" si="1">G41*H41</f>
        <v>5.1000000000000004E-2</v>
      </c>
      <c r="J41" s="18" t="s">
        <v>807</v>
      </c>
      <c r="K41" s="299"/>
    </row>
    <row r="42" spans="1:11" ht="15" customHeight="1">
      <c r="A42" s="298" t="s">
        <v>885</v>
      </c>
      <c r="B42" s="18" t="s">
        <v>886</v>
      </c>
      <c r="C42" s="18" t="s">
        <v>853</v>
      </c>
      <c r="D42" s="18" t="s">
        <v>771</v>
      </c>
      <c r="E42" s="18" t="s">
        <v>820</v>
      </c>
      <c r="F42" s="18" t="s">
        <v>37</v>
      </c>
      <c r="G42" s="18">
        <v>1</v>
      </c>
      <c r="H42" s="18">
        <v>7.1999999999999995E-2</v>
      </c>
      <c r="I42" s="18">
        <f t="shared" si="1"/>
        <v>7.1999999999999995E-2</v>
      </c>
      <c r="J42" s="18" t="s">
        <v>807</v>
      </c>
      <c r="K42" s="308"/>
    </row>
    <row r="43" spans="1:11" ht="15" customHeight="1">
      <c r="A43" s="298" t="s">
        <v>887</v>
      </c>
      <c r="B43" s="18" t="s">
        <v>888</v>
      </c>
      <c r="C43" s="18" t="s">
        <v>889</v>
      </c>
      <c r="D43" s="18" t="s">
        <v>770</v>
      </c>
      <c r="E43" s="18" t="s">
        <v>817</v>
      </c>
      <c r="F43" s="18" t="s">
        <v>814</v>
      </c>
      <c r="G43" s="18">
        <v>1</v>
      </c>
      <c r="H43" s="18">
        <v>0.47699999999999998</v>
      </c>
      <c r="I43" s="18">
        <f t="shared" si="1"/>
        <v>0.47699999999999998</v>
      </c>
      <c r="J43" s="18" t="s">
        <v>807</v>
      </c>
      <c r="K43" s="308"/>
    </row>
    <row r="44" spans="1:11" ht="15" customHeight="1">
      <c r="A44" s="298" t="s">
        <v>890</v>
      </c>
      <c r="B44" s="18" t="s">
        <v>891</v>
      </c>
      <c r="C44" s="18" t="s">
        <v>892</v>
      </c>
      <c r="D44" s="18" t="s">
        <v>772</v>
      </c>
      <c r="E44" s="18" t="s">
        <v>774</v>
      </c>
      <c r="F44" s="18" t="s">
        <v>806</v>
      </c>
      <c r="G44" s="18">
        <v>1</v>
      </c>
      <c r="H44" s="18">
        <v>6.2E-2</v>
      </c>
      <c r="I44" s="18">
        <f t="shared" si="1"/>
        <v>6.2E-2</v>
      </c>
      <c r="J44" s="18" t="s">
        <v>807</v>
      </c>
      <c r="K44" s="299"/>
    </row>
    <row r="45" spans="1:11" ht="15" customHeight="1">
      <c r="A45" s="298" t="s">
        <v>893</v>
      </c>
      <c r="B45" s="18" t="s">
        <v>894</v>
      </c>
      <c r="C45" s="18" t="s">
        <v>11</v>
      </c>
      <c r="D45" s="18" t="s">
        <v>867</v>
      </c>
      <c r="E45" s="18" t="s">
        <v>868</v>
      </c>
      <c r="F45" s="18" t="s">
        <v>869</v>
      </c>
      <c r="G45" s="18">
        <v>1</v>
      </c>
      <c r="H45" s="18">
        <v>4.0000000000000001E-3</v>
      </c>
      <c r="I45" s="18">
        <f t="shared" si="1"/>
        <v>4.0000000000000001E-3</v>
      </c>
      <c r="J45" s="18" t="s">
        <v>870</v>
      </c>
      <c r="K45" s="308"/>
    </row>
    <row r="46" spans="1:11" ht="15" customHeight="1">
      <c r="A46" s="298" t="s">
        <v>895</v>
      </c>
      <c r="B46" s="18" t="s">
        <v>896</v>
      </c>
      <c r="C46" s="18" t="s">
        <v>897</v>
      </c>
      <c r="D46" s="18" t="s">
        <v>772</v>
      </c>
      <c r="E46" s="18" t="s">
        <v>779</v>
      </c>
      <c r="F46" s="18" t="s">
        <v>831</v>
      </c>
      <c r="G46" s="18">
        <v>1</v>
      </c>
      <c r="H46" s="18">
        <v>6.3E-2</v>
      </c>
      <c r="I46" s="18">
        <f t="shared" si="1"/>
        <v>6.3E-2</v>
      </c>
      <c r="J46" s="18" t="s">
        <v>807</v>
      </c>
      <c r="K46" s="308"/>
    </row>
    <row r="47" spans="1:11" ht="15" customHeight="1" thickBot="1">
      <c r="A47" s="298" t="s">
        <v>898</v>
      </c>
      <c r="B47" s="18" t="s">
        <v>899</v>
      </c>
      <c r="C47" s="18" t="s">
        <v>136</v>
      </c>
      <c r="D47" s="18" t="s">
        <v>772</v>
      </c>
      <c r="E47" s="18" t="s">
        <v>779</v>
      </c>
      <c r="F47" s="18" t="s">
        <v>831</v>
      </c>
      <c r="G47" s="18">
        <v>1</v>
      </c>
      <c r="H47" s="18">
        <v>6.3E-2</v>
      </c>
      <c r="I47" s="18">
        <f t="shared" si="1"/>
        <v>6.3E-2</v>
      </c>
      <c r="J47" s="18" t="s">
        <v>807</v>
      </c>
      <c r="K47" s="308"/>
    </row>
    <row r="48" spans="1:11" ht="15" customHeight="1" thickBot="1">
      <c r="A48" s="679" t="s">
        <v>2</v>
      </c>
      <c r="B48" s="680"/>
      <c r="C48" s="680"/>
      <c r="D48" s="680"/>
      <c r="E48" s="680"/>
      <c r="F48" s="680"/>
      <c r="G48" s="680"/>
      <c r="H48" s="680"/>
      <c r="I48" s="680"/>
      <c r="J48" s="680"/>
      <c r="K48" s="681"/>
    </row>
    <row r="49" spans="1:11" ht="15" customHeight="1">
      <c r="A49" s="297" t="s">
        <v>900</v>
      </c>
      <c r="B49" s="309" t="s">
        <v>901</v>
      </c>
      <c r="C49" s="309" t="s">
        <v>138</v>
      </c>
      <c r="D49" s="309" t="s">
        <v>772</v>
      </c>
      <c r="E49" s="309" t="s">
        <v>779</v>
      </c>
      <c r="F49" s="309" t="s">
        <v>831</v>
      </c>
      <c r="G49" s="309">
        <v>1</v>
      </c>
      <c r="H49" s="309">
        <v>7.5999999999999998E-2</v>
      </c>
      <c r="I49" s="309">
        <f>G49*H49</f>
        <v>7.5999999999999998E-2</v>
      </c>
      <c r="J49" s="309" t="s">
        <v>807</v>
      </c>
      <c r="K49" s="310"/>
    </row>
    <row r="50" spans="1:11" ht="15" customHeight="1">
      <c r="A50" s="305" t="s">
        <v>902</v>
      </c>
      <c r="B50" s="314" t="s">
        <v>903</v>
      </c>
      <c r="C50" s="314" t="s">
        <v>110</v>
      </c>
      <c r="D50" s="34" t="s">
        <v>904</v>
      </c>
      <c r="E50" s="34" t="s">
        <v>139</v>
      </c>
      <c r="F50" s="34" t="s">
        <v>906</v>
      </c>
      <c r="G50" s="34">
        <v>1</v>
      </c>
      <c r="H50" s="34">
        <v>2.5000000000000001E-3</v>
      </c>
      <c r="I50" s="34">
        <f>G50*H50</f>
        <v>2.5000000000000001E-3</v>
      </c>
      <c r="J50" s="34" t="s">
        <v>870</v>
      </c>
      <c r="K50" s="315"/>
    </row>
    <row r="51" spans="1:11" ht="15" customHeight="1">
      <c r="A51" s="316" t="s">
        <v>907</v>
      </c>
      <c r="B51" s="18" t="s">
        <v>908</v>
      </c>
      <c r="C51" s="18" t="s">
        <v>909</v>
      </c>
      <c r="D51" s="18" t="s">
        <v>910</v>
      </c>
      <c r="E51" s="18" t="s">
        <v>911</v>
      </c>
      <c r="F51" s="18" t="s">
        <v>47</v>
      </c>
      <c r="G51" s="18">
        <v>1</v>
      </c>
      <c r="H51" s="18">
        <v>1.2999999999999999E-2</v>
      </c>
      <c r="I51" s="18">
        <f>G51*H51</f>
        <v>1.2999999999999999E-2</v>
      </c>
      <c r="J51" s="34" t="s">
        <v>807</v>
      </c>
      <c r="K51" s="299"/>
    </row>
    <row r="52" spans="1:11" ht="15" customHeight="1" thickBot="1">
      <c r="A52" s="317" t="s">
        <v>912</v>
      </c>
      <c r="B52" s="287" t="s">
        <v>1027</v>
      </c>
      <c r="C52" s="287" t="s">
        <v>1028</v>
      </c>
      <c r="D52" s="287" t="s">
        <v>772</v>
      </c>
      <c r="E52" s="287" t="s">
        <v>1031</v>
      </c>
      <c r="F52" s="287" t="s">
        <v>1029</v>
      </c>
      <c r="G52" s="287">
        <v>1</v>
      </c>
      <c r="H52" s="287">
        <v>0.01</v>
      </c>
      <c r="I52" s="287">
        <v>0.01</v>
      </c>
      <c r="J52" s="34" t="s">
        <v>1030</v>
      </c>
      <c r="K52" s="299"/>
    </row>
    <row r="53" spans="1:11" ht="15" customHeight="1" thickBot="1">
      <c r="A53" s="676" t="s">
        <v>56</v>
      </c>
      <c r="B53" s="677"/>
      <c r="C53" s="677"/>
      <c r="D53" s="677"/>
      <c r="E53" s="677"/>
      <c r="F53" s="677"/>
      <c r="G53" s="677"/>
      <c r="H53" s="677"/>
      <c r="I53" s="677"/>
      <c r="J53" s="677"/>
      <c r="K53" s="678"/>
    </row>
    <row r="54" spans="1:11" ht="15" customHeight="1">
      <c r="A54" s="297" t="s">
        <v>912</v>
      </c>
      <c r="B54" s="309" t="s">
        <v>3</v>
      </c>
      <c r="C54" s="309" t="s">
        <v>484</v>
      </c>
      <c r="D54" s="309" t="s">
        <v>3</v>
      </c>
      <c r="E54" s="309" t="s">
        <v>3</v>
      </c>
      <c r="F54" s="309" t="s">
        <v>3</v>
      </c>
      <c r="G54" s="311">
        <v>1</v>
      </c>
      <c r="H54" s="309">
        <v>2.4E-2</v>
      </c>
      <c r="I54" s="309">
        <f>G54*H54</f>
        <v>2.4E-2</v>
      </c>
      <c r="J54" s="309" t="s">
        <v>841</v>
      </c>
      <c r="K54" s="310"/>
    </row>
    <row r="55" spans="1:11" ht="15" customHeight="1">
      <c r="A55" s="298" t="s">
        <v>913</v>
      </c>
      <c r="B55" s="18" t="s">
        <v>3</v>
      </c>
      <c r="C55" s="18" t="s">
        <v>738</v>
      </c>
      <c r="D55" s="18" t="s">
        <v>3</v>
      </c>
      <c r="E55" s="18" t="s">
        <v>62</v>
      </c>
      <c r="F55" s="18" t="s">
        <v>63</v>
      </c>
      <c r="G55" s="245">
        <v>1</v>
      </c>
      <c r="H55" s="245">
        <v>1</v>
      </c>
      <c r="I55" s="18">
        <f t="shared" ref="I55:I106" si="2">G55*H55</f>
        <v>1</v>
      </c>
      <c r="J55" s="18" t="s">
        <v>841</v>
      </c>
      <c r="K55" s="299"/>
    </row>
    <row r="56" spans="1:11" ht="15" customHeight="1">
      <c r="A56" s="298" t="s">
        <v>914</v>
      </c>
      <c r="B56" s="18" t="s">
        <v>3</v>
      </c>
      <c r="C56" s="18" t="s">
        <v>915</v>
      </c>
      <c r="D56" s="18" t="s">
        <v>3</v>
      </c>
      <c r="E56" s="18" t="s">
        <v>62</v>
      </c>
      <c r="F56" s="18" t="s">
        <v>63</v>
      </c>
      <c r="G56" s="245">
        <v>2</v>
      </c>
      <c r="H56" s="245">
        <v>1</v>
      </c>
      <c r="I56" s="18">
        <f t="shared" si="2"/>
        <v>2</v>
      </c>
      <c r="J56" s="18" t="s">
        <v>841</v>
      </c>
      <c r="K56" s="299"/>
    </row>
    <row r="57" spans="1:11" ht="15" customHeight="1">
      <c r="A57" s="298" t="s">
        <v>916</v>
      </c>
      <c r="B57" s="18"/>
      <c r="C57" s="18" t="s">
        <v>917</v>
      </c>
      <c r="D57" s="18" t="s">
        <v>3</v>
      </c>
      <c r="E57" s="18" t="s">
        <v>62</v>
      </c>
      <c r="F57" s="18" t="s">
        <v>63</v>
      </c>
      <c r="G57" s="245">
        <v>1</v>
      </c>
      <c r="H57" s="245">
        <v>4.8000000000000001E-2</v>
      </c>
      <c r="I57" s="18">
        <f t="shared" si="2"/>
        <v>4.8000000000000001E-2</v>
      </c>
      <c r="J57" s="18" t="s">
        <v>870</v>
      </c>
      <c r="K57" s="299"/>
    </row>
    <row r="58" spans="1:11" ht="15" customHeight="1">
      <c r="A58" s="298" t="s">
        <v>918</v>
      </c>
      <c r="B58" s="18" t="s">
        <v>3</v>
      </c>
      <c r="C58" s="18" t="s">
        <v>919</v>
      </c>
      <c r="D58" s="18" t="s">
        <v>3</v>
      </c>
      <c r="E58" s="18" t="s">
        <v>3</v>
      </c>
      <c r="F58" s="18" t="s">
        <v>3</v>
      </c>
      <c r="G58" s="18">
        <v>1</v>
      </c>
      <c r="H58" s="18">
        <v>1</v>
      </c>
      <c r="I58" s="18">
        <f t="shared" si="2"/>
        <v>1</v>
      </c>
      <c r="J58" s="18" t="s">
        <v>841</v>
      </c>
      <c r="K58" s="299"/>
    </row>
    <row r="59" spans="1:11" ht="15" customHeight="1">
      <c r="A59" s="298" t="s">
        <v>920</v>
      </c>
      <c r="B59" s="18" t="s">
        <v>3</v>
      </c>
      <c r="C59" s="18" t="s">
        <v>921</v>
      </c>
      <c r="D59" s="18" t="s">
        <v>3</v>
      </c>
      <c r="E59" s="18" t="s">
        <v>3</v>
      </c>
      <c r="F59" s="18" t="s">
        <v>3</v>
      </c>
      <c r="G59" s="18">
        <v>1</v>
      </c>
      <c r="H59" s="18">
        <v>1</v>
      </c>
      <c r="I59" s="18">
        <f t="shared" si="2"/>
        <v>1</v>
      </c>
      <c r="J59" s="18" t="s">
        <v>841</v>
      </c>
      <c r="K59" s="299"/>
    </row>
    <row r="60" spans="1:11" ht="15" customHeight="1">
      <c r="A60" s="298" t="s">
        <v>922</v>
      </c>
      <c r="B60" s="18" t="s">
        <v>3</v>
      </c>
      <c r="C60" s="245" t="s">
        <v>923</v>
      </c>
      <c r="D60" s="18" t="s">
        <v>3</v>
      </c>
      <c r="E60" s="18" t="s">
        <v>3</v>
      </c>
      <c r="F60" s="18" t="s">
        <v>3</v>
      </c>
      <c r="G60" s="18">
        <v>1</v>
      </c>
      <c r="H60" s="18">
        <v>1</v>
      </c>
      <c r="I60" s="18">
        <f t="shared" si="2"/>
        <v>1</v>
      </c>
      <c r="J60" s="18" t="s">
        <v>841</v>
      </c>
      <c r="K60" s="299"/>
    </row>
    <row r="61" spans="1:11" ht="15" customHeight="1">
      <c r="A61" s="298" t="s">
        <v>924</v>
      </c>
      <c r="B61" s="18" t="s">
        <v>3</v>
      </c>
      <c r="C61" s="245" t="s">
        <v>925</v>
      </c>
      <c r="D61" s="18" t="s">
        <v>3</v>
      </c>
      <c r="E61" s="18" t="s">
        <v>3</v>
      </c>
      <c r="F61" s="18" t="s">
        <v>3</v>
      </c>
      <c r="G61" s="18">
        <v>3</v>
      </c>
      <c r="H61" s="18">
        <v>1</v>
      </c>
      <c r="I61" s="18">
        <f t="shared" si="2"/>
        <v>3</v>
      </c>
      <c r="J61" s="18" t="s">
        <v>841</v>
      </c>
      <c r="K61" s="299"/>
    </row>
    <row r="62" spans="1:11" ht="15" customHeight="1">
      <c r="A62" s="298" t="s">
        <v>926</v>
      </c>
      <c r="B62" s="18" t="s">
        <v>3</v>
      </c>
      <c r="C62" s="245" t="s">
        <v>57</v>
      </c>
      <c r="D62" s="18" t="s">
        <v>3</v>
      </c>
      <c r="E62" s="18" t="s">
        <v>3</v>
      </c>
      <c r="F62" s="18" t="s">
        <v>3</v>
      </c>
      <c r="G62" s="18">
        <v>1</v>
      </c>
      <c r="H62" s="18">
        <v>1</v>
      </c>
      <c r="I62" s="18">
        <f t="shared" si="2"/>
        <v>1</v>
      </c>
      <c r="J62" s="18" t="s">
        <v>841</v>
      </c>
      <c r="K62" s="299"/>
    </row>
    <row r="63" spans="1:11" ht="15" customHeight="1">
      <c r="A63" s="298" t="s">
        <v>927</v>
      </c>
      <c r="B63" s="18" t="s">
        <v>3</v>
      </c>
      <c r="C63" s="245" t="s">
        <v>239</v>
      </c>
      <c r="D63" s="18" t="s">
        <v>3</v>
      </c>
      <c r="E63" s="18" t="s">
        <v>140</v>
      </c>
      <c r="F63" s="18" t="s">
        <v>141</v>
      </c>
      <c r="G63" s="18">
        <v>1</v>
      </c>
      <c r="H63" s="18">
        <v>1</v>
      </c>
      <c r="I63" s="18">
        <f t="shared" si="2"/>
        <v>1</v>
      </c>
      <c r="J63" s="18" t="s">
        <v>841</v>
      </c>
      <c r="K63" s="299"/>
    </row>
    <row r="64" spans="1:11" ht="15" customHeight="1">
      <c r="A64" s="298" t="s">
        <v>928</v>
      </c>
      <c r="B64" s="18" t="s">
        <v>3</v>
      </c>
      <c r="C64" s="245" t="s">
        <v>142</v>
      </c>
      <c r="D64" s="18" t="s">
        <v>3</v>
      </c>
      <c r="E64" s="18" t="s">
        <v>735</v>
      </c>
      <c r="F64" s="18" t="s">
        <v>3</v>
      </c>
      <c r="G64" s="18">
        <v>1</v>
      </c>
      <c r="H64" s="18">
        <v>0.5</v>
      </c>
      <c r="I64" s="18">
        <f t="shared" si="2"/>
        <v>0.5</v>
      </c>
      <c r="J64" s="18" t="s">
        <v>841</v>
      </c>
      <c r="K64" s="299"/>
    </row>
    <row r="65" spans="1:11" ht="15" customHeight="1">
      <c r="A65" s="298" t="s">
        <v>929</v>
      </c>
      <c r="B65" s="18" t="s">
        <v>3</v>
      </c>
      <c r="C65" s="245" t="s">
        <v>930</v>
      </c>
      <c r="D65" s="18" t="s">
        <v>3</v>
      </c>
      <c r="E65" s="18" t="s">
        <v>485</v>
      </c>
      <c r="F65" s="18" t="s">
        <v>3</v>
      </c>
      <c r="G65" s="18">
        <v>2</v>
      </c>
      <c r="H65" s="18">
        <v>1E-3</v>
      </c>
      <c r="I65" s="18">
        <v>1E-3</v>
      </c>
      <c r="J65" s="18" t="s">
        <v>807</v>
      </c>
      <c r="K65" s="299"/>
    </row>
    <row r="66" spans="1:11" ht="15" customHeight="1">
      <c r="A66" s="298" t="s">
        <v>931</v>
      </c>
      <c r="B66" s="18" t="s">
        <v>3</v>
      </c>
      <c r="C66" s="245" t="s">
        <v>157</v>
      </c>
      <c r="D66" s="18" t="s">
        <v>3</v>
      </c>
      <c r="E66" s="18" t="s">
        <v>3</v>
      </c>
      <c r="F66" s="18" t="s">
        <v>158</v>
      </c>
      <c r="G66" s="18">
        <v>1</v>
      </c>
      <c r="H66" s="18">
        <v>5.2</v>
      </c>
      <c r="I66" s="18">
        <f t="shared" si="2"/>
        <v>5.2</v>
      </c>
      <c r="J66" s="18" t="s">
        <v>807</v>
      </c>
      <c r="K66" s="299"/>
    </row>
    <row r="67" spans="1:11" ht="15" customHeight="1">
      <c r="A67" s="298" t="s">
        <v>932</v>
      </c>
      <c r="B67" s="18" t="s">
        <v>3</v>
      </c>
      <c r="C67" s="245" t="s">
        <v>159</v>
      </c>
      <c r="D67" s="18" t="s">
        <v>3</v>
      </c>
      <c r="E67" s="18" t="s">
        <v>3</v>
      </c>
      <c r="F67" s="18" t="s">
        <v>160</v>
      </c>
      <c r="G67" s="18">
        <v>1</v>
      </c>
      <c r="H67" s="18">
        <v>1</v>
      </c>
      <c r="I67" s="18">
        <f t="shared" si="2"/>
        <v>1</v>
      </c>
      <c r="J67" s="18" t="s">
        <v>841</v>
      </c>
      <c r="K67" s="299"/>
    </row>
    <row r="68" spans="1:11" ht="15" customHeight="1">
      <c r="A68" s="298" t="s">
        <v>933</v>
      </c>
      <c r="B68" s="18" t="s">
        <v>3</v>
      </c>
      <c r="C68" s="245" t="s">
        <v>487</v>
      </c>
      <c r="D68" s="18" t="s">
        <v>3</v>
      </c>
      <c r="E68" s="18" t="s">
        <v>3</v>
      </c>
      <c r="F68" s="18" t="s">
        <v>3</v>
      </c>
      <c r="G68" s="18">
        <v>1</v>
      </c>
      <c r="H68" s="18">
        <v>0.14000000000000001</v>
      </c>
      <c r="I68" s="18">
        <f t="shared" si="2"/>
        <v>0.14000000000000001</v>
      </c>
      <c r="J68" s="18" t="s">
        <v>807</v>
      </c>
      <c r="K68" s="299"/>
    </row>
    <row r="69" spans="1:11" ht="15" customHeight="1">
      <c r="A69" s="298" t="s">
        <v>934</v>
      </c>
      <c r="B69" s="18" t="s">
        <v>3</v>
      </c>
      <c r="C69" s="245" t="s">
        <v>144</v>
      </c>
      <c r="D69" s="18" t="s">
        <v>3</v>
      </c>
      <c r="E69" s="18" t="s">
        <v>3</v>
      </c>
      <c r="F69" s="18" t="s">
        <v>145</v>
      </c>
      <c r="G69" s="18">
        <v>1</v>
      </c>
      <c r="H69" s="18">
        <v>0.16</v>
      </c>
      <c r="I69" s="18">
        <f t="shared" si="2"/>
        <v>0.16</v>
      </c>
      <c r="J69" s="18" t="s">
        <v>935</v>
      </c>
      <c r="K69" s="299"/>
    </row>
    <row r="70" spans="1:11" ht="15" customHeight="1">
      <c r="A70" s="298" t="s">
        <v>936</v>
      </c>
      <c r="B70" s="18" t="s">
        <v>3</v>
      </c>
      <c r="C70" s="245" t="s">
        <v>937</v>
      </c>
      <c r="D70" s="18" t="s">
        <v>3</v>
      </c>
      <c r="E70" s="18" t="s">
        <v>3</v>
      </c>
      <c r="F70" s="18" t="s">
        <v>148</v>
      </c>
      <c r="G70" s="18">
        <v>1</v>
      </c>
      <c r="H70" s="18">
        <v>0.01</v>
      </c>
      <c r="I70" s="18">
        <f t="shared" si="2"/>
        <v>0.01</v>
      </c>
      <c r="J70" s="245" t="s">
        <v>938</v>
      </c>
      <c r="K70" s="299"/>
    </row>
    <row r="71" spans="1:11" ht="15" customHeight="1">
      <c r="A71" s="298" t="s">
        <v>939</v>
      </c>
      <c r="B71" s="18" t="s">
        <v>3</v>
      </c>
      <c r="C71" s="245" t="s">
        <v>71</v>
      </c>
      <c r="D71" s="18" t="s">
        <v>3</v>
      </c>
      <c r="E71" s="18" t="s">
        <v>3</v>
      </c>
      <c r="F71" s="18" t="s">
        <v>72</v>
      </c>
      <c r="G71" s="18">
        <v>1</v>
      </c>
      <c r="H71" s="18">
        <v>0.14799999999999999</v>
      </c>
      <c r="I71" s="18">
        <f t="shared" si="2"/>
        <v>0.14799999999999999</v>
      </c>
      <c r="J71" s="245" t="s">
        <v>841</v>
      </c>
      <c r="K71" s="299"/>
    </row>
    <row r="72" spans="1:11" ht="15" customHeight="1">
      <c r="A72" s="298" t="s">
        <v>940</v>
      </c>
      <c r="B72" s="18" t="s">
        <v>3</v>
      </c>
      <c r="C72" s="245" t="s">
        <v>75</v>
      </c>
      <c r="D72" s="18" t="s">
        <v>3</v>
      </c>
      <c r="E72" s="18" t="s">
        <v>3</v>
      </c>
      <c r="F72" s="18" t="s">
        <v>76</v>
      </c>
      <c r="G72" s="18">
        <v>1</v>
      </c>
      <c r="H72" s="18">
        <v>0.33</v>
      </c>
      <c r="I72" s="18">
        <f t="shared" si="2"/>
        <v>0.33</v>
      </c>
      <c r="J72" s="245" t="s">
        <v>807</v>
      </c>
      <c r="K72" s="299"/>
    </row>
    <row r="73" spans="1:11" ht="15" customHeight="1">
      <c r="A73" s="298" t="s">
        <v>941</v>
      </c>
      <c r="B73" s="18" t="s">
        <v>3</v>
      </c>
      <c r="C73" s="245" t="s">
        <v>77</v>
      </c>
      <c r="D73" s="18" t="s">
        <v>3</v>
      </c>
      <c r="E73" s="18" t="s">
        <v>3</v>
      </c>
      <c r="F73" s="18" t="s">
        <v>78</v>
      </c>
      <c r="G73" s="18">
        <v>1</v>
      </c>
      <c r="H73" s="18">
        <v>0.01</v>
      </c>
      <c r="I73" s="18">
        <f t="shared" si="2"/>
        <v>0.01</v>
      </c>
      <c r="J73" s="245" t="s">
        <v>841</v>
      </c>
      <c r="K73" s="299"/>
    </row>
    <row r="74" spans="1:11" ht="15" customHeight="1">
      <c r="A74" s="298" t="s">
        <v>942</v>
      </c>
      <c r="B74" s="18" t="s">
        <v>3</v>
      </c>
      <c r="C74" s="245" t="s">
        <v>81</v>
      </c>
      <c r="D74" s="18" t="s">
        <v>3</v>
      </c>
      <c r="E74" s="18" t="s">
        <v>3</v>
      </c>
      <c r="F74" s="18" t="s">
        <v>82</v>
      </c>
      <c r="G74" s="18">
        <v>1</v>
      </c>
      <c r="H74" s="18">
        <v>6.0000000000000001E-3</v>
      </c>
      <c r="I74" s="18">
        <f t="shared" si="2"/>
        <v>6.0000000000000001E-3</v>
      </c>
      <c r="J74" s="245" t="s">
        <v>807</v>
      </c>
      <c r="K74" s="299"/>
    </row>
    <row r="75" spans="1:11" ht="15" customHeight="1">
      <c r="A75" s="298" t="s">
        <v>943</v>
      </c>
      <c r="B75" s="18" t="s">
        <v>3</v>
      </c>
      <c r="C75" s="18" t="s">
        <v>132</v>
      </c>
      <c r="D75" s="18" t="s">
        <v>3</v>
      </c>
      <c r="E75" s="18" t="s">
        <v>3</v>
      </c>
      <c r="F75" s="18" t="s">
        <v>86</v>
      </c>
      <c r="G75" s="18">
        <v>1</v>
      </c>
      <c r="H75" s="18">
        <v>5.0000000000000001E-3</v>
      </c>
      <c r="I75" s="18">
        <f t="shared" si="2"/>
        <v>5.0000000000000001E-3</v>
      </c>
      <c r="J75" s="245" t="s">
        <v>807</v>
      </c>
      <c r="K75" s="299"/>
    </row>
    <row r="76" spans="1:11" ht="15" customHeight="1">
      <c r="A76" s="298" t="s">
        <v>944</v>
      </c>
      <c r="B76" s="18" t="s">
        <v>3</v>
      </c>
      <c r="C76" s="245" t="s">
        <v>448</v>
      </c>
      <c r="D76" s="18" t="s">
        <v>3</v>
      </c>
      <c r="E76" s="18" t="s">
        <v>3</v>
      </c>
      <c r="F76" s="18" t="s">
        <v>90</v>
      </c>
      <c r="G76" s="18">
        <v>1</v>
      </c>
      <c r="H76" s="18">
        <v>0.02</v>
      </c>
      <c r="I76" s="18">
        <f t="shared" si="2"/>
        <v>0.02</v>
      </c>
      <c r="J76" s="245" t="s">
        <v>807</v>
      </c>
      <c r="K76" s="299"/>
    </row>
    <row r="77" spans="1:11" ht="15" customHeight="1">
      <c r="A77" s="298" t="s">
        <v>945</v>
      </c>
      <c r="B77" s="18" t="s">
        <v>3</v>
      </c>
      <c r="C77" s="18" t="s">
        <v>309</v>
      </c>
      <c r="D77" s="18" t="s">
        <v>3</v>
      </c>
      <c r="E77" s="18" t="s">
        <v>3</v>
      </c>
      <c r="F77" s="18" t="s">
        <v>3</v>
      </c>
      <c r="G77" s="18">
        <v>1</v>
      </c>
      <c r="H77" s="18">
        <v>2.4000000000000002E-3</v>
      </c>
      <c r="I77" s="18">
        <f t="shared" si="2"/>
        <v>2.4000000000000002E-3</v>
      </c>
      <c r="J77" s="18" t="s">
        <v>807</v>
      </c>
      <c r="K77" s="299"/>
    </row>
    <row r="78" spans="1:11" ht="15" customHeight="1">
      <c r="A78" s="298" t="s">
        <v>946</v>
      </c>
      <c r="B78" s="18" t="s">
        <v>3</v>
      </c>
      <c r="C78" s="245" t="s">
        <v>947</v>
      </c>
      <c r="D78" s="18" t="s">
        <v>3</v>
      </c>
      <c r="E78" s="18" t="s">
        <v>3</v>
      </c>
      <c r="F78" s="18" t="s">
        <v>84</v>
      </c>
      <c r="G78" s="18">
        <v>1</v>
      </c>
      <c r="H78" s="18">
        <v>4.4000000000000003E-3</v>
      </c>
      <c r="I78" s="18">
        <f t="shared" si="2"/>
        <v>4.4000000000000003E-3</v>
      </c>
      <c r="J78" s="245" t="s">
        <v>841</v>
      </c>
      <c r="K78" s="299"/>
    </row>
    <row r="79" spans="1:11" ht="15" customHeight="1">
      <c r="A79" s="298" t="s">
        <v>948</v>
      </c>
      <c r="B79" s="18" t="s">
        <v>3</v>
      </c>
      <c r="C79" s="245" t="s">
        <v>949</v>
      </c>
      <c r="D79" s="18" t="s">
        <v>3</v>
      </c>
      <c r="E79" s="18" t="s">
        <v>3</v>
      </c>
      <c r="F79" s="18" t="s">
        <v>84</v>
      </c>
      <c r="G79" s="18">
        <v>1</v>
      </c>
      <c r="H79" s="18">
        <v>2.8E-3</v>
      </c>
      <c r="I79" s="18">
        <f t="shared" si="2"/>
        <v>2.8E-3</v>
      </c>
      <c r="J79" s="245" t="s">
        <v>841</v>
      </c>
      <c r="K79" s="299"/>
    </row>
    <row r="80" spans="1:11" ht="15" customHeight="1">
      <c r="A80" s="298" t="s">
        <v>950</v>
      </c>
      <c r="B80" s="18" t="s">
        <v>3</v>
      </c>
      <c r="C80" s="245" t="s">
        <v>750</v>
      </c>
      <c r="D80" s="18" t="s">
        <v>3</v>
      </c>
      <c r="E80" s="18" t="s">
        <v>3</v>
      </c>
      <c r="F80" s="18" t="s">
        <v>92</v>
      </c>
      <c r="G80" s="18">
        <v>1</v>
      </c>
      <c r="H80" s="18">
        <v>2E-3</v>
      </c>
      <c r="I80" s="18">
        <f t="shared" si="2"/>
        <v>2E-3</v>
      </c>
      <c r="J80" s="236" t="s">
        <v>139</v>
      </c>
      <c r="K80" s="299"/>
    </row>
    <row r="81" spans="1:11" ht="15" customHeight="1">
      <c r="A81" s="298" t="s">
        <v>951</v>
      </c>
      <c r="B81" s="18" t="s">
        <v>3</v>
      </c>
      <c r="C81" s="245" t="s">
        <v>952</v>
      </c>
      <c r="D81" s="18" t="s">
        <v>3</v>
      </c>
      <c r="E81" s="18" t="s">
        <v>3</v>
      </c>
      <c r="F81" s="18" t="s">
        <v>92</v>
      </c>
      <c r="G81" s="18">
        <v>1</v>
      </c>
      <c r="H81" s="18">
        <v>0.13</v>
      </c>
      <c r="I81" s="18">
        <f t="shared" si="2"/>
        <v>0.13</v>
      </c>
      <c r="J81" s="236" t="s">
        <v>106</v>
      </c>
      <c r="K81" s="299"/>
    </row>
    <row r="82" spans="1:11" ht="15" customHeight="1">
      <c r="A82" s="298" t="s">
        <v>953</v>
      </c>
      <c r="B82" s="18" t="s">
        <v>3</v>
      </c>
      <c r="C82" s="245" t="s">
        <v>94</v>
      </c>
      <c r="D82" s="18" t="s">
        <v>3</v>
      </c>
      <c r="E82" s="18" t="s">
        <v>3</v>
      </c>
      <c r="F82" s="18" t="s">
        <v>95</v>
      </c>
      <c r="G82" s="18">
        <v>1</v>
      </c>
      <c r="H82" s="18">
        <v>0.02</v>
      </c>
      <c r="I82" s="18">
        <f t="shared" si="2"/>
        <v>0.02</v>
      </c>
      <c r="J82" s="245" t="s">
        <v>139</v>
      </c>
      <c r="K82" s="299"/>
    </row>
    <row r="83" spans="1:11" ht="15" customHeight="1">
      <c r="A83" s="298" t="s">
        <v>954</v>
      </c>
      <c r="B83" s="18" t="s">
        <v>3</v>
      </c>
      <c r="C83" s="245" t="s">
        <v>97</v>
      </c>
      <c r="D83" s="18" t="s">
        <v>3</v>
      </c>
      <c r="E83" s="18" t="s">
        <v>3</v>
      </c>
      <c r="F83" s="18" t="s">
        <v>98</v>
      </c>
      <c r="G83" s="18">
        <v>1</v>
      </c>
      <c r="H83" s="18">
        <v>4.0000000000000001E-3</v>
      </c>
      <c r="I83" s="18">
        <f t="shared" si="2"/>
        <v>4.0000000000000001E-3</v>
      </c>
      <c r="J83" s="245" t="s">
        <v>841</v>
      </c>
      <c r="K83" s="299"/>
    </row>
    <row r="84" spans="1:11" ht="15" customHeight="1">
      <c r="A84" s="298" t="s">
        <v>955</v>
      </c>
      <c r="B84" s="18" t="s">
        <v>3</v>
      </c>
      <c r="C84" s="245" t="s">
        <v>99</v>
      </c>
      <c r="D84" s="18" t="s">
        <v>3</v>
      </c>
      <c r="E84" s="18" t="s">
        <v>3</v>
      </c>
      <c r="F84" s="18" t="s">
        <v>100</v>
      </c>
      <c r="G84" s="18">
        <v>1</v>
      </c>
      <c r="H84" s="18">
        <v>1E-3</v>
      </c>
      <c r="I84" s="18">
        <f t="shared" si="2"/>
        <v>1E-3</v>
      </c>
      <c r="J84" s="245" t="s">
        <v>841</v>
      </c>
      <c r="K84" s="299"/>
    </row>
    <row r="85" spans="1:11" ht="15" customHeight="1">
      <c r="A85" s="298" t="s">
        <v>956</v>
      </c>
      <c r="B85" s="18" t="s">
        <v>3</v>
      </c>
      <c r="C85" s="245" t="s">
        <v>149</v>
      </c>
      <c r="D85" s="18" t="s">
        <v>3</v>
      </c>
      <c r="E85" s="18" t="s">
        <v>3</v>
      </c>
      <c r="F85" s="18" t="s">
        <v>150</v>
      </c>
      <c r="G85" s="18">
        <v>1</v>
      </c>
      <c r="H85" s="18">
        <v>1E-4</v>
      </c>
      <c r="I85" s="18">
        <f t="shared" si="2"/>
        <v>1E-4</v>
      </c>
      <c r="J85" s="245" t="s">
        <v>841</v>
      </c>
      <c r="K85" s="299"/>
    </row>
    <row r="86" spans="1:11" ht="15" customHeight="1">
      <c r="A86" s="298" t="s">
        <v>957</v>
      </c>
      <c r="B86" s="18" t="s">
        <v>3</v>
      </c>
      <c r="C86" s="245" t="s">
        <v>958</v>
      </c>
      <c r="D86" s="18" t="s">
        <v>3</v>
      </c>
      <c r="E86" s="18" t="s">
        <v>3</v>
      </c>
      <c r="F86" s="18" t="s">
        <v>105</v>
      </c>
      <c r="G86" s="18">
        <v>1</v>
      </c>
      <c r="H86" s="18">
        <v>1.2999999999999999E-2</v>
      </c>
      <c r="I86" s="18">
        <f t="shared" si="2"/>
        <v>1.2999999999999999E-2</v>
      </c>
      <c r="J86" s="245" t="s">
        <v>106</v>
      </c>
      <c r="K86" s="299"/>
    </row>
    <row r="87" spans="1:11" ht="15" customHeight="1">
      <c r="A87" s="298" t="s">
        <v>959</v>
      </c>
      <c r="B87" s="18" t="s">
        <v>3</v>
      </c>
      <c r="C87" s="245" t="s">
        <v>151</v>
      </c>
      <c r="D87" s="18" t="s">
        <v>3</v>
      </c>
      <c r="E87" s="18" t="s">
        <v>3</v>
      </c>
      <c r="F87" s="18" t="s">
        <v>152</v>
      </c>
      <c r="G87" s="18">
        <v>1</v>
      </c>
      <c r="H87" s="18">
        <v>3.0000000000000001E-3</v>
      </c>
      <c r="I87" s="18">
        <f t="shared" si="2"/>
        <v>3.0000000000000001E-3</v>
      </c>
      <c r="J87" s="245" t="s">
        <v>841</v>
      </c>
      <c r="K87" s="299"/>
    </row>
    <row r="88" spans="1:11" ht="15" customHeight="1">
      <c r="A88" s="298" t="s">
        <v>960</v>
      </c>
      <c r="B88" s="18" t="s">
        <v>3</v>
      </c>
      <c r="C88" s="32" t="s">
        <v>737</v>
      </c>
      <c r="D88" s="18" t="s">
        <v>3</v>
      </c>
      <c r="E88" s="18" t="s">
        <v>3</v>
      </c>
      <c r="F88" s="18" t="s">
        <v>3</v>
      </c>
      <c r="G88" s="18">
        <v>1</v>
      </c>
      <c r="H88" s="18">
        <v>8.9999999999999993E-3</v>
      </c>
      <c r="I88" s="18">
        <f t="shared" si="2"/>
        <v>8.9999999999999993E-3</v>
      </c>
      <c r="J88" s="236" t="s">
        <v>841</v>
      </c>
      <c r="K88" s="299"/>
    </row>
    <row r="89" spans="1:11" ht="15" customHeight="1">
      <c r="A89" s="298" t="s">
        <v>961</v>
      </c>
      <c r="B89" s="18" t="s">
        <v>3</v>
      </c>
      <c r="C89" s="236" t="s">
        <v>153</v>
      </c>
      <c r="D89" s="18" t="s">
        <v>3</v>
      </c>
      <c r="E89" s="18" t="s">
        <v>154</v>
      </c>
      <c r="F89" s="18" t="s">
        <v>962</v>
      </c>
      <c r="G89" s="18">
        <v>1</v>
      </c>
      <c r="H89" s="18">
        <v>1E-3</v>
      </c>
      <c r="I89" s="18">
        <f t="shared" si="2"/>
        <v>1E-3</v>
      </c>
      <c r="J89" s="236" t="s">
        <v>106</v>
      </c>
      <c r="K89" s="299"/>
    </row>
    <row r="90" spans="1:11" ht="15" customHeight="1">
      <c r="A90" s="298" t="s">
        <v>963</v>
      </c>
      <c r="B90" s="18" t="s">
        <v>3</v>
      </c>
      <c r="C90" s="245" t="s">
        <v>964</v>
      </c>
      <c r="D90" s="18" t="s">
        <v>3</v>
      </c>
      <c r="E90" s="18" t="s">
        <v>965</v>
      </c>
      <c r="F90" s="18" t="s">
        <v>966</v>
      </c>
      <c r="G90" s="18">
        <v>1</v>
      </c>
      <c r="H90" s="18">
        <v>1.4999999999999999E-2</v>
      </c>
      <c r="I90" s="18">
        <f t="shared" si="2"/>
        <v>1.4999999999999999E-2</v>
      </c>
      <c r="J90" s="236" t="s">
        <v>106</v>
      </c>
      <c r="K90" s="299"/>
    </row>
    <row r="91" spans="1:11" ht="15" customHeight="1">
      <c r="A91" s="298" t="s">
        <v>967</v>
      </c>
      <c r="B91" s="18" t="s">
        <v>3</v>
      </c>
      <c r="C91" s="245" t="s">
        <v>91</v>
      </c>
      <c r="D91" s="18" t="s">
        <v>3</v>
      </c>
      <c r="E91" s="18" t="s">
        <v>968</v>
      </c>
      <c r="F91" s="18" t="s">
        <v>3</v>
      </c>
      <c r="G91" s="18">
        <v>1</v>
      </c>
      <c r="H91" s="18">
        <v>0.03</v>
      </c>
      <c r="I91" s="18">
        <f t="shared" si="2"/>
        <v>0.03</v>
      </c>
      <c r="J91" s="236" t="s">
        <v>106</v>
      </c>
      <c r="K91" s="299"/>
    </row>
    <row r="92" spans="1:11" ht="15" customHeight="1">
      <c r="A92" s="298" t="s">
        <v>969</v>
      </c>
      <c r="B92" s="18" t="s">
        <v>3</v>
      </c>
      <c r="C92" s="236" t="s">
        <v>308</v>
      </c>
      <c r="D92" s="18" t="s">
        <v>3</v>
      </c>
      <c r="E92" s="18" t="s">
        <v>504</v>
      </c>
      <c r="F92" s="18" t="s">
        <v>3</v>
      </c>
      <c r="G92" s="18">
        <v>1</v>
      </c>
      <c r="H92" s="18">
        <v>1.0999999999999999E-2</v>
      </c>
      <c r="I92" s="18">
        <f t="shared" si="2"/>
        <v>1.0999999999999999E-2</v>
      </c>
      <c r="J92" s="236" t="s">
        <v>935</v>
      </c>
      <c r="K92" s="299"/>
    </row>
    <row r="93" spans="1:11" ht="15" customHeight="1">
      <c r="A93" s="298" t="s">
        <v>970</v>
      </c>
      <c r="B93" s="18" t="s">
        <v>3</v>
      </c>
      <c r="C93" s="236" t="s">
        <v>562</v>
      </c>
      <c r="D93" s="18" t="s">
        <v>3</v>
      </c>
      <c r="E93" s="18" t="s">
        <v>155</v>
      </c>
      <c r="F93" s="18" t="s">
        <v>156</v>
      </c>
      <c r="G93" s="18">
        <v>1</v>
      </c>
      <c r="H93" s="18">
        <v>3.0000000000000001E-3</v>
      </c>
      <c r="I93" s="18">
        <f t="shared" si="2"/>
        <v>3.0000000000000001E-3</v>
      </c>
      <c r="J93" s="236" t="s">
        <v>935</v>
      </c>
      <c r="K93" s="299"/>
    </row>
    <row r="94" spans="1:11" ht="15" customHeight="1">
      <c r="A94" s="298" t="s">
        <v>971</v>
      </c>
      <c r="B94" s="18" t="s">
        <v>3</v>
      </c>
      <c r="C94" s="245" t="s">
        <v>87</v>
      </c>
      <c r="D94" s="18" t="s">
        <v>3</v>
      </c>
      <c r="E94" s="18" t="s">
        <v>3</v>
      </c>
      <c r="F94" s="18" t="s">
        <v>88</v>
      </c>
      <c r="G94" s="18">
        <v>1</v>
      </c>
      <c r="H94" s="18">
        <v>0.01</v>
      </c>
      <c r="I94" s="18">
        <f t="shared" si="2"/>
        <v>0.01</v>
      </c>
      <c r="J94" s="245" t="s">
        <v>807</v>
      </c>
      <c r="K94" s="299"/>
    </row>
    <row r="95" spans="1:11" ht="15" customHeight="1">
      <c r="A95" s="298" t="s">
        <v>972</v>
      </c>
      <c r="B95" s="18" t="s">
        <v>3</v>
      </c>
      <c r="C95" s="245" t="s">
        <v>973</v>
      </c>
      <c r="D95" s="18" t="s">
        <v>3</v>
      </c>
      <c r="E95" s="18" t="s">
        <v>3</v>
      </c>
      <c r="F95" s="18" t="s">
        <v>3</v>
      </c>
      <c r="G95" s="18">
        <v>1</v>
      </c>
      <c r="H95" s="18">
        <v>1.4500000000000001E-2</v>
      </c>
      <c r="I95" s="18">
        <f t="shared" si="2"/>
        <v>1.4500000000000001E-2</v>
      </c>
      <c r="J95" s="245" t="s">
        <v>935</v>
      </c>
      <c r="K95" s="299"/>
    </row>
    <row r="96" spans="1:11" ht="15" customHeight="1">
      <c r="A96" s="298" t="s">
        <v>974</v>
      </c>
      <c r="B96" s="18" t="s">
        <v>3</v>
      </c>
      <c r="C96" s="245" t="s">
        <v>975</v>
      </c>
      <c r="D96" s="18" t="s">
        <v>3</v>
      </c>
      <c r="E96" s="18" t="s">
        <v>545</v>
      </c>
      <c r="F96" s="18" t="s">
        <v>3</v>
      </c>
      <c r="G96" s="18">
        <v>1</v>
      </c>
      <c r="H96" s="18">
        <v>3.3000000000000002E-2</v>
      </c>
      <c r="I96" s="18">
        <f t="shared" si="2"/>
        <v>3.3000000000000002E-2</v>
      </c>
      <c r="J96" s="245" t="s">
        <v>841</v>
      </c>
      <c r="K96" s="299"/>
    </row>
    <row r="97" spans="1:11" ht="15" customHeight="1">
      <c r="A97" s="298" t="s">
        <v>976</v>
      </c>
      <c r="B97" s="18" t="s">
        <v>3</v>
      </c>
      <c r="C97" s="245" t="s">
        <v>310</v>
      </c>
      <c r="D97" s="18" t="s">
        <v>3</v>
      </c>
      <c r="E97" s="18" t="s">
        <v>977</v>
      </c>
      <c r="F97" s="18" t="s">
        <v>3</v>
      </c>
      <c r="G97" s="18">
        <v>1</v>
      </c>
      <c r="H97" s="18">
        <v>2.9999999999999997E-4</v>
      </c>
      <c r="I97" s="18">
        <f t="shared" si="2"/>
        <v>2.9999999999999997E-4</v>
      </c>
      <c r="J97" s="245" t="s">
        <v>935</v>
      </c>
      <c r="K97" s="299"/>
    </row>
    <row r="98" spans="1:11" ht="15" customHeight="1">
      <c r="A98" s="298" t="s">
        <v>978</v>
      </c>
      <c r="B98" s="18" t="s">
        <v>3</v>
      </c>
      <c r="C98" s="245" t="s">
        <v>315</v>
      </c>
      <c r="D98" s="18" t="s">
        <v>3</v>
      </c>
      <c r="E98" s="18" t="s">
        <v>316</v>
      </c>
      <c r="F98" s="18" t="s">
        <v>3</v>
      </c>
      <c r="G98" s="18">
        <v>1</v>
      </c>
      <c r="H98" s="18">
        <v>1.2E-2</v>
      </c>
      <c r="I98" s="18">
        <f t="shared" si="2"/>
        <v>1.2E-2</v>
      </c>
      <c r="J98" s="245" t="s">
        <v>841</v>
      </c>
      <c r="K98" s="299"/>
    </row>
    <row r="99" spans="1:11" ht="15" customHeight="1">
      <c r="A99" s="298" t="s">
        <v>979</v>
      </c>
      <c r="B99" s="18" t="s">
        <v>3</v>
      </c>
      <c r="C99" s="245" t="s">
        <v>315</v>
      </c>
      <c r="D99" s="18" t="s">
        <v>3</v>
      </c>
      <c r="E99" s="18" t="s">
        <v>317</v>
      </c>
      <c r="F99" s="18" t="s">
        <v>3</v>
      </c>
      <c r="G99" s="18">
        <v>1</v>
      </c>
      <c r="H99" s="18">
        <v>1.2E-2</v>
      </c>
      <c r="I99" s="18">
        <f t="shared" si="2"/>
        <v>1.2E-2</v>
      </c>
      <c r="J99" s="245" t="s">
        <v>841</v>
      </c>
      <c r="K99" s="299"/>
    </row>
    <row r="100" spans="1:11" ht="15" customHeight="1">
      <c r="A100" s="298" t="s">
        <v>980</v>
      </c>
      <c r="B100" s="18" t="s">
        <v>3</v>
      </c>
      <c r="C100" s="245" t="s">
        <v>332</v>
      </c>
      <c r="D100" s="18" t="s">
        <v>3</v>
      </c>
      <c r="E100" s="18" t="s">
        <v>336</v>
      </c>
      <c r="F100" s="18" t="s">
        <v>3</v>
      </c>
      <c r="G100" s="18">
        <v>1</v>
      </c>
      <c r="H100" s="18">
        <v>0.01</v>
      </c>
      <c r="I100" s="18">
        <f t="shared" si="2"/>
        <v>0.01</v>
      </c>
      <c r="J100" s="245" t="s">
        <v>841</v>
      </c>
      <c r="K100" s="299"/>
    </row>
    <row r="101" spans="1:11" ht="15" customHeight="1">
      <c r="A101" s="298" t="s">
        <v>981</v>
      </c>
      <c r="B101" s="18" t="s">
        <v>3</v>
      </c>
      <c r="C101" s="245" t="s">
        <v>333</v>
      </c>
      <c r="D101" s="18" t="s">
        <v>3</v>
      </c>
      <c r="E101" s="18" t="s">
        <v>336</v>
      </c>
      <c r="F101" s="18" t="s">
        <v>3</v>
      </c>
      <c r="G101" s="18">
        <v>1</v>
      </c>
      <c r="H101" s="18">
        <v>0.01</v>
      </c>
      <c r="I101" s="18">
        <f t="shared" si="2"/>
        <v>0.01</v>
      </c>
      <c r="J101" s="245" t="s">
        <v>841</v>
      </c>
      <c r="K101" s="299"/>
    </row>
    <row r="102" spans="1:11" ht="15" customHeight="1">
      <c r="A102" s="298" t="s">
        <v>982</v>
      </c>
      <c r="B102" s="18" t="s">
        <v>3</v>
      </c>
      <c r="C102" s="245" t="s">
        <v>328</v>
      </c>
      <c r="D102" s="18" t="s">
        <v>3</v>
      </c>
      <c r="E102" s="18" t="s">
        <v>3</v>
      </c>
      <c r="F102" s="18" t="s">
        <v>3</v>
      </c>
      <c r="G102" s="18">
        <v>1</v>
      </c>
      <c r="H102" s="18">
        <v>5.0000000000000001E-4</v>
      </c>
      <c r="I102" s="18">
        <f t="shared" si="2"/>
        <v>5.0000000000000001E-4</v>
      </c>
      <c r="J102" s="245" t="s">
        <v>841</v>
      </c>
      <c r="K102" s="299"/>
    </row>
    <row r="103" spans="1:11" ht="15" customHeight="1">
      <c r="A103" s="298" t="s">
        <v>983</v>
      </c>
      <c r="B103" s="18" t="s">
        <v>3</v>
      </c>
      <c r="C103" s="245" t="s">
        <v>493</v>
      </c>
      <c r="D103" s="18" t="s">
        <v>3</v>
      </c>
      <c r="E103" s="18" t="s">
        <v>495</v>
      </c>
      <c r="F103" s="18" t="s">
        <v>3</v>
      </c>
      <c r="G103" s="18">
        <v>1</v>
      </c>
      <c r="H103" s="18">
        <v>2E-3</v>
      </c>
      <c r="I103" s="18">
        <f t="shared" si="2"/>
        <v>2E-3</v>
      </c>
      <c r="J103" s="245" t="s">
        <v>841</v>
      </c>
      <c r="K103" s="299"/>
    </row>
    <row r="104" spans="1:11" ht="15" customHeight="1">
      <c r="A104" s="298" t="s">
        <v>984</v>
      </c>
      <c r="B104" s="18" t="s">
        <v>3</v>
      </c>
      <c r="C104" s="245" t="s">
        <v>329</v>
      </c>
      <c r="D104" s="18" t="s">
        <v>3</v>
      </c>
      <c r="E104" s="18" t="s">
        <v>3</v>
      </c>
      <c r="F104" s="18" t="s">
        <v>3</v>
      </c>
      <c r="G104" s="18">
        <v>1</v>
      </c>
      <c r="H104" s="18">
        <v>0.02</v>
      </c>
      <c r="I104" s="18">
        <f t="shared" si="2"/>
        <v>0.02</v>
      </c>
      <c r="J104" s="245" t="s">
        <v>67</v>
      </c>
      <c r="K104" s="299"/>
    </row>
    <row r="105" spans="1:11" ht="15" customHeight="1">
      <c r="A105" s="298" t="s">
        <v>985</v>
      </c>
      <c r="B105" s="18" t="s">
        <v>3</v>
      </c>
      <c r="C105" s="245" t="s">
        <v>323</v>
      </c>
      <c r="D105" s="18" t="s">
        <v>3</v>
      </c>
      <c r="E105" s="18" t="s">
        <v>3</v>
      </c>
      <c r="F105" s="18" t="s">
        <v>3</v>
      </c>
      <c r="G105" s="18">
        <v>1</v>
      </c>
      <c r="H105" s="18">
        <v>2E-3</v>
      </c>
      <c r="I105" s="18">
        <f t="shared" si="2"/>
        <v>2E-3</v>
      </c>
      <c r="J105" s="245" t="s">
        <v>841</v>
      </c>
      <c r="K105" s="299"/>
    </row>
    <row r="106" spans="1:11" ht="15" customHeight="1" thickBot="1">
      <c r="A106" s="298" t="s">
        <v>986</v>
      </c>
      <c r="B106" s="287" t="s">
        <v>3</v>
      </c>
      <c r="C106" s="312" t="s">
        <v>987</v>
      </c>
      <c r="D106" s="287" t="s">
        <v>3</v>
      </c>
      <c r="E106" s="287" t="s">
        <v>3</v>
      </c>
      <c r="F106" s="287" t="s">
        <v>3</v>
      </c>
      <c r="G106" s="287">
        <v>1</v>
      </c>
      <c r="H106" s="287">
        <v>0.02</v>
      </c>
      <c r="I106" s="287">
        <f t="shared" si="2"/>
        <v>0.02</v>
      </c>
      <c r="J106" s="312" t="s">
        <v>807</v>
      </c>
      <c r="K106" s="303"/>
    </row>
    <row r="107" spans="1:11" ht="15" customHeight="1">
      <c r="A107" s="293"/>
      <c r="B107" s="294"/>
      <c r="C107" s="294"/>
      <c r="D107" s="294"/>
      <c r="E107" s="294"/>
      <c r="F107" s="294"/>
      <c r="G107" s="294"/>
      <c r="H107" s="294"/>
      <c r="I107" s="294"/>
      <c r="J107" s="294"/>
      <c r="K107" s="294"/>
    </row>
    <row r="108" spans="1:11" ht="15" customHeight="1">
      <c r="A108" s="293"/>
      <c r="B108" s="294"/>
      <c r="C108" s="294"/>
      <c r="D108" s="294"/>
      <c r="E108" s="294"/>
      <c r="F108" s="313" t="s">
        <v>577</v>
      </c>
      <c r="G108" s="294"/>
      <c r="H108" s="653" t="s">
        <v>988</v>
      </c>
      <c r="I108" s="653"/>
      <c r="J108" s="294"/>
      <c r="K108" s="294"/>
    </row>
    <row r="109" spans="1:11" ht="15" customHeight="1">
      <c r="A109" s="293"/>
      <c r="B109" s="294"/>
      <c r="C109" s="294"/>
      <c r="D109" s="294"/>
      <c r="E109" s="294"/>
      <c r="F109" s="313" t="s">
        <v>989</v>
      </c>
      <c r="G109" s="294"/>
      <c r="H109" s="653" t="s">
        <v>990</v>
      </c>
      <c r="I109" s="653"/>
      <c r="J109" s="294"/>
      <c r="K109" s="294"/>
    </row>
    <row r="110" spans="1:11" ht="15" customHeight="1"/>
  </sheetData>
  <mergeCells count="25">
    <mergeCell ref="A53:K53"/>
    <mergeCell ref="H108:I108"/>
    <mergeCell ref="H109:I109"/>
    <mergeCell ref="B23:K23"/>
    <mergeCell ref="B24:K24"/>
    <mergeCell ref="B34:K34"/>
    <mergeCell ref="B39:K39"/>
    <mergeCell ref="B40:K40"/>
    <mergeCell ref="A48:K48"/>
    <mergeCell ref="B21:K21"/>
    <mergeCell ref="K2:K3"/>
    <mergeCell ref="A4:K4"/>
    <mergeCell ref="A5:A6"/>
    <mergeCell ref="B5:B6"/>
    <mergeCell ref="C5:C6"/>
    <mergeCell ref="D5:F5"/>
    <mergeCell ref="G5:G6"/>
    <mergeCell ref="H5:I5"/>
    <mergeCell ref="J5:J6"/>
    <mergeCell ref="K5:K6"/>
    <mergeCell ref="A7:K7"/>
    <mergeCell ref="B8:K8"/>
    <mergeCell ref="B9:K9"/>
    <mergeCell ref="B15:K15"/>
    <mergeCell ref="B16:K16"/>
  </mergeCells>
  <phoneticPr fontId="48" type="noConversion"/>
  <conditionalFormatting sqref="B26">
    <cfRule type="duplicateValues" dxfId="198" priority="12"/>
  </conditionalFormatting>
  <conditionalFormatting sqref="C26">
    <cfRule type="duplicateValues" dxfId="197" priority="11"/>
  </conditionalFormatting>
  <conditionalFormatting sqref="C42">
    <cfRule type="duplicateValues" dxfId="196" priority="10"/>
  </conditionalFormatting>
  <conditionalFormatting sqref="C43">
    <cfRule type="duplicateValues" dxfId="195" priority="9"/>
  </conditionalFormatting>
  <conditionalFormatting sqref="B28">
    <cfRule type="duplicateValues" dxfId="194" priority="8"/>
  </conditionalFormatting>
  <conditionalFormatting sqref="C28">
    <cfRule type="duplicateValues" dxfId="193" priority="7"/>
  </conditionalFormatting>
  <conditionalFormatting sqref="B31">
    <cfRule type="duplicateValues" dxfId="192" priority="6"/>
  </conditionalFormatting>
  <conditionalFormatting sqref="C31">
    <cfRule type="duplicateValues" dxfId="191" priority="5"/>
  </conditionalFormatting>
  <conditionalFormatting sqref="B33">
    <cfRule type="duplicateValues" dxfId="190" priority="4"/>
  </conditionalFormatting>
  <conditionalFormatting sqref="C33">
    <cfRule type="duplicateValues" dxfId="189" priority="3"/>
  </conditionalFormatting>
  <conditionalFormatting sqref="C45">
    <cfRule type="duplicateValues" dxfId="188" priority="2"/>
  </conditionalFormatting>
  <conditionalFormatting sqref="C46:C47">
    <cfRule type="duplicateValues" dxfId="187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B50" sqref="B50:K50"/>
    </sheetView>
  </sheetViews>
  <sheetFormatPr defaultRowHeight="15"/>
  <cols>
    <col min="1" max="1" width="6.85546875" customWidth="1"/>
    <col min="2" max="2" width="29.42578125" customWidth="1"/>
    <col min="3" max="3" width="43.28515625" customWidth="1"/>
    <col min="4" max="4" width="16.7109375" customWidth="1"/>
    <col min="5" max="5" width="28.28515625" customWidth="1"/>
    <col min="6" max="6" width="35.85546875" customWidth="1"/>
  </cols>
  <sheetData>
    <row r="1" spans="1:15" ht="21" thickBot="1">
      <c r="A1" s="655" t="s">
        <v>1203</v>
      </c>
      <c r="B1" s="656"/>
      <c r="C1" s="656"/>
      <c r="D1" s="656"/>
      <c r="E1" s="656"/>
      <c r="F1" s="656"/>
      <c r="G1" s="656"/>
      <c r="H1" s="657"/>
      <c r="I1" s="657"/>
      <c r="J1" s="657"/>
      <c r="K1" s="658"/>
      <c r="L1" s="361" t="s">
        <v>1204</v>
      </c>
      <c r="M1" s="682" t="s">
        <v>1037</v>
      </c>
      <c r="N1" s="683"/>
      <c r="O1" s="684"/>
    </row>
    <row r="2" spans="1:15" ht="15.75">
      <c r="A2" s="659" t="s">
        <v>17</v>
      </c>
      <c r="B2" s="661" t="s">
        <v>789</v>
      </c>
      <c r="C2" s="661" t="s">
        <v>790</v>
      </c>
      <c r="D2" s="661" t="s">
        <v>791</v>
      </c>
      <c r="E2" s="661"/>
      <c r="F2" s="661"/>
      <c r="G2" s="661" t="s">
        <v>792</v>
      </c>
      <c r="H2" s="663" t="s">
        <v>367</v>
      </c>
      <c r="I2" s="664"/>
      <c r="J2" s="665" t="s">
        <v>793</v>
      </c>
      <c r="K2" s="667" t="s">
        <v>794</v>
      </c>
      <c r="L2" s="360"/>
      <c r="M2" s="688" t="s">
        <v>1038</v>
      </c>
      <c r="N2" s="689">
        <v>96</v>
      </c>
      <c r="O2" s="690" t="s">
        <v>793</v>
      </c>
    </row>
    <row r="3" spans="1:15" ht="32.25" thickBot="1">
      <c r="A3" s="660"/>
      <c r="B3" s="662"/>
      <c r="C3" s="662"/>
      <c r="D3" s="287" t="s">
        <v>795</v>
      </c>
      <c r="E3" s="287" t="s">
        <v>796</v>
      </c>
      <c r="F3" s="287" t="s">
        <v>797</v>
      </c>
      <c r="G3" s="662"/>
      <c r="H3" s="296" t="s">
        <v>25</v>
      </c>
      <c r="I3" s="296" t="s">
        <v>798</v>
      </c>
      <c r="J3" s="666"/>
      <c r="K3" s="668"/>
      <c r="M3" s="688"/>
      <c r="N3" s="689"/>
      <c r="O3" s="690"/>
    </row>
    <row r="4" spans="1:15" ht="16.5" thickBot="1">
      <c r="A4" s="669" t="s">
        <v>799</v>
      </c>
      <c r="B4" s="670"/>
      <c r="C4" s="670"/>
      <c r="D4" s="670"/>
      <c r="E4" s="670"/>
      <c r="F4" s="670"/>
      <c r="G4" s="670"/>
      <c r="H4" s="670"/>
      <c r="I4" s="670"/>
      <c r="J4" s="670"/>
      <c r="K4" s="671"/>
      <c r="M4" s="691" t="s">
        <v>1039</v>
      </c>
      <c r="N4" s="692"/>
      <c r="O4" s="693"/>
    </row>
    <row r="5" spans="1:15" ht="15.75" customHeight="1">
      <c r="A5" s="297">
        <v>1</v>
      </c>
      <c r="B5" s="672" t="s">
        <v>1040</v>
      </c>
      <c r="C5" s="672"/>
      <c r="D5" s="672"/>
      <c r="E5" s="672"/>
      <c r="F5" s="672"/>
      <c r="G5" s="672"/>
      <c r="H5" s="672"/>
      <c r="I5" s="672"/>
      <c r="J5" s="672"/>
      <c r="K5" s="673"/>
      <c r="M5" s="691"/>
      <c r="N5" s="692"/>
      <c r="O5" s="693"/>
    </row>
    <row r="6" spans="1:15" ht="15.75" customHeight="1">
      <c r="A6" s="298" t="s">
        <v>801</v>
      </c>
      <c r="B6" s="651" t="s">
        <v>2</v>
      </c>
      <c r="C6" s="651"/>
      <c r="D6" s="651"/>
      <c r="E6" s="651"/>
      <c r="F6" s="651"/>
      <c r="G6" s="651"/>
      <c r="H6" s="651"/>
      <c r="I6" s="651"/>
      <c r="J6" s="651"/>
      <c r="K6" s="652"/>
      <c r="M6" s="691"/>
      <c r="N6" s="692"/>
      <c r="O6" s="693"/>
    </row>
    <row r="7" spans="1:15" ht="15.75" customHeight="1">
      <c r="A7" s="298" t="s">
        <v>802</v>
      </c>
      <c r="B7" s="18" t="s">
        <v>1041</v>
      </c>
      <c r="C7" s="18" t="s">
        <v>800</v>
      </c>
      <c r="D7" s="18" t="s">
        <v>771</v>
      </c>
      <c r="E7" s="18" t="s">
        <v>1042</v>
      </c>
      <c r="F7" s="18" t="s">
        <v>821</v>
      </c>
      <c r="G7" s="18">
        <v>1</v>
      </c>
      <c r="H7" s="18">
        <v>1.0379999999999998</v>
      </c>
      <c r="I7" s="18">
        <f>H7*G7</f>
        <v>1.0379999999999998</v>
      </c>
      <c r="J7" s="18" t="s">
        <v>807</v>
      </c>
      <c r="K7" s="299"/>
      <c r="M7" s="340">
        <f>$N$2</f>
        <v>96</v>
      </c>
      <c r="N7" s="70">
        <f>M7*I7</f>
        <v>99.647999999999982</v>
      </c>
      <c r="O7" s="299" t="s">
        <v>807</v>
      </c>
    </row>
    <row r="8" spans="1:15" ht="15.75" customHeight="1">
      <c r="A8" s="298" t="s">
        <v>808</v>
      </c>
      <c r="B8" s="18" t="s">
        <v>1043</v>
      </c>
      <c r="C8" s="18" t="s">
        <v>124</v>
      </c>
      <c r="D8" s="18" t="s">
        <v>771</v>
      </c>
      <c r="E8" s="18" t="s">
        <v>773</v>
      </c>
      <c r="F8" s="18" t="s">
        <v>37</v>
      </c>
      <c r="G8" s="18">
        <v>1</v>
      </c>
      <c r="H8" s="18">
        <v>8.7999999999999995E-2</v>
      </c>
      <c r="I8" s="18">
        <f t="shared" ref="I8:I12" si="0">H8*G8</f>
        <v>8.7999999999999995E-2</v>
      </c>
      <c r="J8" s="18" t="s">
        <v>807</v>
      </c>
      <c r="K8" s="299"/>
      <c r="M8" s="340">
        <f t="shared" ref="M8:M92" si="1">$N$2</f>
        <v>96</v>
      </c>
      <c r="N8" s="70">
        <f t="shared" ref="N8:N93" si="2">M8*I8</f>
        <v>8.4480000000000004</v>
      </c>
      <c r="O8" s="299" t="s">
        <v>807</v>
      </c>
    </row>
    <row r="9" spans="1:15" ht="15.75" customHeight="1">
      <c r="A9" s="298" t="s">
        <v>811</v>
      </c>
      <c r="B9" s="18" t="s">
        <v>1044</v>
      </c>
      <c r="C9" s="18" t="s">
        <v>1045</v>
      </c>
      <c r="D9" s="18" t="s">
        <v>771</v>
      </c>
      <c r="E9" s="18" t="s">
        <v>1046</v>
      </c>
      <c r="F9" s="18" t="s">
        <v>821</v>
      </c>
      <c r="G9" s="18">
        <v>1</v>
      </c>
      <c r="H9" s="18">
        <v>7.4999999999999997E-2</v>
      </c>
      <c r="I9" s="18">
        <f t="shared" si="0"/>
        <v>7.4999999999999997E-2</v>
      </c>
      <c r="J9" s="18" t="s">
        <v>807</v>
      </c>
      <c r="K9" s="299"/>
      <c r="M9" s="340">
        <f t="shared" si="1"/>
        <v>96</v>
      </c>
      <c r="N9" s="70">
        <f t="shared" si="2"/>
        <v>7.1999999999999993</v>
      </c>
      <c r="O9" s="299" t="s">
        <v>807</v>
      </c>
    </row>
    <row r="10" spans="1:15" ht="15.75" customHeight="1">
      <c r="A10" s="298" t="s">
        <v>815</v>
      </c>
      <c r="B10" s="18" t="s">
        <v>1047</v>
      </c>
      <c r="C10" s="18" t="s">
        <v>1048</v>
      </c>
      <c r="D10" s="18" t="s">
        <v>772</v>
      </c>
      <c r="E10" s="18" t="s">
        <v>774</v>
      </c>
      <c r="F10" s="18" t="s">
        <v>806</v>
      </c>
      <c r="G10" s="18">
        <v>1</v>
      </c>
      <c r="H10" s="18">
        <v>2.6000000000000002E-2</v>
      </c>
      <c r="I10" s="18">
        <f t="shared" si="0"/>
        <v>2.6000000000000002E-2</v>
      </c>
      <c r="J10" s="18" t="s">
        <v>807</v>
      </c>
      <c r="K10" s="299"/>
      <c r="M10" s="340">
        <f t="shared" si="1"/>
        <v>96</v>
      </c>
      <c r="N10" s="70">
        <f t="shared" si="2"/>
        <v>2.4960000000000004</v>
      </c>
      <c r="O10" s="299" t="s">
        <v>807</v>
      </c>
    </row>
    <row r="11" spans="1:15" ht="15.75" customHeight="1">
      <c r="A11" s="298" t="s">
        <v>818</v>
      </c>
      <c r="B11" s="18" t="s">
        <v>1049</v>
      </c>
      <c r="C11" s="18" t="s">
        <v>1050</v>
      </c>
      <c r="D11" s="18" t="s">
        <v>1051</v>
      </c>
      <c r="E11" s="18" t="s">
        <v>1052</v>
      </c>
      <c r="F11" s="18" t="s">
        <v>1053</v>
      </c>
      <c r="G11" s="18">
        <v>1</v>
      </c>
      <c r="H11" s="18">
        <v>0.02</v>
      </c>
      <c r="I11" s="18">
        <f t="shared" si="0"/>
        <v>0.02</v>
      </c>
      <c r="J11" s="18" t="s">
        <v>807</v>
      </c>
      <c r="K11" s="304"/>
      <c r="L11" s="130">
        <v>1.2E-2</v>
      </c>
      <c r="M11" s="340">
        <f t="shared" si="1"/>
        <v>96</v>
      </c>
      <c r="N11" s="70">
        <f t="shared" si="2"/>
        <v>1.92</v>
      </c>
      <c r="O11" s="299" t="s">
        <v>807</v>
      </c>
    </row>
    <row r="12" spans="1:15" ht="15.75" customHeight="1" thickBot="1">
      <c r="A12" s="300" t="s">
        <v>1004</v>
      </c>
      <c r="B12" s="287" t="s">
        <v>1054</v>
      </c>
      <c r="C12" s="287" t="s">
        <v>1055</v>
      </c>
      <c r="D12" s="287" t="s">
        <v>777</v>
      </c>
      <c r="E12" s="287" t="s">
        <v>1056</v>
      </c>
      <c r="F12" s="287" t="s">
        <v>828</v>
      </c>
      <c r="G12" s="287">
        <v>2</v>
      </c>
      <c r="H12" s="287">
        <v>8.6999999999999994E-2</v>
      </c>
      <c r="I12" s="18">
        <f t="shared" si="0"/>
        <v>0.17399999999999999</v>
      </c>
      <c r="J12" s="287" t="s">
        <v>807</v>
      </c>
      <c r="K12" s="301"/>
      <c r="M12" s="340">
        <f t="shared" si="1"/>
        <v>96</v>
      </c>
      <c r="N12" s="70">
        <f t="shared" si="2"/>
        <v>16.704000000000001</v>
      </c>
      <c r="O12" s="299" t="s">
        <v>807</v>
      </c>
    </row>
    <row r="13" spans="1:15" ht="15.75" customHeight="1">
      <c r="A13" s="302" t="s">
        <v>1057</v>
      </c>
      <c r="B13" s="694" t="s">
        <v>839</v>
      </c>
      <c r="C13" s="694"/>
      <c r="D13" s="694"/>
      <c r="E13" s="694"/>
      <c r="F13" s="694"/>
      <c r="G13" s="694"/>
      <c r="H13" s="694"/>
      <c r="I13" s="694"/>
      <c r="J13" s="694"/>
      <c r="K13" s="695"/>
      <c r="M13" s="685"/>
      <c r="N13" s="686"/>
      <c r="O13" s="687"/>
    </row>
    <row r="14" spans="1:15" ht="15.75" customHeight="1">
      <c r="A14" s="298" t="s">
        <v>1058</v>
      </c>
      <c r="B14" s="18" t="s">
        <v>3</v>
      </c>
      <c r="C14" s="18" t="s">
        <v>1059</v>
      </c>
      <c r="D14" s="18" t="s">
        <v>3</v>
      </c>
      <c r="E14" s="18" t="s">
        <v>3</v>
      </c>
      <c r="F14" s="18" t="s">
        <v>1060</v>
      </c>
      <c r="G14" s="18">
        <v>1</v>
      </c>
      <c r="H14" s="18">
        <v>1</v>
      </c>
      <c r="I14" s="18">
        <f>G14*H14</f>
        <v>1</v>
      </c>
      <c r="J14" s="18" t="s">
        <v>841</v>
      </c>
      <c r="K14" s="299"/>
      <c r="M14" s="340">
        <f t="shared" si="1"/>
        <v>96</v>
      </c>
      <c r="N14" s="70">
        <f t="shared" si="2"/>
        <v>96</v>
      </c>
      <c r="O14" s="299" t="s">
        <v>841</v>
      </c>
    </row>
    <row r="15" spans="1:15" ht="15.75" customHeight="1">
      <c r="A15" s="298" t="s">
        <v>1061</v>
      </c>
      <c r="B15" s="18" t="s">
        <v>3</v>
      </c>
      <c r="C15" s="18" t="s">
        <v>1062</v>
      </c>
      <c r="D15" s="18" t="s">
        <v>3</v>
      </c>
      <c r="E15" s="18" t="s">
        <v>3</v>
      </c>
      <c r="F15" s="18" t="s">
        <v>1063</v>
      </c>
      <c r="G15" s="18">
        <v>1</v>
      </c>
      <c r="H15" s="18">
        <v>1</v>
      </c>
      <c r="I15" s="18">
        <f t="shared" ref="I15:I27" si="3">G15*H15</f>
        <v>1</v>
      </c>
      <c r="J15" s="18" t="s">
        <v>841</v>
      </c>
      <c r="K15" s="299"/>
      <c r="M15" s="340">
        <f t="shared" si="1"/>
        <v>96</v>
      </c>
      <c r="N15" s="70">
        <f t="shared" si="2"/>
        <v>96</v>
      </c>
      <c r="O15" s="299" t="s">
        <v>841</v>
      </c>
    </row>
    <row r="16" spans="1:15" ht="15.75" customHeight="1">
      <c r="A16" s="298" t="s">
        <v>1064</v>
      </c>
      <c r="B16" s="18" t="s">
        <v>3</v>
      </c>
      <c r="C16" s="18" t="s">
        <v>1065</v>
      </c>
      <c r="D16" s="18" t="s">
        <v>3</v>
      </c>
      <c r="E16" s="18" t="s">
        <v>3</v>
      </c>
      <c r="F16" s="18" t="s">
        <v>1066</v>
      </c>
      <c r="G16" s="18">
        <v>1</v>
      </c>
      <c r="H16" s="18">
        <v>1</v>
      </c>
      <c r="I16" s="18">
        <f t="shared" si="3"/>
        <v>1</v>
      </c>
      <c r="J16" s="18" t="s">
        <v>841</v>
      </c>
      <c r="K16" s="299"/>
      <c r="M16" s="340">
        <f t="shared" si="1"/>
        <v>96</v>
      </c>
      <c r="N16" s="70">
        <f t="shared" si="2"/>
        <v>96</v>
      </c>
      <c r="O16" s="299" t="s">
        <v>841</v>
      </c>
    </row>
    <row r="17" spans="1:15" ht="15.75" customHeight="1">
      <c r="A17" s="298" t="s">
        <v>1067</v>
      </c>
      <c r="B17" s="18" t="s">
        <v>3</v>
      </c>
      <c r="C17" s="245" t="s">
        <v>1068</v>
      </c>
      <c r="D17" s="18" t="s">
        <v>3</v>
      </c>
      <c r="E17" s="18" t="s">
        <v>3</v>
      </c>
      <c r="F17" s="18" t="s">
        <v>1069</v>
      </c>
      <c r="G17" s="18">
        <v>1</v>
      </c>
      <c r="H17" s="18">
        <v>1</v>
      </c>
      <c r="I17" s="18">
        <f t="shared" si="3"/>
        <v>1</v>
      </c>
      <c r="J17" s="18" t="s">
        <v>841</v>
      </c>
      <c r="K17" s="299"/>
      <c r="M17" s="340">
        <f t="shared" si="1"/>
        <v>96</v>
      </c>
      <c r="N17" s="70">
        <f t="shared" si="2"/>
        <v>96</v>
      </c>
      <c r="O17" s="299" t="s">
        <v>841</v>
      </c>
    </row>
    <row r="18" spans="1:15" ht="15.75" customHeight="1">
      <c r="A18" s="298" t="s">
        <v>1070</v>
      </c>
      <c r="B18" s="18" t="s">
        <v>3</v>
      </c>
      <c r="C18" s="18" t="s">
        <v>1071</v>
      </c>
      <c r="D18" s="18" t="s">
        <v>3</v>
      </c>
      <c r="E18" s="18" t="s">
        <v>3</v>
      </c>
      <c r="F18" s="18" t="s">
        <v>3</v>
      </c>
      <c r="G18" s="18">
        <v>1</v>
      </c>
      <c r="H18" s="18">
        <v>1</v>
      </c>
      <c r="I18" s="18">
        <f t="shared" si="3"/>
        <v>1</v>
      </c>
      <c r="J18" s="18" t="s">
        <v>841</v>
      </c>
      <c r="K18" s="299"/>
      <c r="M18" s="340">
        <f t="shared" si="1"/>
        <v>96</v>
      </c>
      <c r="N18" s="70">
        <f t="shared" si="2"/>
        <v>96</v>
      </c>
      <c r="O18" s="299" t="s">
        <v>841</v>
      </c>
    </row>
    <row r="19" spans="1:15" ht="15.75" customHeight="1">
      <c r="A19" s="298" t="s">
        <v>1072</v>
      </c>
      <c r="B19" s="18" t="s">
        <v>3</v>
      </c>
      <c r="C19" s="18" t="s">
        <v>1073</v>
      </c>
      <c r="D19" s="18" t="s">
        <v>3</v>
      </c>
      <c r="E19" s="18" t="s">
        <v>3</v>
      </c>
      <c r="F19" s="18" t="s">
        <v>1074</v>
      </c>
      <c r="G19" s="18">
        <v>2</v>
      </c>
      <c r="H19" s="18">
        <v>1</v>
      </c>
      <c r="I19" s="18">
        <f t="shared" si="3"/>
        <v>2</v>
      </c>
      <c r="J19" s="18" t="s">
        <v>841</v>
      </c>
      <c r="K19" s="299"/>
      <c r="M19" s="340">
        <f t="shared" si="1"/>
        <v>96</v>
      </c>
      <c r="N19" s="70">
        <f t="shared" si="2"/>
        <v>192</v>
      </c>
      <c r="O19" s="299" t="s">
        <v>841</v>
      </c>
    </row>
    <row r="20" spans="1:15" ht="15.75" customHeight="1">
      <c r="A20" s="298" t="s">
        <v>1075</v>
      </c>
      <c r="B20" s="18" t="s">
        <v>3</v>
      </c>
      <c r="C20" s="18" t="s">
        <v>1076</v>
      </c>
      <c r="D20" s="18" t="s">
        <v>3</v>
      </c>
      <c r="E20" s="18" t="s">
        <v>3</v>
      </c>
      <c r="F20" s="341" t="s">
        <v>1077</v>
      </c>
      <c r="G20" s="18">
        <v>1</v>
      </c>
      <c r="H20" s="18">
        <v>1</v>
      </c>
      <c r="I20" s="18">
        <f t="shared" si="3"/>
        <v>1</v>
      </c>
      <c r="J20" s="18" t="s">
        <v>841</v>
      </c>
      <c r="K20" s="299"/>
      <c r="M20" s="340">
        <f t="shared" si="1"/>
        <v>96</v>
      </c>
      <c r="N20" s="70">
        <f t="shared" si="2"/>
        <v>96</v>
      </c>
      <c r="O20" s="299" t="s">
        <v>841</v>
      </c>
    </row>
    <row r="21" spans="1:15" ht="15.75" customHeight="1">
      <c r="A21" s="298" t="s">
        <v>1078</v>
      </c>
      <c r="B21" s="18" t="s">
        <v>3</v>
      </c>
      <c r="C21" s="18" t="s">
        <v>1079</v>
      </c>
      <c r="D21" s="18" t="s">
        <v>3</v>
      </c>
      <c r="E21" s="18" t="s">
        <v>3</v>
      </c>
      <c r="F21" s="18" t="s">
        <v>3</v>
      </c>
      <c r="G21" s="18">
        <v>1</v>
      </c>
      <c r="H21" s="18">
        <v>1</v>
      </c>
      <c r="I21" s="18">
        <f t="shared" si="3"/>
        <v>1</v>
      </c>
      <c r="J21" s="18" t="s">
        <v>841</v>
      </c>
      <c r="K21" s="299"/>
      <c r="M21" s="340">
        <f t="shared" si="1"/>
        <v>96</v>
      </c>
      <c r="N21" s="70">
        <f t="shared" si="2"/>
        <v>96</v>
      </c>
      <c r="O21" s="299" t="s">
        <v>841</v>
      </c>
    </row>
    <row r="22" spans="1:15" ht="15.75" customHeight="1">
      <c r="A22" s="298" t="s">
        <v>1080</v>
      </c>
      <c r="B22" s="18" t="s">
        <v>3</v>
      </c>
      <c r="C22" s="18" t="s">
        <v>1081</v>
      </c>
      <c r="D22" s="18" t="s">
        <v>3</v>
      </c>
      <c r="E22" s="18" t="s">
        <v>3</v>
      </c>
      <c r="F22" s="18" t="s">
        <v>3</v>
      </c>
      <c r="G22" s="18">
        <v>1</v>
      </c>
      <c r="H22" s="18">
        <v>1</v>
      </c>
      <c r="I22" s="18">
        <f t="shared" si="3"/>
        <v>1</v>
      </c>
      <c r="J22" s="18" t="s">
        <v>841</v>
      </c>
      <c r="K22" s="299"/>
      <c r="M22" s="340">
        <f t="shared" si="1"/>
        <v>96</v>
      </c>
      <c r="N22" s="70">
        <f t="shared" si="2"/>
        <v>96</v>
      </c>
      <c r="O22" s="299" t="s">
        <v>841</v>
      </c>
    </row>
    <row r="23" spans="1:15" ht="15.75" customHeight="1">
      <c r="A23" s="298" t="s">
        <v>1082</v>
      </c>
      <c r="B23" s="18" t="s">
        <v>3</v>
      </c>
      <c r="C23" s="18" t="s">
        <v>1083</v>
      </c>
      <c r="D23" s="18" t="s">
        <v>3</v>
      </c>
      <c r="E23" s="18" t="s">
        <v>3</v>
      </c>
      <c r="F23" s="18" t="s">
        <v>3</v>
      </c>
      <c r="G23" s="18">
        <v>1</v>
      </c>
      <c r="H23" s="18">
        <v>1</v>
      </c>
      <c r="I23" s="18">
        <f t="shared" si="3"/>
        <v>1</v>
      </c>
      <c r="J23" s="18" t="s">
        <v>841</v>
      </c>
      <c r="K23" s="299"/>
      <c r="M23" s="340">
        <f t="shared" si="1"/>
        <v>96</v>
      </c>
      <c r="N23" s="70">
        <f t="shared" si="2"/>
        <v>96</v>
      </c>
      <c r="O23" s="299" t="s">
        <v>841</v>
      </c>
    </row>
    <row r="24" spans="1:15" ht="15.75" customHeight="1">
      <c r="A24" s="298" t="s">
        <v>1084</v>
      </c>
      <c r="B24" s="18" t="s">
        <v>3</v>
      </c>
      <c r="C24" s="18" t="s">
        <v>1085</v>
      </c>
      <c r="D24" s="18" t="s">
        <v>3</v>
      </c>
      <c r="E24" s="18" t="s">
        <v>3</v>
      </c>
      <c r="F24" s="18" t="s">
        <v>3</v>
      </c>
      <c r="G24" s="18">
        <v>1</v>
      </c>
      <c r="H24" s="18">
        <v>1</v>
      </c>
      <c r="I24" s="18">
        <f t="shared" si="3"/>
        <v>1</v>
      </c>
      <c r="J24" s="18" t="s">
        <v>841</v>
      </c>
      <c r="K24" s="299"/>
      <c r="M24" s="340">
        <f t="shared" si="1"/>
        <v>96</v>
      </c>
      <c r="N24" s="70">
        <f t="shared" si="2"/>
        <v>96</v>
      </c>
      <c r="O24" s="299" t="s">
        <v>841</v>
      </c>
    </row>
    <row r="25" spans="1:15" ht="15.75" customHeight="1">
      <c r="A25" s="298" t="s">
        <v>1086</v>
      </c>
      <c r="B25" s="18" t="s">
        <v>3</v>
      </c>
      <c r="C25" s="18" t="s">
        <v>1087</v>
      </c>
      <c r="D25" s="18" t="s">
        <v>3</v>
      </c>
      <c r="E25" s="18" t="s">
        <v>3</v>
      </c>
      <c r="F25" s="18" t="s">
        <v>1088</v>
      </c>
      <c r="G25" s="18">
        <v>5</v>
      </c>
      <c r="H25" s="18">
        <v>1</v>
      </c>
      <c r="I25" s="18">
        <f t="shared" si="3"/>
        <v>5</v>
      </c>
      <c r="J25" s="18" t="s">
        <v>841</v>
      </c>
      <c r="K25" s="299"/>
      <c r="M25" s="340">
        <f t="shared" si="1"/>
        <v>96</v>
      </c>
      <c r="N25" s="70">
        <f t="shared" si="2"/>
        <v>480</v>
      </c>
      <c r="O25" s="299" t="s">
        <v>841</v>
      </c>
    </row>
    <row r="26" spans="1:15" ht="15.75" customHeight="1">
      <c r="A26" s="298" t="s">
        <v>1089</v>
      </c>
      <c r="B26" s="18" t="s">
        <v>3</v>
      </c>
      <c r="C26" s="18" t="s">
        <v>780</v>
      </c>
      <c r="D26" s="18" t="s">
        <v>3</v>
      </c>
      <c r="E26" s="18" t="s">
        <v>3</v>
      </c>
      <c r="F26" s="18" t="s">
        <v>36</v>
      </c>
      <c r="G26" s="18">
        <v>1</v>
      </c>
      <c r="H26" s="18">
        <v>1</v>
      </c>
      <c r="I26" s="18">
        <f t="shared" si="3"/>
        <v>1</v>
      </c>
      <c r="J26" s="18" t="s">
        <v>841</v>
      </c>
      <c r="K26" s="299"/>
      <c r="M26" s="340">
        <f t="shared" si="1"/>
        <v>96</v>
      </c>
      <c r="N26" s="70">
        <f t="shared" si="2"/>
        <v>96</v>
      </c>
      <c r="O26" s="299" t="s">
        <v>841</v>
      </c>
    </row>
    <row r="27" spans="1:15" ht="15.75" customHeight="1" thickBot="1">
      <c r="A27" s="298" t="s">
        <v>1090</v>
      </c>
      <c r="B27" s="287" t="s">
        <v>3</v>
      </c>
      <c r="C27" s="287" t="s">
        <v>1091</v>
      </c>
      <c r="D27" s="287" t="s">
        <v>3</v>
      </c>
      <c r="E27" s="287" t="s">
        <v>3</v>
      </c>
      <c r="F27" s="342" t="s">
        <v>1092</v>
      </c>
      <c r="G27" s="287">
        <v>1</v>
      </c>
      <c r="H27" s="287">
        <v>1</v>
      </c>
      <c r="I27" s="287">
        <f t="shared" si="3"/>
        <v>1</v>
      </c>
      <c r="J27" s="287" t="s">
        <v>841</v>
      </c>
      <c r="K27" s="303"/>
      <c r="M27" s="340">
        <f t="shared" si="1"/>
        <v>96</v>
      </c>
      <c r="N27" s="70">
        <f t="shared" si="2"/>
        <v>96</v>
      </c>
      <c r="O27" s="299" t="s">
        <v>841</v>
      </c>
    </row>
    <row r="28" spans="1:15" ht="15.75" customHeight="1">
      <c r="A28" s="302" t="s">
        <v>822</v>
      </c>
      <c r="B28" s="674" t="s">
        <v>823</v>
      </c>
      <c r="C28" s="674"/>
      <c r="D28" s="674"/>
      <c r="E28" s="674"/>
      <c r="F28" s="674"/>
      <c r="G28" s="674"/>
      <c r="H28" s="674"/>
      <c r="I28" s="674"/>
      <c r="J28" s="674"/>
      <c r="K28" s="675"/>
      <c r="M28" s="696"/>
      <c r="N28" s="697"/>
      <c r="O28" s="698"/>
    </row>
    <row r="29" spans="1:15" ht="15.75" customHeight="1">
      <c r="A29" s="298" t="s">
        <v>824</v>
      </c>
      <c r="B29" s="651" t="s">
        <v>2</v>
      </c>
      <c r="C29" s="651"/>
      <c r="D29" s="651"/>
      <c r="E29" s="651"/>
      <c r="F29" s="651"/>
      <c r="G29" s="651"/>
      <c r="H29" s="651"/>
      <c r="I29" s="651"/>
      <c r="J29" s="651"/>
      <c r="K29" s="652"/>
      <c r="M29" s="699"/>
      <c r="N29" s="700"/>
      <c r="O29" s="701"/>
    </row>
    <row r="30" spans="1:15" ht="15.75" customHeight="1">
      <c r="A30" s="298" t="s">
        <v>825</v>
      </c>
      <c r="B30" s="18" t="s">
        <v>826</v>
      </c>
      <c r="C30" s="18" t="s">
        <v>827</v>
      </c>
      <c r="D30" s="18" t="s">
        <v>777</v>
      </c>
      <c r="E30" s="18" t="s">
        <v>775</v>
      </c>
      <c r="F30" s="18" t="s">
        <v>828</v>
      </c>
      <c r="G30" s="18">
        <v>1</v>
      </c>
      <c r="H30" s="18">
        <v>0.28699999999999998</v>
      </c>
      <c r="I30" s="18">
        <f>G30*H30</f>
        <v>0.28699999999999998</v>
      </c>
      <c r="J30" s="18" t="s">
        <v>807</v>
      </c>
      <c r="K30" s="299"/>
      <c r="M30" s="340">
        <f t="shared" si="1"/>
        <v>96</v>
      </c>
      <c r="N30" s="70">
        <f t="shared" si="2"/>
        <v>27.552</v>
      </c>
      <c r="O30" s="299" t="s">
        <v>807</v>
      </c>
    </row>
    <row r="31" spans="1:15" ht="15.75" customHeight="1">
      <c r="A31" s="298" t="s">
        <v>829</v>
      </c>
      <c r="B31" s="18" t="s">
        <v>830</v>
      </c>
      <c r="C31" s="18" t="s">
        <v>5</v>
      </c>
      <c r="D31" s="18" t="s">
        <v>772</v>
      </c>
      <c r="E31" s="18" t="s">
        <v>779</v>
      </c>
      <c r="F31" s="18" t="s">
        <v>831</v>
      </c>
      <c r="G31" s="18">
        <v>1</v>
      </c>
      <c r="H31" s="18">
        <v>1.3999999999999999E-2</v>
      </c>
      <c r="I31" s="18">
        <f t="shared" ref="I31:I32" si="4">G31*H31</f>
        <v>1.3999999999999999E-2</v>
      </c>
      <c r="J31" s="18" t="s">
        <v>807</v>
      </c>
      <c r="K31" s="299"/>
      <c r="M31" s="340">
        <f t="shared" si="1"/>
        <v>96</v>
      </c>
      <c r="N31" s="70">
        <f t="shared" si="2"/>
        <v>1.3439999999999999</v>
      </c>
      <c r="O31" s="299" t="s">
        <v>807</v>
      </c>
    </row>
    <row r="32" spans="1:15" ht="15.75" customHeight="1">
      <c r="A32" s="298" t="s">
        <v>832</v>
      </c>
      <c r="B32" s="18" t="s">
        <v>833</v>
      </c>
      <c r="C32" s="18" t="s">
        <v>7</v>
      </c>
      <c r="D32" s="18" t="s">
        <v>778</v>
      </c>
      <c r="E32" s="18" t="s">
        <v>776</v>
      </c>
      <c r="F32" s="18" t="s">
        <v>834</v>
      </c>
      <c r="G32" s="18">
        <v>1</v>
      </c>
      <c r="H32" s="18">
        <v>2E-3</v>
      </c>
      <c r="I32" s="18">
        <f t="shared" si="4"/>
        <v>2E-3</v>
      </c>
      <c r="J32" s="18" t="s">
        <v>807</v>
      </c>
      <c r="K32" s="299"/>
      <c r="M32" s="340">
        <f t="shared" si="1"/>
        <v>96</v>
      </c>
      <c r="N32" s="70">
        <f t="shared" si="2"/>
        <v>0.192</v>
      </c>
      <c r="O32" s="299" t="s">
        <v>807</v>
      </c>
    </row>
    <row r="33" spans="1:15" ht="15.75" customHeight="1">
      <c r="A33" s="298" t="s">
        <v>838</v>
      </c>
      <c r="B33" s="651" t="s">
        <v>839</v>
      </c>
      <c r="C33" s="651"/>
      <c r="D33" s="651"/>
      <c r="E33" s="651"/>
      <c r="F33" s="651"/>
      <c r="G33" s="651"/>
      <c r="H33" s="651"/>
      <c r="I33" s="651"/>
      <c r="J33" s="651"/>
      <c r="K33" s="652"/>
      <c r="M33" s="685"/>
      <c r="N33" s="686"/>
      <c r="O33" s="687"/>
    </row>
    <row r="34" spans="1:15" ht="15.75" customHeight="1" thickBot="1">
      <c r="A34" s="300" t="s">
        <v>840</v>
      </c>
      <c r="B34" s="287" t="s">
        <v>3</v>
      </c>
      <c r="C34" s="287" t="s">
        <v>780</v>
      </c>
      <c r="D34" s="287" t="s">
        <v>3</v>
      </c>
      <c r="E34" s="287" t="s">
        <v>3</v>
      </c>
      <c r="F34" s="287" t="s">
        <v>36</v>
      </c>
      <c r="G34" s="287">
        <v>1</v>
      </c>
      <c r="H34" s="287">
        <v>1</v>
      </c>
      <c r="I34" s="287">
        <f>G34*H34</f>
        <v>1</v>
      </c>
      <c r="J34" s="287" t="s">
        <v>841</v>
      </c>
      <c r="K34" s="303"/>
      <c r="M34" s="340">
        <f t="shared" si="1"/>
        <v>96</v>
      </c>
      <c r="N34" s="70">
        <f t="shared" si="2"/>
        <v>96</v>
      </c>
      <c r="O34" s="299" t="s">
        <v>841</v>
      </c>
    </row>
    <row r="35" spans="1:15" ht="15.75" customHeight="1">
      <c r="A35" s="302">
        <v>3</v>
      </c>
      <c r="B35" s="674" t="s">
        <v>1093</v>
      </c>
      <c r="C35" s="674"/>
      <c r="D35" s="674"/>
      <c r="E35" s="674"/>
      <c r="F35" s="674"/>
      <c r="G35" s="674"/>
      <c r="H35" s="674"/>
      <c r="I35" s="674"/>
      <c r="J35" s="674"/>
      <c r="K35" s="675"/>
      <c r="M35" s="696"/>
      <c r="N35" s="697"/>
      <c r="O35" s="698"/>
    </row>
    <row r="36" spans="1:15" ht="15.75" customHeight="1">
      <c r="A36" s="298" t="s">
        <v>843</v>
      </c>
      <c r="B36" s="651" t="s">
        <v>2</v>
      </c>
      <c r="C36" s="651"/>
      <c r="D36" s="651"/>
      <c r="E36" s="651"/>
      <c r="F36" s="651"/>
      <c r="G36" s="651"/>
      <c r="H36" s="651"/>
      <c r="I36" s="651"/>
      <c r="J36" s="651"/>
      <c r="K36" s="652"/>
      <c r="M36" s="699"/>
      <c r="N36" s="700"/>
      <c r="O36" s="701"/>
    </row>
    <row r="37" spans="1:15" ht="15.75" customHeight="1">
      <c r="A37" s="298" t="s">
        <v>844</v>
      </c>
      <c r="B37" s="18" t="s">
        <v>1094</v>
      </c>
      <c r="C37" s="18" t="s">
        <v>1045</v>
      </c>
      <c r="D37" s="18" t="s">
        <v>771</v>
      </c>
      <c r="E37" s="18" t="s">
        <v>1046</v>
      </c>
      <c r="F37" s="18" t="s">
        <v>821</v>
      </c>
      <c r="G37" s="18">
        <v>1</v>
      </c>
      <c r="H37" s="18">
        <v>8.6000000000000007E-2</v>
      </c>
      <c r="I37" s="18">
        <f>G37*H37</f>
        <v>8.6000000000000007E-2</v>
      </c>
      <c r="J37" s="18" t="s">
        <v>807</v>
      </c>
      <c r="K37" s="299"/>
      <c r="M37" s="340">
        <f t="shared" si="1"/>
        <v>96</v>
      </c>
      <c r="N37" s="70">
        <f t="shared" si="2"/>
        <v>8.2560000000000002</v>
      </c>
      <c r="O37" s="299" t="s">
        <v>807</v>
      </c>
    </row>
    <row r="38" spans="1:15" ht="15.75" customHeight="1">
      <c r="A38" s="298" t="s">
        <v>848</v>
      </c>
      <c r="B38" s="18" t="s">
        <v>1095</v>
      </c>
      <c r="C38" s="18" t="s">
        <v>1051</v>
      </c>
      <c r="D38" s="18" t="s">
        <v>770</v>
      </c>
      <c r="E38" s="18" t="s">
        <v>1096</v>
      </c>
      <c r="F38" s="18" t="s">
        <v>1097</v>
      </c>
      <c r="G38" s="31">
        <v>1</v>
      </c>
      <c r="H38" s="18">
        <v>9.4E-2</v>
      </c>
      <c r="I38" s="18">
        <f t="shared" ref="I38" si="5">G38*H38</f>
        <v>9.4E-2</v>
      </c>
      <c r="J38" s="18" t="s">
        <v>807</v>
      </c>
      <c r="K38" s="304"/>
      <c r="L38" s="130">
        <v>5.8999999999999997E-2</v>
      </c>
      <c r="M38" s="340">
        <f t="shared" si="1"/>
        <v>96</v>
      </c>
      <c r="N38" s="70">
        <f t="shared" si="2"/>
        <v>9.0240000000000009</v>
      </c>
      <c r="O38" s="299" t="s">
        <v>807</v>
      </c>
    </row>
    <row r="39" spans="1:15" ht="15.75" customHeight="1">
      <c r="A39" s="298" t="s">
        <v>876</v>
      </c>
      <c r="B39" s="651" t="s">
        <v>839</v>
      </c>
      <c r="C39" s="651"/>
      <c r="D39" s="651"/>
      <c r="E39" s="651"/>
      <c r="F39" s="651"/>
      <c r="G39" s="651"/>
      <c r="H39" s="651"/>
      <c r="I39" s="651"/>
      <c r="J39" s="651"/>
      <c r="K39" s="652"/>
      <c r="M39" s="685"/>
      <c r="N39" s="686"/>
      <c r="O39" s="687"/>
    </row>
    <row r="40" spans="1:15" ht="15.75" customHeight="1" thickBot="1">
      <c r="A40" s="305" t="s">
        <v>877</v>
      </c>
      <c r="B40" s="306" t="s">
        <v>3</v>
      </c>
      <c r="C40" s="34" t="s">
        <v>1098</v>
      </c>
      <c r="D40" s="34" t="s">
        <v>3</v>
      </c>
      <c r="E40" s="34" t="s">
        <v>3</v>
      </c>
      <c r="F40" s="34" t="s">
        <v>3</v>
      </c>
      <c r="G40" s="343">
        <v>2</v>
      </c>
      <c r="H40" s="343">
        <v>1</v>
      </c>
      <c r="I40" s="34">
        <f>G40*H40</f>
        <v>2</v>
      </c>
      <c r="J40" s="34" t="s">
        <v>841</v>
      </c>
      <c r="K40" s="307"/>
      <c r="M40" s="340">
        <f t="shared" si="1"/>
        <v>96</v>
      </c>
      <c r="N40" s="70">
        <f t="shared" si="2"/>
        <v>192</v>
      </c>
      <c r="O40" s="299" t="s">
        <v>841</v>
      </c>
    </row>
    <row r="41" spans="1:15" ht="15.75">
      <c r="A41" s="297" t="s">
        <v>881</v>
      </c>
      <c r="B41" s="672" t="s">
        <v>1099</v>
      </c>
      <c r="C41" s="672"/>
      <c r="D41" s="672"/>
      <c r="E41" s="672"/>
      <c r="F41" s="672"/>
      <c r="G41" s="672"/>
      <c r="H41" s="672"/>
      <c r="I41" s="672"/>
      <c r="J41" s="672"/>
      <c r="K41" s="673"/>
      <c r="M41" s="696"/>
      <c r="N41" s="697"/>
      <c r="O41" s="698"/>
    </row>
    <row r="42" spans="1:15" ht="15.75">
      <c r="A42" s="298" t="s">
        <v>882</v>
      </c>
      <c r="B42" s="651" t="s">
        <v>2</v>
      </c>
      <c r="C42" s="651"/>
      <c r="D42" s="651"/>
      <c r="E42" s="651"/>
      <c r="F42" s="651"/>
      <c r="G42" s="651"/>
      <c r="H42" s="651"/>
      <c r="I42" s="651"/>
      <c r="J42" s="651"/>
      <c r="K42" s="652"/>
      <c r="M42" s="699"/>
      <c r="N42" s="700"/>
      <c r="O42" s="701"/>
    </row>
    <row r="43" spans="1:15" ht="15.75" customHeight="1">
      <c r="A43" s="298" t="s">
        <v>883</v>
      </c>
      <c r="B43" s="18" t="s">
        <v>1100</v>
      </c>
      <c r="C43" s="18" t="s">
        <v>800</v>
      </c>
      <c r="D43" s="18" t="s">
        <v>771</v>
      </c>
      <c r="E43" s="18" t="s">
        <v>1101</v>
      </c>
      <c r="F43" s="18" t="s">
        <v>821</v>
      </c>
      <c r="G43" s="18">
        <v>1</v>
      </c>
      <c r="H43" s="18">
        <v>4.2000000000000003E-2</v>
      </c>
      <c r="I43" s="18">
        <f>G43*H43</f>
        <v>4.2000000000000003E-2</v>
      </c>
      <c r="J43" s="18" t="s">
        <v>807</v>
      </c>
      <c r="K43" s="299"/>
      <c r="M43" s="340">
        <f t="shared" si="1"/>
        <v>96</v>
      </c>
      <c r="N43" s="70">
        <f t="shared" si="2"/>
        <v>4.032</v>
      </c>
      <c r="O43" s="299" t="s">
        <v>807</v>
      </c>
    </row>
    <row r="44" spans="1:15" ht="15.75" customHeight="1">
      <c r="A44" s="298" t="s">
        <v>885</v>
      </c>
      <c r="B44" s="18" t="s">
        <v>1102</v>
      </c>
      <c r="C44" s="18" t="s">
        <v>1103</v>
      </c>
      <c r="D44" s="18" t="s">
        <v>771</v>
      </c>
      <c r="E44" s="18" t="s">
        <v>1104</v>
      </c>
      <c r="F44" s="18" t="s">
        <v>1105</v>
      </c>
      <c r="G44" s="31">
        <v>1</v>
      </c>
      <c r="H44" s="18">
        <v>2.1000000000000001E-2</v>
      </c>
      <c r="I44" s="18">
        <f t="shared" ref="I44:I45" si="6">G44*H44</f>
        <v>2.1000000000000001E-2</v>
      </c>
      <c r="J44" s="18" t="s">
        <v>807</v>
      </c>
      <c r="K44" s="308"/>
      <c r="M44" s="340">
        <f t="shared" si="1"/>
        <v>96</v>
      </c>
      <c r="N44" s="70">
        <f t="shared" si="2"/>
        <v>2.016</v>
      </c>
      <c r="O44" s="299" t="s">
        <v>807</v>
      </c>
    </row>
    <row r="45" spans="1:15" ht="15.75" customHeight="1">
      <c r="A45" s="298" t="s">
        <v>887</v>
      </c>
      <c r="B45" s="18" t="s">
        <v>1106</v>
      </c>
      <c r="C45" s="18" t="s">
        <v>1107</v>
      </c>
      <c r="D45" s="18" t="s">
        <v>771</v>
      </c>
      <c r="E45" s="18" t="s">
        <v>1101</v>
      </c>
      <c r="F45" s="18" t="s">
        <v>821</v>
      </c>
      <c r="G45" s="31">
        <v>1</v>
      </c>
      <c r="H45" s="18">
        <v>4.2000000000000003E-2</v>
      </c>
      <c r="I45" s="18">
        <f t="shared" si="6"/>
        <v>4.2000000000000003E-2</v>
      </c>
      <c r="J45" s="18" t="s">
        <v>807</v>
      </c>
      <c r="K45" s="308"/>
      <c r="M45" s="340">
        <f t="shared" si="1"/>
        <v>96</v>
      </c>
      <c r="N45" s="70">
        <f t="shared" si="2"/>
        <v>4.032</v>
      </c>
      <c r="O45" s="299" t="s">
        <v>807</v>
      </c>
    </row>
    <row r="46" spans="1:15" ht="15.75" customHeight="1">
      <c r="A46" s="298" t="s">
        <v>1108</v>
      </c>
      <c r="B46" s="651" t="s">
        <v>839</v>
      </c>
      <c r="C46" s="651"/>
      <c r="D46" s="651"/>
      <c r="E46" s="651"/>
      <c r="F46" s="651"/>
      <c r="G46" s="651"/>
      <c r="H46" s="651"/>
      <c r="I46" s="651"/>
      <c r="J46" s="651"/>
      <c r="K46" s="652"/>
      <c r="M46" s="685"/>
      <c r="N46" s="686"/>
      <c r="O46" s="687"/>
    </row>
    <row r="47" spans="1:15" ht="15.75" customHeight="1">
      <c r="A47" s="298" t="s">
        <v>1109</v>
      </c>
      <c r="B47" s="334" t="s">
        <v>3</v>
      </c>
      <c r="C47" s="18" t="s">
        <v>236</v>
      </c>
      <c r="D47" s="18" t="s">
        <v>3</v>
      </c>
      <c r="E47" s="18" t="s">
        <v>3</v>
      </c>
      <c r="F47" s="18" t="s">
        <v>53</v>
      </c>
      <c r="G47" s="31">
        <v>1</v>
      </c>
      <c r="H47" s="31">
        <v>1</v>
      </c>
      <c r="I47" s="18">
        <f>G47*H47</f>
        <v>1</v>
      </c>
      <c r="J47" s="18" t="s">
        <v>841</v>
      </c>
      <c r="K47" s="335"/>
      <c r="M47" s="340">
        <f t="shared" si="1"/>
        <v>96</v>
      </c>
      <c r="N47" s="70">
        <f t="shared" si="2"/>
        <v>96</v>
      </c>
      <c r="O47" s="299" t="s">
        <v>841</v>
      </c>
    </row>
    <row r="48" spans="1:15" ht="15.75" customHeight="1" thickBot="1">
      <c r="A48" s="300" t="s">
        <v>1110</v>
      </c>
      <c r="B48" s="344" t="s">
        <v>3</v>
      </c>
      <c r="C48" s="287" t="s">
        <v>1083</v>
      </c>
      <c r="D48" s="287" t="s">
        <v>3</v>
      </c>
      <c r="E48" s="287" t="s">
        <v>3</v>
      </c>
      <c r="F48" s="287" t="s">
        <v>3</v>
      </c>
      <c r="G48" s="345">
        <v>1</v>
      </c>
      <c r="H48" s="345">
        <v>1</v>
      </c>
      <c r="I48" s="287">
        <f>G48*H48</f>
        <v>1</v>
      </c>
      <c r="J48" s="287" t="s">
        <v>841</v>
      </c>
      <c r="K48" s="346"/>
      <c r="M48" s="340">
        <f t="shared" si="1"/>
        <v>96</v>
      </c>
      <c r="N48" s="70">
        <f t="shared" si="2"/>
        <v>96</v>
      </c>
      <c r="O48" s="299" t="s">
        <v>841</v>
      </c>
    </row>
    <row r="49" spans="1:15" ht="15.75" customHeight="1">
      <c r="A49" s="297" t="s">
        <v>900</v>
      </c>
      <c r="B49" s="672" t="s">
        <v>1111</v>
      </c>
      <c r="C49" s="672"/>
      <c r="D49" s="672"/>
      <c r="E49" s="672"/>
      <c r="F49" s="672"/>
      <c r="G49" s="672"/>
      <c r="H49" s="672"/>
      <c r="I49" s="672"/>
      <c r="J49" s="672"/>
      <c r="K49" s="673"/>
      <c r="M49" s="696"/>
      <c r="N49" s="697"/>
      <c r="O49" s="698"/>
    </row>
    <row r="50" spans="1:15" ht="15.75" customHeight="1">
      <c r="A50" s="298" t="s">
        <v>1112</v>
      </c>
      <c r="B50" s="651" t="s">
        <v>2</v>
      </c>
      <c r="C50" s="651"/>
      <c r="D50" s="651"/>
      <c r="E50" s="651"/>
      <c r="F50" s="651"/>
      <c r="G50" s="651"/>
      <c r="H50" s="651"/>
      <c r="I50" s="651"/>
      <c r="J50" s="651"/>
      <c r="K50" s="652"/>
      <c r="M50" s="699"/>
      <c r="N50" s="700"/>
      <c r="O50" s="701"/>
    </row>
    <row r="51" spans="1:15" ht="15.75" customHeight="1">
      <c r="A51" s="298" t="s">
        <v>1113</v>
      </c>
      <c r="B51" s="18" t="s">
        <v>1100</v>
      </c>
      <c r="C51" s="18" t="s">
        <v>1114</v>
      </c>
      <c r="D51" s="18" t="s">
        <v>772</v>
      </c>
      <c r="E51" s="18" t="s">
        <v>779</v>
      </c>
      <c r="F51" s="18" t="s">
        <v>831</v>
      </c>
      <c r="G51" s="18">
        <v>1</v>
      </c>
      <c r="H51" s="18">
        <v>1.88</v>
      </c>
      <c r="I51" s="18">
        <f>G51*H51</f>
        <v>1.88</v>
      </c>
      <c r="J51" s="18" t="s">
        <v>807</v>
      </c>
      <c r="K51" s="299"/>
      <c r="M51" s="340">
        <f t="shared" si="1"/>
        <v>96</v>
      </c>
      <c r="N51" s="70">
        <f t="shared" ref="N51:N52" si="7">M51*I51</f>
        <v>180.48</v>
      </c>
      <c r="O51" s="299" t="s">
        <v>807</v>
      </c>
    </row>
    <row r="52" spans="1:15" ht="15.75" customHeight="1">
      <c r="A52" s="298" t="s">
        <v>1115</v>
      </c>
      <c r="B52" s="18" t="s">
        <v>1102</v>
      </c>
      <c r="C52" s="18" t="s">
        <v>1116</v>
      </c>
      <c r="D52" s="18" t="s">
        <v>771</v>
      </c>
      <c r="E52" s="18" t="s">
        <v>1117</v>
      </c>
      <c r="F52" s="18" t="s">
        <v>821</v>
      </c>
      <c r="G52" s="18">
        <v>2</v>
      </c>
      <c r="H52" s="18">
        <v>0.67300000000000004</v>
      </c>
      <c r="I52" s="18">
        <f t="shared" ref="I52" si="8">G52*H52</f>
        <v>1.3460000000000001</v>
      </c>
      <c r="J52" s="18" t="s">
        <v>807</v>
      </c>
      <c r="K52" s="308"/>
      <c r="M52" s="340">
        <f t="shared" si="1"/>
        <v>96</v>
      </c>
      <c r="N52" s="70">
        <f t="shared" si="7"/>
        <v>129.21600000000001</v>
      </c>
      <c r="O52" s="299" t="s">
        <v>807</v>
      </c>
    </row>
    <row r="53" spans="1:15" ht="15.75" customHeight="1">
      <c r="A53" s="298" t="s">
        <v>1118</v>
      </c>
      <c r="B53" s="651" t="s">
        <v>839</v>
      </c>
      <c r="C53" s="651"/>
      <c r="D53" s="651"/>
      <c r="E53" s="651"/>
      <c r="F53" s="651"/>
      <c r="G53" s="651"/>
      <c r="H53" s="651"/>
      <c r="I53" s="651"/>
      <c r="J53" s="651"/>
      <c r="K53" s="652"/>
      <c r="M53" s="702"/>
      <c r="N53" s="703"/>
      <c r="O53" s="704"/>
    </row>
    <row r="54" spans="1:15" ht="15.75" customHeight="1">
      <c r="A54" s="298" t="s">
        <v>1119</v>
      </c>
      <c r="B54" s="18" t="s">
        <v>3</v>
      </c>
      <c r="C54" s="18" t="s">
        <v>767</v>
      </c>
      <c r="D54" s="18" t="s">
        <v>3</v>
      </c>
      <c r="E54" s="18" t="s">
        <v>3</v>
      </c>
      <c r="F54" s="18" t="s">
        <v>120</v>
      </c>
      <c r="G54" s="18">
        <v>2</v>
      </c>
      <c r="H54" s="31">
        <v>1</v>
      </c>
      <c r="I54" s="18">
        <f>G54*H54</f>
        <v>2</v>
      </c>
      <c r="J54" s="18" t="s">
        <v>841</v>
      </c>
      <c r="K54" s="335"/>
      <c r="M54" s="340">
        <f t="shared" si="1"/>
        <v>96</v>
      </c>
      <c r="N54" s="70">
        <f t="shared" ref="N54:N55" si="9">M54*I54</f>
        <v>192</v>
      </c>
      <c r="O54" s="299" t="s">
        <v>841</v>
      </c>
    </row>
    <row r="55" spans="1:15" ht="15.75" customHeight="1" thickBot="1">
      <c r="A55" s="305" t="s">
        <v>1120</v>
      </c>
      <c r="B55" s="34" t="s">
        <v>3</v>
      </c>
      <c r="C55" s="34" t="s">
        <v>1121</v>
      </c>
      <c r="D55" s="34" t="s">
        <v>3</v>
      </c>
      <c r="E55" s="34" t="s">
        <v>3</v>
      </c>
      <c r="F55" s="34" t="s">
        <v>1122</v>
      </c>
      <c r="G55" s="34">
        <v>2</v>
      </c>
      <c r="H55" s="343">
        <v>1</v>
      </c>
      <c r="I55" s="34">
        <f>G55*H55</f>
        <v>2</v>
      </c>
      <c r="J55" s="34" t="s">
        <v>841</v>
      </c>
      <c r="K55" s="307"/>
      <c r="M55" s="340">
        <f t="shared" si="1"/>
        <v>96</v>
      </c>
      <c r="N55" s="70">
        <f t="shared" si="9"/>
        <v>192</v>
      </c>
      <c r="O55" s="299" t="s">
        <v>841</v>
      </c>
    </row>
    <row r="56" spans="1:15" ht="16.5" thickBot="1">
      <c r="A56" s="679" t="s">
        <v>2</v>
      </c>
      <c r="B56" s="680"/>
      <c r="C56" s="680"/>
      <c r="D56" s="680"/>
      <c r="E56" s="680"/>
      <c r="F56" s="680"/>
      <c r="G56" s="680"/>
      <c r="H56" s="680"/>
      <c r="I56" s="680"/>
      <c r="J56" s="680"/>
      <c r="K56" s="681"/>
      <c r="M56" s="685"/>
      <c r="N56" s="686"/>
      <c r="O56" s="687"/>
    </row>
    <row r="57" spans="1:15" ht="15.75" customHeight="1">
      <c r="A57" s="297" t="s">
        <v>902</v>
      </c>
      <c r="B57" s="309" t="s">
        <v>1123</v>
      </c>
      <c r="C57" s="309" t="s">
        <v>1124</v>
      </c>
      <c r="D57" s="309" t="s">
        <v>772</v>
      </c>
      <c r="E57" s="309" t="s">
        <v>805</v>
      </c>
      <c r="F57" s="309" t="s">
        <v>806</v>
      </c>
      <c r="G57" s="309">
        <v>2</v>
      </c>
      <c r="H57" s="309">
        <v>0.40200000000000002</v>
      </c>
      <c r="I57" s="309">
        <f>G57*H57</f>
        <v>0.80400000000000005</v>
      </c>
      <c r="J57" s="309" t="s">
        <v>807</v>
      </c>
      <c r="K57" s="310"/>
      <c r="M57" s="340">
        <f t="shared" si="1"/>
        <v>96</v>
      </c>
      <c r="N57" s="70">
        <f t="shared" si="2"/>
        <v>77.183999999999997</v>
      </c>
      <c r="O57" s="299" t="s">
        <v>807</v>
      </c>
    </row>
    <row r="58" spans="1:15" ht="15.75" customHeight="1">
      <c r="A58" s="298" t="s">
        <v>907</v>
      </c>
      <c r="B58" s="18" t="s">
        <v>1125</v>
      </c>
      <c r="C58" s="18" t="s">
        <v>875</v>
      </c>
      <c r="D58" s="18" t="s">
        <v>772</v>
      </c>
      <c r="E58" s="18" t="s">
        <v>779</v>
      </c>
      <c r="F58" s="18" t="s">
        <v>831</v>
      </c>
      <c r="G58" s="18">
        <v>1</v>
      </c>
      <c r="H58" s="18">
        <v>2.5069999999999997</v>
      </c>
      <c r="I58" s="18">
        <f t="shared" ref="I58:I59" si="10">G58*H58</f>
        <v>2.5069999999999997</v>
      </c>
      <c r="J58" s="18" t="s">
        <v>807</v>
      </c>
      <c r="K58" s="299"/>
      <c r="M58" s="340">
        <f t="shared" si="1"/>
        <v>96</v>
      </c>
      <c r="N58" s="70">
        <f t="shared" si="2"/>
        <v>240.67199999999997</v>
      </c>
      <c r="O58" s="299" t="s">
        <v>807</v>
      </c>
    </row>
    <row r="59" spans="1:15" ht="15.75" customHeight="1">
      <c r="A59" s="305" t="s">
        <v>912</v>
      </c>
      <c r="B59" s="18" t="s">
        <v>1126</v>
      </c>
      <c r="C59" s="18" t="s">
        <v>1127</v>
      </c>
      <c r="D59" s="18" t="s">
        <v>772</v>
      </c>
      <c r="E59" s="18" t="s">
        <v>779</v>
      </c>
      <c r="F59" s="18" t="s">
        <v>831</v>
      </c>
      <c r="G59" s="18">
        <v>1</v>
      </c>
      <c r="H59" s="18">
        <v>0.159</v>
      </c>
      <c r="I59" s="18">
        <f t="shared" si="10"/>
        <v>0.159</v>
      </c>
      <c r="J59" s="18" t="s">
        <v>807</v>
      </c>
      <c r="K59" s="299"/>
      <c r="L59" s="347"/>
      <c r="M59" s="340">
        <f t="shared" si="1"/>
        <v>96</v>
      </c>
      <c r="N59" s="70">
        <f t="shared" si="2"/>
        <v>15.263999999999999</v>
      </c>
      <c r="O59" s="299" t="s">
        <v>807</v>
      </c>
    </row>
    <row r="60" spans="1:15" ht="15.75" customHeight="1" thickBot="1">
      <c r="A60" s="300" t="s">
        <v>913</v>
      </c>
      <c r="B60" s="287" t="s">
        <v>1128</v>
      </c>
      <c r="C60" s="287" t="s">
        <v>1129</v>
      </c>
      <c r="D60" s="287" t="s">
        <v>777</v>
      </c>
      <c r="E60" s="287" t="s">
        <v>1056</v>
      </c>
      <c r="F60" s="287" t="s">
        <v>828</v>
      </c>
      <c r="G60" s="287">
        <v>1</v>
      </c>
      <c r="H60" s="287">
        <v>8.1000000000000003E-2</v>
      </c>
      <c r="I60" s="287">
        <f>G60*H60</f>
        <v>8.1000000000000003E-2</v>
      </c>
      <c r="J60" s="287" t="s">
        <v>807</v>
      </c>
      <c r="K60" s="348"/>
      <c r="M60" s="340">
        <f t="shared" si="1"/>
        <v>96</v>
      </c>
      <c r="N60" s="70">
        <f t="shared" si="2"/>
        <v>7.7759999999999998</v>
      </c>
      <c r="O60" s="299" t="s">
        <v>807</v>
      </c>
    </row>
    <row r="61" spans="1:15" ht="16.5" thickBot="1">
      <c r="A61" s="705" t="s">
        <v>839</v>
      </c>
      <c r="B61" s="706"/>
      <c r="C61" s="706"/>
      <c r="D61" s="706"/>
      <c r="E61" s="706"/>
      <c r="F61" s="706"/>
      <c r="G61" s="706"/>
      <c r="H61" s="706"/>
      <c r="I61" s="706"/>
      <c r="J61" s="706"/>
      <c r="K61" s="707"/>
      <c r="M61" s="685"/>
      <c r="N61" s="686"/>
      <c r="O61" s="687"/>
    </row>
    <row r="62" spans="1:15" ht="15.75" customHeight="1">
      <c r="A62" s="297" t="s">
        <v>914</v>
      </c>
      <c r="B62" s="309" t="s">
        <v>1130</v>
      </c>
      <c r="C62" s="309" t="s">
        <v>1131</v>
      </c>
      <c r="D62" s="309" t="s">
        <v>3</v>
      </c>
      <c r="E62" s="309" t="s">
        <v>3</v>
      </c>
      <c r="F62" s="309" t="s">
        <v>1132</v>
      </c>
      <c r="G62" s="309">
        <v>1</v>
      </c>
      <c r="H62" s="309">
        <v>1</v>
      </c>
      <c r="I62" s="309">
        <f>G62*H62</f>
        <v>1</v>
      </c>
      <c r="J62" s="309" t="s">
        <v>841</v>
      </c>
      <c r="K62" s="310"/>
      <c r="M62" s="340">
        <f t="shared" si="1"/>
        <v>96</v>
      </c>
      <c r="N62" s="70">
        <f t="shared" si="2"/>
        <v>96</v>
      </c>
      <c r="O62" s="299" t="s">
        <v>841</v>
      </c>
    </row>
    <row r="63" spans="1:15" ht="15.75" customHeight="1">
      <c r="A63" s="298" t="s">
        <v>916</v>
      </c>
      <c r="B63" s="18" t="s">
        <v>3</v>
      </c>
      <c r="C63" s="18" t="s">
        <v>1133</v>
      </c>
      <c r="D63" s="18" t="s">
        <v>3</v>
      </c>
      <c r="E63" s="18" t="s">
        <v>3</v>
      </c>
      <c r="F63" s="18" t="s">
        <v>1134</v>
      </c>
      <c r="G63" s="18">
        <v>4</v>
      </c>
      <c r="H63" s="18">
        <v>1</v>
      </c>
      <c r="I63" s="18">
        <f t="shared" ref="I63:I79" si="11">G63*H63</f>
        <v>4</v>
      </c>
      <c r="J63" s="18" t="s">
        <v>841</v>
      </c>
      <c r="K63" s="299"/>
      <c r="M63" s="340">
        <f t="shared" si="1"/>
        <v>96</v>
      </c>
      <c r="N63" s="70">
        <f t="shared" si="2"/>
        <v>384</v>
      </c>
      <c r="O63" s="299" t="s">
        <v>841</v>
      </c>
    </row>
    <row r="64" spans="1:15" ht="15.75" customHeight="1">
      <c r="A64" s="298" t="s">
        <v>918</v>
      </c>
      <c r="B64" s="18" t="s">
        <v>3</v>
      </c>
      <c r="C64" s="18" t="s">
        <v>1059</v>
      </c>
      <c r="D64" s="18" t="s">
        <v>3</v>
      </c>
      <c r="E64" s="18" t="s">
        <v>3</v>
      </c>
      <c r="F64" s="18" t="s">
        <v>762</v>
      </c>
      <c r="G64" s="18">
        <v>4</v>
      </c>
      <c r="H64" s="18">
        <v>1</v>
      </c>
      <c r="I64" s="18">
        <f t="shared" si="11"/>
        <v>4</v>
      </c>
      <c r="J64" s="18" t="s">
        <v>841</v>
      </c>
      <c r="K64" s="299"/>
      <c r="M64" s="340">
        <f t="shared" si="1"/>
        <v>96</v>
      </c>
      <c r="N64" s="70">
        <f t="shared" si="2"/>
        <v>384</v>
      </c>
      <c r="O64" s="299" t="s">
        <v>841</v>
      </c>
    </row>
    <row r="65" spans="1:15" ht="15.75" customHeight="1">
      <c r="A65" s="298" t="s">
        <v>920</v>
      </c>
      <c r="B65" s="18" t="s">
        <v>3</v>
      </c>
      <c r="C65" s="18" t="s">
        <v>1135</v>
      </c>
      <c r="D65" s="18" t="s">
        <v>3</v>
      </c>
      <c r="E65" s="18" t="s">
        <v>3</v>
      </c>
      <c r="F65" s="18" t="s">
        <v>47</v>
      </c>
      <c r="G65" s="18">
        <v>2</v>
      </c>
      <c r="H65" s="18">
        <v>2E-3</v>
      </c>
      <c r="I65" s="18">
        <f t="shared" si="11"/>
        <v>4.0000000000000001E-3</v>
      </c>
      <c r="J65" s="18" t="s">
        <v>1136</v>
      </c>
      <c r="K65" s="299"/>
      <c r="M65" s="340">
        <f t="shared" si="1"/>
        <v>96</v>
      </c>
      <c r="N65" s="70">
        <f t="shared" si="2"/>
        <v>0.38400000000000001</v>
      </c>
      <c r="O65" s="18" t="s">
        <v>1136</v>
      </c>
    </row>
    <row r="66" spans="1:15" ht="15.75" customHeight="1" thickBot="1">
      <c r="A66" s="350" t="s">
        <v>922</v>
      </c>
      <c r="B66" s="296" t="s">
        <v>3</v>
      </c>
      <c r="C66" s="296" t="s">
        <v>1137</v>
      </c>
      <c r="D66" s="296" t="s">
        <v>3</v>
      </c>
      <c r="E66" s="296" t="s">
        <v>3</v>
      </c>
      <c r="F66" s="296" t="s">
        <v>3</v>
      </c>
      <c r="G66" s="296">
        <v>2</v>
      </c>
      <c r="H66" s="287">
        <v>1</v>
      </c>
      <c r="I66" s="287">
        <f t="shared" si="11"/>
        <v>2</v>
      </c>
      <c r="J66" s="287" t="s">
        <v>841</v>
      </c>
      <c r="K66" s="351"/>
      <c r="M66" s="340">
        <f t="shared" si="1"/>
        <v>96</v>
      </c>
      <c r="N66" s="70">
        <f t="shared" si="2"/>
        <v>192</v>
      </c>
      <c r="O66" s="299" t="s">
        <v>841</v>
      </c>
    </row>
    <row r="67" spans="1:15" ht="16.5" thickBot="1">
      <c r="A67" s="708" t="s">
        <v>1138</v>
      </c>
      <c r="B67" s="709"/>
      <c r="C67" s="709"/>
      <c r="D67" s="709"/>
      <c r="E67" s="709"/>
      <c r="F67" s="709"/>
      <c r="G67" s="709"/>
      <c r="H67" s="709"/>
      <c r="I67" s="709"/>
      <c r="J67" s="709"/>
      <c r="K67" s="710"/>
      <c r="L67" s="294"/>
      <c r="M67" s="711"/>
      <c r="N67" s="712"/>
      <c r="O67" s="713"/>
    </row>
    <row r="68" spans="1:15" ht="15.75" customHeight="1">
      <c r="A68" s="297" t="s">
        <v>924</v>
      </c>
      <c r="B68" s="309" t="s">
        <v>3</v>
      </c>
      <c r="C68" s="309" t="s">
        <v>1139</v>
      </c>
      <c r="D68" s="309" t="s">
        <v>3</v>
      </c>
      <c r="E68" s="309" t="s">
        <v>3</v>
      </c>
      <c r="F68" s="309" t="s">
        <v>3</v>
      </c>
      <c r="G68" s="309">
        <v>1</v>
      </c>
      <c r="H68" s="309">
        <v>1</v>
      </c>
      <c r="I68" s="309">
        <f t="shared" si="11"/>
        <v>1</v>
      </c>
      <c r="J68" s="309" t="s">
        <v>841</v>
      </c>
      <c r="K68" s="310"/>
      <c r="L68" s="347"/>
      <c r="M68" s="340">
        <f t="shared" si="1"/>
        <v>96</v>
      </c>
      <c r="N68" s="70">
        <f t="shared" ref="N68:N76" si="12">M68*I68</f>
        <v>96</v>
      </c>
      <c r="O68" s="299" t="s">
        <v>841</v>
      </c>
    </row>
    <row r="69" spans="1:15" ht="15.75" customHeight="1">
      <c r="A69" s="298" t="s">
        <v>926</v>
      </c>
      <c r="B69" s="18" t="s">
        <v>3</v>
      </c>
      <c r="C69" s="245" t="s">
        <v>1140</v>
      </c>
      <c r="D69" s="18" t="s">
        <v>3</v>
      </c>
      <c r="E69" s="18" t="s">
        <v>3</v>
      </c>
      <c r="F69" s="18" t="s">
        <v>3</v>
      </c>
      <c r="G69" s="18">
        <v>0.25</v>
      </c>
      <c r="H69" s="18">
        <v>1</v>
      </c>
      <c r="I69" s="18">
        <f t="shared" si="11"/>
        <v>0.25</v>
      </c>
      <c r="J69" s="18" t="s">
        <v>841</v>
      </c>
      <c r="K69" s="299" t="s">
        <v>1141</v>
      </c>
      <c r="L69" s="347"/>
      <c r="M69" s="340">
        <f t="shared" si="1"/>
        <v>96</v>
      </c>
      <c r="N69" s="70">
        <f t="shared" si="12"/>
        <v>24</v>
      </c>
      <c r="O69" s="299" t="s">
        <v>841</v>
      </c>
    </row>
    <row r="70" spans="1:15" ht="15.75" customHeight="1">
      <c r="A70" s="298" t="s">
        <v>927</v>
      </c>
      <c r="B70" s="18" t="s">
        <v>3</v>
      </c>
      <c r="C70" s="18" t="s">
        <v>1142</v>
      </c>
      <c r="D70" s="18" t="s">
        <v>3</v>
      </c>
      <c r="E70" s="18" t="s">
        <v>3</v>
      </c>
      <c r="F70" s="18" t="s">
        <v>1143</v>
      </c>
      <c r="G70" s="18">
        <v>2</v>
      </c>
      <c r="H70" s="18">
        <v>1</v>
      </c>
      <c r="I70" s="18">
        <f t="shared" si="11"/>
        <v>2</v>
      </c>
      <c r="J70" s="18" t="s">
        <v>841</v>
      </c>
      <c r="K70" s="690" t="s">
        <v>1144</v>
      </c>
      <c r="M70" s="340">
        <f t="shared" si="1"/>
        <v>96</v>
      </c>
      <c r="N70" s="70">
        <f t="shared" si="12"/>
        <v>192</v>
      </c>
      <c r="O70" s="299" t="s">
        <v>841</v>
      </c>
    </row>
    <row r="71" spans="1:15" ht="15.75" customHeight="1">
      <c r="A71" s="298" t="s">
        <v>928</v>
      </c>
      <c r="B71" s="18" t="s">
        <v>3</v>
      </c>
      <c r="C71" s="18" t="s">
        <v>1145</v>
      </c>
      <c r="D71" s="18" t="s">
        <v>3</v>
      </c>
      <c r="E71" s="18" t="s">
        <v>3</v>
      </c>
      <c r="F71" s="18" t="s">
        <v>762</v>
      </c>
      <c r="G71" s="18">
        <v>2</v>
      </c>
      <c r="H71" s="18">
        <v>1</v>
      </c>
      <c r="I71" s="18">
        <f t="shared" si="11"/>
        <v>2</v>
      </c>
      <c r="J71" s="18" t="s">
        <v>841</v>
      </c>
      <c r="K71" s="690"/>
      <c r="M71" s="340">
        <f t="shared" si="1"/>
        <v>96</v>
      </c>
      <c r="N71" s="70">
        <f t="shared" si="12"/>
        <v>192</v>
      </c>
      <c r="O71" s="299" t="s">
        <v>841</v>
      </c>
    </row>
    <row r="72" spans="1:15" ht="15.75" customHeight="1">
      <c r="A72" s="298" t="s">
        <v>929</v>
      </c>
      <c r="B72" s="18" t="s">
        <v>3</v>
      </c>
      <c r="C72" s="18" t="s">
        <v>1146</v>
      </c>
      <c r="D72" s="18" t="s">
        <v>3</v>
      </c>
      <c r="E72" s="18" t="s">
        <v>3</v>
      </c>
      <c r="F72" s="18" t="s">
        <v>120</v>
      </c>
      <c r="G72" s="18">
        <v>4</v>
      </c>
      <c r="H72" s="18">
        <v>1</v>
      </c>
      <c r="I72" s="18">
        <f t="shared" si="11"/>
        <v>4</v>
      </c>
      <c r="J72" s="18" t="s">
        <v>841</v>
      </c>
      <c r="K72" s="690"/>
      <c r="M72" s="340">
        <f t="shared" si="1"/>
        <v>96</v>
      </c>
      <c r="N72" s="70">
        <f t="shared" si="12"/>
        <v>384</v>
      </c>
      <c r="O72" s="299" t="s">
        <v>841</v>
      </c>
    </row>
    <row r="73" spans="1:15" ht="15.75" customHeight="1">
      <c r="A73" s="298" t="s">
        <v>931</v>
      </c>
      <c r="B73" s="18" t="s">
        <v>3</v>
      </c>
      <c r="C73" s="245" t="s">
        <v>1147</v>
      </c>
      <c r="D73" s="18" t="s">
        <v>3</v>
      </c>
      <c r="E73" s="18" t="s">
        <v>3</v>
      </c>
      <c r="F73" s="18" t="s">
        <v>3</v>
      </c>
      <c r="G73" s="18">
        <v>2</v>
      </c>
      <c r="H73" s="18">
        <v>1</v>
      </c>
      <c r="I73" s="18">
        <f t="shared" si="11"/>
        <v>2</v>
      </c>
      <c r="J73" s="18" t="s">
        <v>841</v>
      </c>
      <c r="K73" s="299"/>
      <c r="L73" s="347"/>
      <c r="M73" s="340">
        <f t="shared" si="1"/>
        <v>96</v>
      </c>
      <c r="N73" s="70">
        <f t="shared" si="12"/>
        <v>192</v>
      </c>
      <c r="O73" s="299" t="s">
        <v>841</v>
      </c>
    </row>
    <row r="74" spans="1:15" ht="15.75" customHeight="1">
      <c r="A74" s="298" t="s">
        <v>932</v>
      </c>
      <c r="B74" s="18" t="s">
        <v>3</v>
      </c>
      <c r="C74" s="245" t="s">
        <v>1148</v>
      </c>
      <c r="D74" s="18" t="s">
        <v>3</v>
      </c>
      <c r="E74" s="18" t="s">
        <v>3</v>
      </c>
      <c r="F74" s="18" t="s">
        <v>1149</v>
      </c>
      <c r="G74" s="18">
        <v>5.0000000000000001E-3</v>
      </c>
      <c r="H74" s="18">
        <v>1</v>
      </c>
      <c r="I74" s="18">
        <f t="shared" si="11"/>
        <v>5.0000000000000001E-3</v>
      </c>
      <c r="J74" s="18" t="s">
        <v>807</v>
      </c>
      <c r="K74" s="299"/>
      <c r="L74" s="347"/>
      <c r="M74" s="340">
        <f t="shared" si="1"/>
        <v>96</v>
      </c>
      <c r="N74" s="70">
        <f t="shared" si="12"/>
        <v>0.48</v>
      </c>
      <c r="O74" s="299" t="s">
        <v>807</v>
      </c>
    </row>
    <row r="75" spans="1:15" ht="15.75" customHeight="1">
      <c r="A75" s="298" t="s">
        <v>933</v>
      </c>
      <c r="B75" s="18" t="s">
        <v>3</v>
      </c>
      <c r="C75" s="245" t="s">
        <v>1150</v>
      </c>
      <c r="D75" s="18" t="s">
        <v>3</v>
      </c>
      <c r="E75" s="18" t="s">
        <v>3</v>
      </c>
      <c r="F75" s="18" t="s">
        <v>3</v>
      </c>
      <c r="G75" s="18">
        <v>0.45</v>
      </c>
      <c r="H75" s="18">
        <v>1</v>
      </c>
      <c r="I75" s="18">
        <f t="shared" si="11"/>
        <v>0.45</v>
      </c>
      <c r="J75" s="18" t="s">
        <v>1151</v>
      </c>
      <c r="K75" s="299"/>
      <c r="L75" s="347"/>
      <c r="M75" s="340">
        <f t="shared" si="1"/>
        <v>96</v>
      </c>
      <c r="N75" s="70">
        <f t="shared" si="12"/>
        <v>43.2</v>
      </c>
      <c r="O75" s="299" t="s">
        <v>1151</v>
      </c>
    </row>
    <row r="76" spans="1:15" ht="15.75" customHeight="1" thickBot="1">
      <c r="A76" s="300" t="s">
        <v>934</v>
      </c>
      <c r="B76" s="287" t="s">
        <v>3</v>
      </c>
      <c r="C76" s="312" t="s">
        <v>1152</v>
      </c>
      <c r="D76" s="287" t="s">
        <v>3</v>
      </c>
      <c r="E76" s="287" t="s">
        <v>3</v>
      </c>
      <c r="F76" s="287" t="s">
        <v>3</v>
      </c>
      <c r="G76" s="287">
        <v>1</v>
      </c>
      <c r="H76" s="287">
        <v>1</v>
      </c>
      <c r="I76" s="287">
        <f t="shared" si="11"/>
        <v>1</v>
      </c>
      <c r="J76" s="287" t="s">
        <v>841</v>
      </c>
      <c r="K76" s="303"/>
      <c r="L76" s="347"/>
      <c r="M76" s="340">
        <f t="shared" si="1"/>
        <v>96</v>
      </c>
      <c r="N76" s="70">
        <f t="shared" si="12"/>
        <v>96</v>
      </c>
      <c r="O76" s="299" t="s">
        <v>841</v>
      </c>
    </row>
    <row r="77" spans="1:15" ht="16.5" thickBot="1">
      <c r="A77" s="676" t="s">
        <v>1153</v>
      </c>
      <c r="B77" s="677"/>
      <c r="C77" s="677"/>
      <c r="D77" s="677"/>
      <c r="E77" s="677"/>
      <c r="F77" s="677"/>
      <c r="G77" s="677"/>
      <c r="H77" s="677"/>
      <c r="I77" s="677"/>
      <c r="J77" s="677"/>
      <c r="K77" s="678"/>
      <c r="M77" s="685"/>
      <c r="N77" s="686"/>
      <c r="O77" s="687"/>
    </row>
    <row r="78" spans="1:15" ht="15.75" customHeight="1">
      <c r="A78" s="297" t="s">
        <v>936</v>
      </c>
      <c r="B78" s="309" t="s">
        <v>3</v>
      </c>
      <c r="C78" s="309" t="s">
        <v>1154</v>
      </c>
      <c r="D78" s="309" t="s">
        <v>3</v>
      </c>
      <c r="E78" s="309" t="s">
        <v>3</v>
      </c>
      <c r="F78" s="309" t="s">
        <v>1155</v>
      </c>
      <c r="G78" s="352">
        <v>0</v>
      </c>
      <c r="H78" s="309">
        <v>1</v>
      </c>
      <c r="I78" s="309">
        <f t="shared" si="11"/>
        <v>0</v>
      </c>
      <c r="J78" s="309" t="s">
        <v>807</v>
      </c>
      <c r="K78" s="714" t="s">
        <v>1156</v>
      </c>
      <c r="M78" s="353">
        <f>$N$2</f>
        <v>96</v>
      </c>
      <c r="N78" s="354">
        <f t="shared" si="2"/>
        <v>0</v>
      </c>
      <c r="O78" s="355" t="s">
        <v>807</v>
      </c>
    </row>
    <row r="79" spans="1:15" ht="15.75" customHeight="1" thickBot="1">
      <c r="A79" s="300" t="s">
        <v>939</v>
      </c>
      <c r="B79" s="287" t="s">
        <v>3</v>
      </c>
      <c r="C79" s="287" t="s">
        <v>1157</v>
      </c>
      <c r="D79" s="287" t="s">
        <v>3</v>
      </c>
      <c r="E79" s="287" t="s">
        <v>3</v>
      </c>
      <c r="F79" s="287" t="s">
        <v>1158</v>
      </c>
      <c r="G79" s="356">
        <v>0</v>
      </c>
      <c r="H79" s="287">
        <v>1</v>
      </c>
      <c r="I79" s="287">
        <f t="shared" si="11"/>
        <v>0</v>
      </c>
      <c r="J79" s="287" t="s">
        <v>807</v>
      </c>
      <c r="K79" s="715"/>
      <c r="M79" s="353">
        <f>$N$2</f>
        <v>96</v>
      </c>
      <c r="N79" s="354">
        <f t="shared" si="2"/>
        <v>0</v>
      </c>
      <c r="O79" s="355" t="s">
        <v>807</v>
      </c>
    </row>
    <row r="80" spans="1:15" ht="15.75" customHeight="1" thickBot="1">
      <c r="A80" s="705" t="s">
        <v>1159</v>
      </c>
      <c r="B80" s="706"/>
      <c r="C80" s="706"/>
      <c r="D80" s="706"/>
      <c r="E80" s="706"/>
      <c r="F80" s="706"/>
      <c r="G80" s="706"/>
      <c r="H80" s="706"/>
      <c r="I80" s="706"/>
      <c r="J80" s="706"/>
      <c r="K80" s="707"/>
      <c r="M80" s="685"/>
      <c r="N80" s="686"/>
      <c r="O80" s="687"/>
    </row>
    <row r="81" spans="1:15" ht="15.75" customHeight="1">
      <c r="A81" s="297" t="s">
        <v>1160</v>
      </c>
      <c r="B81" s="309" t="s">
        <v>3</v>
      </c>
      <c r="C81" s="309" t="s">
        <v>1161</v>
      </c>
      <c r="D81" s="309" t="s">
        <v>3</v>
      </c>
      <c r="E81" s="309" t="s">
        <v>3</v>
      </c>
      <c r="F81" s="309" t="s">
        <v>1162</v>
      </c>
      <c r="G81" s="309">
        <v>1</v>
      </c>
      <c r="H81" s="309">
        <v>1</v>
      </c>
      <c r="I81" s="309">
        <f t="shared" ref="I81:I83" si="13">G81*H81</f>
        <v>1</v>
      </c>
      <c r="J81" s="309" t="s">
        <v>841</v>
      </c>
      <c r="K81" s="310" t="s">
        <v>1163</v>
      </c>
      <c r="L81" s="347"/>
      <c r="M81" s="340">
        <f t="shared" si="1"/>
        <v>96</v>
      </c>
      <c r="N81" s="70">
        <f t="shared" si="2"/>
        <v>96</v>
      </c>
      <c r="O81" s="299" t="s">
        <v>841</v>
      </c>
    </row>
    <row r="82" spans="1:15" ht="15.75" customHeight="1">
      <c r="A82" s="298" t="s">
        <v>940</v>
      </c>
      <c r="B82" s="18" t="s">
        <v>3</v>
      </c>
      <c r="C82" s="18" t="s">
        <v>1164</v>
      </c>
      <c r="D82" s="18" t="s">
        <v>3</v>
      </c>
      <c r="E82" s="18" t="s">
        <v>3</v>
      </c>
      <c r="F82" s="18" t="s">
        <v>3</v>
      </c>
      <c r="G82" s="18">
        <v>1</v>
      </c>
      <c r="H82" s="18">
        <v>1</v>
      </c>
      <c r="I82" s="18">
        <f t="shared" si="13"/>
        <v>1</v>
      </c>
      <c r="J82" s="18" t="s">
        <v>841</v>
      </c>
      <c r="K82" s="299" t="s">
        <v>1165</v>
      </c>
      <c r="L82" s="347"/>
      <c r="M82" s="340">
        <f t="shared" si="1"/>
        <v>96</v>
      </c>
      <c r="N82" s="70">
        <f t="shared" si="2"/>
        <v>96</v>
      </c>
      <c r="O82" s="299" t="s">
        <v>841</v>
      </c>
    </row>
    <row r="83" spans="1:15" ht="15.75" customHeight="1" thickBot="1">
      <c r="A83" s="300" t="s">
        <v>941</v>
      </c>
      <c r="B83" s="287" t="s">
        <v>3</v>
      </c>
      <c r="C83" s="312" t="s">
        <v>1140</v>
      </c>
      <c r="D83" s="287" t="s">
        <v>3</v>
      </c>
      <c r="E83" s="287" t="s">
        <v>3</v>
      </c>
      <c r="F83" s="287" t="s">
        <v>3</v>
      </c>
      <c r="G83" s="287">
        <v>0.5</v>
      </c>
      <c r="H83" s="287">
        <v>1</v>
      </c>
      <c r="I83" s="287">
        <f t="shared" si="13"/>
        <v>0.5</v>
      </c>
      <c r="J83" s="287" t="s">
        <v>841</v>
      </c>
      <c r="K83" s="303" t="s">
        <v>1166</v>
      </c>
      <c r="L83" s="347"/>
      <c r="M83" s="340">
        <f t="shared" si="1"/>
        <v>96</v>
      </c>
      <c r="N83" s="70">
        <f t="shared" si="2"/>
        <v>48</v>
      </c>
      <c r="O83" s="299" t="s">
        <v>841</v>
      </c>
    </row>
    <row r="84" spans="1:15" ht="15.75" customHeight="1" thickBot="1">
      <c r="A84" s="676" t="s">
        <v>56</v>
      </c>
      <c r="B84" s="677"/>
      <c r="C84" s="677"/>
      <c r="D84" s="677"/>
      <c r="E84" s="677"/>
      <c r="F84" s="677"/>
      <c r="G84" s="677"/>
      <c r="H84" s="677"/>
      <c r="I84" s="677"/>
      <c r="J84" s="677"/>
      <c r="K84" s="678"/>
      <c r="M84" s="685"/>
      <c r="N84" s="686"/>
      <c r="O84" s="687"/>
    </row>
    <row r="85" spans="1:15" ht="15.75" customHeight="1">
      <c r="A85" s="297" t="s">
        <v>942</v>
      </c>
      <c r="B85" s="309" t="s">
        <v>3</v>
      </c>
      <c r="C85" s="309" t="s">
        <v>1167</v>
      </c>
      <c r="D85" s="309" t="s">
        <v>3</v>
      </c>
      <c r="E85" s="309" t="s">
        <v>3</v>
      </c>
      <c r="F85" s="309" t="s">
        <v>3</v>
      </c>
      <c r="G85" s="311">
        <v>0.04</v>
      </c>
      <c r="H85" s="309">
        <v>1</v>
      </c>
      <c r="I85" s="309">
        <f>G85*H85</f>
        <v>0.04</v>
      </c>
      <c r="J85" s="309" t="s">
        <v>841</v>
      </c>
      <c r="K85" s="310"/>
      <c r="M85" s="340">
        <f t="shared" si="1"/>
        <v>96</v>
      </c>
      <c r="N85" s="70">
        <f t="shared" si="2"/>
        <v>3.84</v>
      </c>
      <c r="O85" s="299" t="s">
        <v>841</v>
      </c>
    </row>
    <row r="86" spans="1:15" ht="15.75" customHeight="1">
      <c r="A86" s="298" t="s">
        <v>943</v>
      </c>
      <c r="B86" s="18" t="s">
        <v>3</v>
      </c>
      <c r="C86" s="18" t="s">
        <v>1168</v>
      </c>
      <c r="D86" s="18" t="s">
        <v>3</v>
      </c>
      <c r="E86" s="18" t="s">
        <v>3</v>
      </c>
      <c r="F86" s="18" t="s">
        <v>63</v>
      </c>
      <c r="G86" s="245">
        <v>1</v>
      </c>
      <c r="H86" s="245">
        <v>1</v>
      </c>
      <c r="I86" s="18">
        <f t="shared" ref="I86:I91" si="14">G86*H86</f>
        <v>1</v>
      </c>
      <c r="J86" s="18" t="s">
        <v>841</v>
      </c>
      <c r="K86" s="357" t="s">
        <v>1169</v>
      </c>
      <c r="M86" s="340">
        <f t="shared" si="1"/>
        <v>96</v>
      </c>
      <c r="N86" s="70">
        <f t="shared" si="2"/>
        <v>96</v>
      </c>
      <c r="O86" s="299" t="s">
        <v>841</v>
      </c>
    </row>
    <row r="87" spans="1:15" ht="15.75" customHeight="1">
      <c r="A87" s="298" t="s">
        <v>944</v>
      </c>
      <c r="B87" s="18" t="s">
        <v>3</v>
      </c>
      <c r="C87" s="18" t="s">
        <v>1170</v>
      </c>
      <c r="D87" s="18" t="s">
        <v>3</v>
      </c>
      <c r="E87" s="18" t="s">
        <v>1171</v>
      </c>
      <c r="F87" s="18" t="s">
        <v>1172</v>
      </c>
      <c r="G87" s="245">
        <v>2</v>
      </c>
      <c r="H87" s="245">
        <v>1</v>
      </c>
      <c r="I87" s="18">
        <f t="shared" si="14"/>
        <v>2</v>
      </c>
      <c r="J87" s="18" t="s">
        <v>841</v>
      </c>
      <c r="K87" s="357" t="s">
        <v>1169</v>
      </c>
      <c r="M87" s="340">
        <f t="shared" si="1"/>
        <v>96</v>
      </c>
      <c r="N87" s="70">
        <f t="shared" si="2"/>
        <v>192</v>
      </c>
      <c r="O87" s="299" t="s">
        <v>841</v>
      </c>
    </row>
    <row r="88" spans="1:15" ht="15.75" customHeight="1">
      <c r="A88" s="298" t="s">
        <v>945</v>
      </c>
      <c r="B88" s="18" t="s">
        <v>1173</v>
      </c>
      <c r="C88" s="18" t="s">
        <v>1174</v>
      </c>
      <c r="D88" s="18" t="s">
        <v>3</v>
      </c>
      <c r="E88" s="18" t="s">
        <v>1175</v>
      </c>
      <c r="F88" s="18" t="s">
        <v>1176</v>
      </c>
      <c r="G88" s="245">
        <v>1</v>
      </c>
      <c r="H88" s="245">
        <v>1</v>
      </c>
      <c r="I88" s="18">
        <f t="shared" si="14"/>
        <v>1</v>
      </c>
      <c r="J88" s="245" t="s">
        <v>1177</v>
      </c>
      <c r="K88" s="357" t="s">
        <v>1169</v>
      </c>
      <c r="M88" s="340">
        <f t="shared" si="1"/>
        <v>96</v>
      </c>
      <c r="N88" s="70">
        <f t="shared" si="2"/>
        <v>96</v>
      </c>
      <c r="O88" s="28" t="s">
        <v>1177</v>
      </c>
    </row>
    <row r="89" spans="1:15" ht="15.75" customHeight="1">
      <c r="A89" s="298" t="s">
        <v>946</v>
      </c>
      <c r="B89" s="18" t="s">
        <v>3</v>
      </c>
      <c r="C89" s="18" t="s">
        <v>1178</v>
      </c>
      <c r="D89" s="18" t="s">
        <v>3</v>
      </c>
      <c r="E89" s="18" t="s">
        <v>3</v>
      </c>
      <c r="F89" s="18" t="s">
        <v>3</v>
      </c>
      <c r="G89" s="18">
        <v>1</v>
      </c>
      <c r="H89" s="18">
        <v>1</v>
      </c>
      <c r="I89" s="18">
        <f t="shared" si="14"/>
        <v>1</v>
      </c>
      <c r="J89" s="18" t="s">
        <v>841</v>
      </c>
      <c r="K89" s="299"/>
      <c r="M89" s="340">
        <f t="shared" si="1"/>
        <v>96</v>
      </c>
      <c r="N89" s="70">
        <f t="shared" si="2"/>
        <v>96</v>
      </c>
      <c r="O89" s="299" t="s">
        <v>841</v>
      </c>
    </row>
    <row r="90" spans="1:15" ht="15.75" customHeight="1">
      <c r="A90" s="298" t="s">
        <v>948</v>
      </c>
      <c r="B90" s="18" t="s">
        <v>3</v>
      </c>
      <c r="C90" s="245" t="s">
        <v>1179</v>
      </c>
      <c r="D90" s="18" t="s">
        <v>3</v>
      </c>
      <c r="E90" s="18" t="s">
        <v>3</v>
      </c>
      <c r="F90" s="18" t="s">
        <v>3</v>
      </c>
      <c r="G90" s="18">
        <v>1</v>
      </c>
      <c r="H90" s="18">
        <v>1</v>
      </c>
      <c r="I90" s="18">
        <f t="shared" si="14"/>
        <v>1</v>
      </c>
      <c r="J90" s="18" t="s">
        <v>841</v>
      </c>
      <c r="K90" s="299"/>
      <c r="M90" s="340">
        <f t="shared" si="1"/>
        <v>96</v>
      </c>
      <c r="N90" s="70">
        <f t="shared" si="2"/>
        <v>96</v>
      </c>
      <c r="O90" s="299" t="s">
        <v>841</v>
      </c>
    </row>
    <row r="91" spans="1:15" ht="15.75" customHeight="1">
      <c r="A91" s="298" t="s">
        <v>950</v>
      </c>
      <c r="B91" s="18" t="s">
        <v>3</v>
      </c>
      <c r="C91" s="245" t="s">
        <v>113</v>
      </c>
      <c r="D91" s="18" t="s">
        <v>3</v>
      </c>
      <c r="E91" s="18" t="s">
        <v>3</v>
      </c>
      <c r="F91" s="18" t="s">
        <v>3</v>
      </c>
      <c r="G91" s="18">
        <v>1</v>
      </c>
      <c r="H91" s="18">
        <v>1</v>
      </c>
      <c r="I91" s="18">
        <f t="shared" si="14"/>
        <v>1</v>
      </c>
      <c r="J91" s="18" t="s">
        <v>841</v>
      </c>
      <c r="K91" s="299"/>
      <c r="M91" s="340">
        <f t="shared" si="1"/>
        <v>96</v>
      </c>
      <c r="N91" s="70">
        <f t="shared" si="2"/>
        <v>96</v>
      </c>
      <c r="O91" s="299" t="s">
        <v>841</v>
      </c>
    </row>
    <row r="92" spans="1:15" ht="15.75" customHeight="1">
      <c r="A92" s="298" t="s">
        <v>951</v>
      </c>
      <c r="B92" s="18" t="s">
        <v>1173</v>
      </c>
      <c r="C92" s="245" t="s">
        <v>1180</v>
      </c>
      <c r="D92" s="18" t="s">
        <v>3</v>
      </c>
      <c r="E92" s="18" t="s">
        <v>1181</v>
      </c>
      <c r="F92" s="18" t="s">
        <v>1182</v>
      </c>
      <c r="G92" s="18">
        <v>1</v>
      </c>
      <c r="H92" s="18">
        <v>1</v>
      </c>
      <c r="I92" s="18">
        <v>0.03</v>
      </c>
      <c r="J92" s="18" t="s">
        <v>841</v>
      </c>
      <c r="K92" s="357" t="s">
        <v>1169</v>
      </c>
      <c r="M92" s="340">
        <f t="shared" si="1"/>
        <v>96</v>
      </c>
      <c r="N92" s="70">
        <f t="shared" si="2"/>
        <v>2.88</v>
      </c>
      <c r="O92" s="299" t="s">
        <v>841</v>
      </c>
    </row>
    <row r="93" spans="1:15" ht="15.75" customHeight="1" thickBot="1">
      <c r="A93" s="300" t="s">
        <v>953</v>
      </c>
      <c r="B93" s="287" t="s">
        <v>3</v>
      </c>
      <c r="C93" s="312" t="s">
        <v>1183</v>
      </c>
      <c r="D93" s="287" t="s">
        <v>3</v>
      </c>
      <c r="E93" s="287" t="s">
        <v>3</v>
      </c>
      <c r="F93" s="287" t="s">
        <v>1184</v>
      </c>
      <c r="G93" s="356">
        <v>0</v>
      </c>
      <c r="H93" s="287">
        <v>1</v>
      </c>
      <c r="I93" s="287">
        <f>G93*H93</f>
        <v>0</v>
      </c>
      <c r="J93" s="287" t="s">
        <v>935</v>
      </c>
      <c r="K93" s="303" t="s">
        <v>1185</v>
      </c>
      <c r="M93" s="353">
        <f>$N$2</f>
        <v>96</v>
      </c>
      <c r="N93" s="358">
        <f t="shared" si="2"/>
        <v>0</v>
      </c>
      <c r="O93" s="359" t="s">
        <v>935</v>
      </c>
    </row>
  </sheetData>
  <mergeCells count="53">
    <mergeCell ref="A84:K84"/>
    <mergeCell ref="M84:O84"/>
    <mergeCell ref="K70:K72"/>
    <mergeCell ref="A77:K77"/>
    <mergeCell ref="M77:O77"/>
    <mergeCell ref="K78:K79"/>
    <mergeCell ref="A80:K80"/>
    <mergeCell ref="M80:O80"/>
    <mergeCell ref="A56:K56"/>
    <mergeCell ref="M56:O56"/>
    <mergeCell ref="A61:K61"/>
    <mergeCell ref="M61:O61"/>
    <mergeCell ref="A67:K67"/>
    <mergeCell ref="M67:O67"/>
    <mergeCell ref="B53:K53"/>
    <mergeCell ref="M53:O53"/>
    <mergeCell ref="B35:K35"/>
    <mergeCell ref="M35:O36"/>
    <mergeCell ref="B36:K36"/>
    <mergeCell ref="B39:K39"/>
    <mergeCell ref="M39:O39"/>
    <mergeCell ref="B41:K41"/>
    <mergeCell ref="M41:O42"/>
    <mergeCell ref="B42:K42"/>
    <mergeCell ref="B46:K46"/>
    <mergeCell ref="M46:O46"/>
    <mergeCell ref="B49:K49"/>
    <mergeCell ref="M49:O50"/>
    <mergeCell ref="B50:K50"/>
    <mergeCell ref="B33:K33"/>
    <mergeCell ref="M33:O33"/>
    <mergeCell ref="M2:M3"/>
    <mergeCell ref="N2:N3"/>
    <mergeCell ref="O2:O3"/>
    <mergeCell ref="A4:K4"/>
    <mergeCell ref="M4:O6"/>
    <mergeCell ref="B5:K5"/>
    <mergeCell ref="B6:K6"/>
    <mergeCell ref="B13:K13"/>
    <mergeCell ref="M13:O13"/>
    <mergeCell ref="B28:K28"/>
    <mergeCell ref="M28:O29"/>
    <mergeCell ref="B29:K29"/>
    <mergeCell ref="A1:K1"/>
    <mergeCell ref="M1:O1"/>
    <mergeCell ref="A2:A3"/>
    <mergeCell ref="B2:B3"/>
    <mergeCell ref="C2:C3"/>
    <mergeCell ref="D2:F2"/>
    <mergeCell ref="G2:G3"/>
    <mergeCell ref="H2:I2"/>
    <mergeCell ref="J2:J3"/>
    <mergeCell ref="K2:K3"/>
  </mergeCells>
  <conditionalFormatting sqref="B38">
    <cfRule type="duplicateValues" dxfId="186" priority="6"/>
  </conditionalFormatting>
  <conditionalFormatting sqref="C38">
    <cfRule type="duplicateValues" dxfId="185" priority="5"/>
  </conditionalFormatting>
  <conditionalFormatting sqref="C44">
    <cfRule type="duplicateValues" dxfId="184" priority="4"/>
  </conditionalFormatting>
  <conditionalFormatting sqref="C45">
    <cfRule type="duplicateValues" dxfId="183" priority="3"/>
  </conditionalFormatting>
  <conditionalFormatting sqref="B60:C60">
    <cfRule type="duplicateValues" dxfId="182" priority="2"/>
  </conditionalFormatting>
  <conditionalFormatting sqref="B52:C52">
    <cfRule type="duplicateValues" dxfId="181" priority="1"/>
  </conditionalFormatting>
  <hyperlinks>
    <hyperlink ref="F27" r:id="rId1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topLeftCell="B1" workbookViewId="0">
      <selection activeCell="H51" sqref="H51:I51"/>
    </sheetView>
  </sheetViews>
  <sheetFormatPr defaultRowHeight="15.95" customHeight="1"/>
  <cols>
    <col min="1" max="1" width="6.85546875" customWidth="1"/>
    <col min="2" max="2" width="29.42578125" customWidth="1"/>
    <col min="3" max="3" width="43.28515625" customWidth="1"/>
    <col min="4" max="4" width="16.7109375" customWidth="1"/>
    <col min="5" max="5" width="28.28515625" customWidth="1"/>
    <col min="6" max="6" width="35.85546875" customWidth="1"/>
  </cols>
  <sheetData>
    <row r="1" spans="1:15" ht="15.95" customHeight="1" thickBot="1">
      <c r="A1" s="655" t="s">
        <v>1205</v>
      </c>
      <c r="B1" s="656"/>
      <c r="C1" s="656"/>
      <c r="D1" s="656"/>
      <c r="E1" s="656"/>
      <c r="F1" s="656"/>
      <c r="G1" s="656"/>
      <c r="H1" s="657"/>
      <c r="I1" s="657"/>
      <c r="J1" s="657"/>
      <c r="K1" s="658"/>
      <c r="L1" s="361" t="s">
        <v>1204</v>
      </c>
      <c r="M1" s="682" t="s">
        <v>1037</v>
      </c>
      <c r="N1" s="683"/>
      <c r="O1" s="684"/>
    </row>
    <row r="2" spans="1:15" ht="15.95" customHeight="1">
      <c r="A2" s="659" t="s">
        <v>17</v>
      </c>
      <c r="B2" s="661" t="s">
        <v>789</v>
      </c>
      <c r="C2" s="661" t="s">
        <v>790</v>
      </c>
      <c r="D2" s="661" t="s">
        <v>791</v>
      </c>
      <c r="E2" s="661"/>
      <c r="F2" s="661"/>
      <c r="G2" s="661" t="s">
        <v>792</v>
      </c>
      <c r="H2" s="663" t="s">
        <v>367</v>
      </c>
      <c r="I2" s="664"/>
      <c r="J2" s="665" t="s">
        <v>793</v>
      </c>
      <c r="K2" s="667" t="s">
        <v>794</v>
      </c>
      <c r="M2" s="688" t="s">
        <v>1038</v>
      </c>
      <c r="N2" s="689">
        <v>99</v>
      </c>
      <c r="O2" s="690" t="s">
        <v>793</v>
      </c>
    </row>
    <row r="3" spans="1:15" ht="15.95" customHeight="1" thickBot="1">
      <c r="A3" s="660"/>
      <c r="B3" s="662"/>
      <c r="C3" s="662"/>
      <c r="D3" s="287" t="s">
        <v>795</v>
      </c>
      <c r="E3" s="287" t="s">
        <v>796</v>
      </c>
      <c r="F3" s="287" t="s">
        <v>797</v>
      </c>
      <c r="G3" s="662"/>
      <c r="H3" s="296" t="s">
        <v>25</v>
      </c>
      <c r="I3" s="296" t="s">
        <v>798</v>
      </c>
      <c r="J3" s="666"/>
      <c r="K3" s="668"/>
      <c r="M3" s="688"/>
      <c r="N3" s="689"/>
      <c r="O3" s="690"/>
    </row>
    <row r="4" spans="1:15" ht="15.95" customHeight="1" thickBot="1">
      <c r="A4" s="705" t="s">
        <v>799</v>
      </c>
      <c r="B4" s="706"/>
      <c r="C4" s="706"/>
      <c r="D4" s="706"/>
      <c r="E4" s="706"/>
      <c r="F4" s="706"/>
      <c r="G4" s="706"/>
      <c r="H4" s="706"/>
      <c r="I4" s="706"/>
      <c r="J4" s="706"/>
      <c r="K4" s="707"/>
      <c r="M4" s="691" t="s">
        <v>1039</v>
      </c>
      <c r="N4" s="692"/>
      <c r="O4" s="693"/>
    </row>
    <row r="5" spans="1:15" ht="15.95" customHeight="1">
      <c r="A5" s="297">
        <v>1</v>
      </c>
      <c r="B5" s="672" t="s">
        <v>1040</v>
      </c>
      <c r="C5" s="672"/>
      <c r="D5" s="672"/>
      <c r="E5" s="672"/>
      <c r="F5" s="672"/>
      <c r="G5" s="672"/>
      <c r="H5" s="672"/>
      <c r="I5" s="672"/>
      <c r="J5" s="672"/>
      <c r="K5" s="673"/>
      <c r="M5" s="691"/>
      <c r="N5" s="692"/>
      <c r="O5" s="693"/>
    </row>
    <row r="6" spans="1:15" ht="15.95" customHeight="1">
      <c r="A6" s="298" t="s">
        <v>801</v>
      </c>
      <c r="B6" s="651" t="s">
        <v>2</v>
      </c>
      <c r="C6" s="651"/>
      <c r="D6" s="651"/>
      <c r="E6" s="651"/>
      <c r="F6" s="651"/>
      <c r="G6" s="651"/>
      <c r="H6" s="651"/>
      <c r="I6" s="651"/>
      <c r="J6" s="651"/>
      <c r="K6" s="652"/>
      <c r="M6" s="691"/>
      <c r="N6" s="692"/>
      <c r="O6" s="693"/>
    </row>
    <row r="7" spans="1:15" ht="15.95" customHeight="1">
      <c r="A7" s="298" t="s">
        <v>802</v>
      </c>
      <c r="B7" s="18" t="s">
        <v>1041</v>
      </c>
      <c r="C7" s="18" t="s">
        <v>800</v>
      </c>
      <c r="D7" s="18" t="s">
        <v>771</v>
      </c>
      <c r="E7" s="18" t="s">
        <v>1042</v>
      </c>
      <c r="F7" s="18" t="s">
        <v>821</v>
      </c>
      <c r="G7" s="18">
        <v>1</v>
      </c>
      <c r="H7" s="18">
        <v>1.0379999999999998</v>
      </c>
      <c r="I7" s="18">
        <f t="shared" ref="I7:I12" si="0">H7*G7</f>
        <v>1.0379999999999998</v>
      </c>
      <c r="J7" s="18" t="s">
        <v>807</v>
      </c>
      <c r="K7" s="299"/>
      <c r="M7" s="340">
        <f t="shared" ref="M7:M12" si="1">$N$2</f>
        <v>99</v>
      </c>
      <c r="N7" s="70">
        <f t="shared" ref="N7:N12" si="2">M7*I7</f>
        <v>102.76199999999999</v>
      </c>
      <c r="O7" s="299" t="s">
        <v>807</v>
      </c>
    </row>
    <row r="8" spans="1:15" ht="15.95" customHeight="1">
      <c r="A8" s="298" t="s">
        <v>808</v>
      </c>
      <c r="B8" s="18" t="s">
        <v>1043</v>
      </c>
      <c r="C8" s="18" t="s">
        <v>124</v>
      </c>
      <c r="D8" s="18" t="s">
        <v>771</v>
      </c>
      <c r="E8" s="18" t="s">
        <v>773</v>
      </c>
      <c r="F8" s="18" t="s">
        <v>37</v>
      </c>
      <c r="G8" s="18">
        <v>1</v>
      </c>
      <c r="H8" s="18">
        <v>8.7999999999999995E-2</v>
      </c>
      <c r="I8" s="18">
        <f t="shared" si="0"/>
        <v>8.7999999999999995E-2</v>
      </c>
      <c r="J8" s="18" t="s">
        <v>807</v>
      </c>
      <c r="K8" s="299"/>
      <c r="M8" s="340">
        <f t="shared" si="1"/>
        <v>99</v>
      </c>
      <c r="N8" s="70">
        <f t="shared" si="2"/>
        <v>8.7119999999999997</v>
      </c>
      <c r="O8" s="299" t="s">
        <v>807</v>
      </c>
    </row>
    <row r="9" spans="1:15" ht="15.95" customHeight="1">
      <c r="A9" s="298" t="s">
        <v>811</v>
      </c>
      <c r="B9" s="18" t="s">
        <v>1044</v>
      </c>
      <c r="C9" s="18" t="s">
        <v>1045</v>
      </c>
      <c r="D9" s="18" t="s">
        <v>771</v>
      </c>
      <c r="E9" s="18" t="s">
        <v>1046</v>
      </c>
      <c r="F9" s="18" t="s">
        <v>821</v>
      </c>
      <c r="G9" s="18">
        <v>1</v>
      </c>
      <c r="H9" s="18">
        <v>7.4999999999999997E-2</v>
      </c>
      <c r="I9" s="18">
        <f t="shared" si="0"/>
        <v>7.4999999999999997E-2</v>
      </c>
      <c r="J9" s="18" t="s">
        <v>807</v>
      </c>
      <c r="K9" s="299"/>
      <c r="M9" s="340">
        <f t="shared" si="1"/>
        <v>99</v>
      </c>
      <c r="N9" s="70">
        <f t="shared" si="2"/>
        <v>7.4249999999999998</v>
      </c>
      <c r="O9" s="299" t="s">
        <v>807</v>
      </c>
    </row>
    <row r="10" spans="1:15" ht="15.95" customHeight="1">
      <c r="A10" s="298" t="s">
        <v>815</v>
      </c>
      <c r="B10" s="18" t="s">
        <v>1047</v>
      </c>
      <c r="C10" s="18" t="s">
        <v>1048</v>
      </c>
      <c r="D10" s="18" t="s">
        <v>772</v>
      </c>
      <c r="E10" s="18" t="s">
        <v>774</v>
      </c>
      <c r="F10" s="18" t="s">
        <v>806</v>
      </c>
      <c r="G10" s="18">
        <v>1</v>
      </c>
      <c r="H10" s="18">
        <v>2.6000000000000002E-2</v>
      </c>
      <c r="I10" s="18">
        <f t="shared" si="0"/>
        <v>2.6000000000000002E-2</v>
      </c>
      <c r="J10" s="18" t="s">
        <v>807</v>
      </c>
      <c r="K10" s="299"/>
      <c r="M10" s="340">
        <f t="shared" si="1"/>
        <v>99</v>
      </c>
      <c r="N10" s="70">
        <f t="shared" si="2"/>
        <v>2.5740000000000003</v>
      </c>
      <c r="O10" s="299" t="s">
        <v>807</v>
      </c>
    </row>
    <row r="11" spans="1:15" ht="15.95" customHeight="1">
      <c r="A11" s="298" t="s">
        <v>818</v>
      </c>
      <c r="B11" s="18" t="s">
        <v>1192</v>
      </c>
      <c r="C11" s="18" t="s">
        <v>1050</v>
      </c>
      <c r="D11" s="18" t="s">
        <v>1051</v>
      </c>
      <c r="E11" s="18" t="s">
        <v>1052</v>
      </c>
      <c r="F11" s="18" t="s">
        <v>1053</v>
      </c>
      <c r="G11" s="18">
        <v>1</v>
      </c>
      <c r="H11" s="18">
        <v>2.5000000000000001E-2</v>
      </c>
      <c r="I11" s="18">
        <f t="shared" si="0"/>
        <v>2.5000000000000001E-2</v>
      </c>
      <c r="J11" s="18" t="s">
        <v>807</v>
      </c>
      <c r="K11" s="304"/>
      <c r="L11" s="130">
        <v>1.4E-2</v>
      </c>
      <c r="M11" s="340">
        <f t="shared" si="1"/>
        <v>99</v>
      </c>
      <c r="N11" s="70">
        <f t="shared" si="2"/>
        <v>2.4750000000000001</v>
      </c>
      <c r="O11" s="299" t="s">
        <v>807</v>
      </c>
    </row>
    <row r="12" spans="1:15" ht="15.95" customHeight="1" thickBot="1">
      <c r="A12" s="300" t="s">
        <v>1004</v>
      </c>
      <c r="B12" s="287" t="s">
        <v>1054</v>
      </c>
      <c r="C12" s="287" t="s">
        <v>1055</v>
      </c>
      <c r="D12" s="287" t="s">
        <v>777</v>
      </c>
      <c r="E12" s="287" t="s">
        <v>1056</v>
      </c>
      <c r="F12" s="287" t="s">
        <v>828</v>
      </c>
      <c r="G12" s="287">
        <v>2</v>
      </c>
      <c r="H12" s="287">
        <v>8.6999999999999994E-2</v>
      </c>
      <c r="I12" s="18">
        <f t="shared" si="0"/>
        <v>0.17399999999999999</v>
      </c>
      <c r="J12" s="287" t="s">
        <v>807</v>
      </c>
      <c r="K12" s="301"/>
      <c r="M12" s="340">
        <f t="shared" si="1"/>
        <v>99</v>
      </c>
      <c r="N12" s="70">
        <f t="shared" si="2"/>
        <v>17.225999999999999</v>
      </c>
      <c r="O12" s="299" t="s">
        <v>807</v>
      </c>
    </row>
    <row r="13" spans="1:15" ht="15.95" customHeight="1">
      <c r="A13" s="302" t="s">
        <v>1057</v>
      </c>
      <c r="B13" s="694" t="s">
        <v>839</v>
      </c>
      <c r="C13" s="694"/>
      <c r="D13" s="694"/>
      <c r="E13" s="694"/>
      <c r="F13" s="694"/>
      <c r="G13" s="694"/>
      <c r="H13" s="694"/>
      <c r="I13" s="694"/>
      <c r="J13" s="694"/>
      <c r="K13" s="695"/>
      <c r="M13" s="685"/>
      <c r="N13" s="686"/>
      <c r="O13" s="687"/>
    </row>
    <row r="14" spans="1:15" ht="15.95" customHeight="1">
      <c r="A14" s="298" t="s">
        <v>1058</v>
      </c>
      <c r="B14" s="18" t="s">
        <v>3</v>
      </c>
      <c r="C14" s="18" t="s">
        <v>1059</v>
      </c>
      <c r="D14" s="18" t="s">
        <v>3</v>
      </c>
      <c r="E14" s="18" t="s">
        <v>3</v>
      </c>
      <c r="F14" s="18" t="s">
        <v>1060</v>
      </c>
      <c r="G14" s="18">
        <v>1</v>
      </c>
      <c r="H14" s="18">
        <v>1</v>
      </c>
      <c r="I14" s="18">
        <f t="shared" ref="I14:I27" si="3">G14*H14</f>
        <v>1</v>
      </c>
      <c r="J14" s="18" t="s">
        <v>841</v>
      </c>
      <c r="K14" s="299"/>
      <c r="M14" s="340">
        <f t="shared" ref="M14:M27" si="4">$N$2</f>
        <v>99</v>
      </c>
      <c r="N14" s="70">
        <f t="shared" ref="N14:N27" si="5">M14*I14</f>
        <v>99</v>
      </c>
      <c r="O14" s="299" t="s">
        <v>841</v>
      </c>
    </row>
    <row r="15" spans="1:15" ht="15.95" customHeight="1">
      <c r="A15" s="298" t="s">
        <v>1061</v>
      </c>
      <c r="B15" s="18" t="s">
        <v>3</v>
      </c>
      <c r="C15" s="18" t="s">
        <v>1062</v>
      </c>
      <c r="D15" s="18" t="s">
        <v>3</v>
      </c>
      <c r="E15" s="18" t="s">
        <v>3</v>
      </c>
      <c r="F15" s="18" t="s">
        <v>1063</v>
      </c>
      <c r="G15" s="18">
        <v>1</v>
      </c>
      <c r="H15" s="18">
        <v>1</v>
      </c>
      <c r="I15" s="18">
        <f t="shared" si="3"/>
        <v>1</v>
      </c>
      <c r="J15" s="18" t="s">
        <v>841</v>
      </c>
      <c r="K15" s="299"/>
      <c r="M15" s="340">
        <f t="shared" si="4"/>
        <v>99</v>
      </c>
      <c r="N15" s="70">
        <f t="shared" si="5"/>
        <v>99</v>
      </c>
      <c r="O15" s="299" t="s">
        <v>841</v>
      </c>
    </row>
    <row r="16" spans="1:15" ht="15.95" customHeight="1">
      <c r="A16" s="298" t="s">
        <v>1064</v>
      </c>
      <c r="B16" s="18" t="s">
        <v>3</v>
      </c>
      <c r="C16" s="18" t="s">
        <v>1065</v>
      </c>
      <c r="D16" s="18" t="s">
        <v>3</v>
      </c>
      <c r="E16" s="18" t="s">
        <v>3</v>
      </c>
      <c r="F16" s="18" t="s">
        <v>1066</v>
      </c>
      <c r="G16" s="18">
        <v>1</v>
      </c>
      <c r="H16" s="18">
        <v>1</v>
      </c>
      <c r="I16" s="18">
        <f t="shared" si="3"/>
        <v>1</v>
      </c>
      <c r="J16" s="18" t="s">
        <v>841</v>
      </c>
      <c r="K16" s="299"/>
      <c r="M16" s="340">
        <f t="shared" si="4"/>
        <v>99</v>
      </c>
      <c r="N16" s="70">
        <f t="shared" si="5"/>
        <v>99</v>
      </c>
      <c r="O16" s="299" t="s">
        <v>841</v>
      </c>
    </row>
    <row r="17" spans="1:15" ht="15.95" customHeight="1">
      <c r="A17" s="298" t="s">
        <v>1067</v>
      </c>
      <c r="B17" s="18" t="s">
        <v>3</v>
      </c>
      <c r="C17" s="245" t="s">
        <v>1068</v>
      </c>
      <c r="D17" s="18" t="s">
        <v>3</v>
      </c>
      <c r="E17" s="18" t="s">
        <v>3</v>
      </c>
      <c r="F17" s="18" t="s">
        <v>1069</v>
      </c>
      <c r="G17" s="18">
        <v>1</v>
      </c>
      <c r="H17" s="18">
        <v>1</v>
      </c>
      <c r="I17" s="18">
        <f t="shared" si="3"/>
        <v>1</v>
      </c>
      <c r="J17" s="18" t="s">
        <v>841</v>
      </c>
      <c r="K17" s="299"/>
      <c r="M17" s="340">
        <f t="shared" si="4"/>
        <v>99</v>
      </c>
      <c r="N17" s="70">
        <f t="shared" si="5"/>
        <v>99</v>
      </c>
      <c r="O17" s="299" t="s">
        <v>841</v>
      </c>
    </row>
    <row r="18" spans="1:15" ht="15.95" customHeight="1">
      <c r="A18" s="298" t="s">
        <v>1070</v>
      </c>
      <c r="B18" s="18" t="s">
        <v>3</v>
      </c>
      <c r="C18" s="18" t="s">
        <v>1071</v>
      </c>
      <c r="D18" s="18" t="s">
        <v>3</v>
      </c>
      <c r="E18" s="18" t="s">
        <v>3</v>
      </c>
      <c r="F18" s="18" t="s">
        <v>3</v>
      </c>
      <c r="G18" s="18">
        <v>1</v>
      </c>
      <c r="H18" s="18">
        <v>1</v>
      </c>
      <c r="I18" s="18">
        <f t="shared" si="3"/>
        <v>1</v>
      </c>
      <c r="J18" s="18" t="s">
        <v>841</v>
      </c>
      <c r="K18" s="299"/>
      <c r="M18" s="340">
        <f t="shared" si="4"/>
        <v>99</v>
      </c>
      <c r="N18" s="70">
        <f t="shared" si="5"/>
        <v>99</v>
      </c>
      <c r="O18" s="299" t="s">
        <v>841</v>
      </c>
    </row>
    <row r="19" spans="1:15" ht="15.95" customHeight="1">
      <c r="A19" s="298" t="s">
        <v>1072</v>
      </c>
      <c r="B19" s="18" t="s">
        <v>3</v>
      </c>
      <c r="C19" s="18" t="s">
        <v>1073</v>
      </c>
      <c r="D19" s="18" t="s">
        <v>3</v>
      </c>
      <c r="E19" s="18" t="s">
        <v>3</v>
      </c>
      <c r="F19" s="18" t="s">
        <v>1074</v>
      </c>
      <c r="G19" s="18">
        <v>2</v>
      </c>
      <c r="H19" s="18">
        <v>1</v>
      </c>
      <c r="I19" s="18">
        <f t="shared" si="3"/>
        <v>2</v>
      </c>
      <c r="J19" s="18" t="s">
        <v>841</v>
      </c>
      <c r="K19" s="299"/>
      <c r="M19" s="340">
        <f t="shared" si="4"/>
        <v>99</v>
      </c>
      <c r="N19" s="70">
        <f t="shared" si="5"/>
        <v>198</v>
      </c>
      <c r="O19" s="299" t="s">
        <v>841</v>
      </c>
    </row>
    <row r="20" spans="1:15" ht="15.95" customHeight="1">
      <c r="A20" s="298" t="s">
        <v>1075</v>
      </c>
      <c r="B20" s="18" t="s">
        <v>3</v>
      </c>
      <c r="C20" s="18" t="s">
        <v>1076</v>
      </c>
      <c r="D20" s="18" t="s">
        <v>3</v>
      </c>
      <c r="E20" s="18" t="s">
        <v>3</v>
      </c>
      <c r="F20" s="341" t="s">
        <v>1077</v>
      </c>
      <c r="G20" s="18">
        <v>1</v>
      </c>
      <c r="H20" s="18">
        <v>1</v>
      </c>
      <c r="I20" s="18">
        <f t="shared" si="3"/>
        <v>1</v>
      </c>
      <c r="J20" s="18" t="s">
        <v>841</v>
      </c>
      <c r="K20" s="299"/>
      <c r="M20" s="340">
        <f t="shared" si="4"/>
        <v>99</v>
      </c>
      <c r="N20" s="70">
        <f t="shared" si="5"/>
        <v>99</v>
      </c>
      <c r="O20" s="299" t="s">
        <v>841</v>
      </c>
    </row>
    <row r="21" spans="1:15" ht="15.95" customHeight="1">
      <c r="A21" s="298" t="s">
        <v>1078</v>
      </c>
      <c r="B21" s="18" t="s">
        <v>3</v>
      </c>
      <c r="C21" s="18" t="s">
        <v>1079</v>
      </c>
      <c r="D21" s="18" t="s">
        <v>3</v>
      </c>
      <c r="E21" s="18" t="s">
        <v>3</v>
      </c>
      <c r="F21" s="18" t="s">
        <v>3</v>
      </c>
      <c r="G21" s="18">
        <v>1</v>
      </c>
      <c r="H21" s="18">
        <v>1</v>
      </c>
      <c r="I21" s="18">
        <f t="shared" si="3"/>
        <v>1</v>
      </c>
      <c r="J21" s="18" t="s">
        <v>841</v>
      </c>
      <c r="K21" s="299"/>
      <c r="M21" s="340">
        <f t="shared" si="4"/>
        <v>99</v>
      </c>
      <c r="N21" s="70">
        <f t="shared" si="5"/>
        <v>99</v>
      </c>
      <c r="O21" s="299" t="s">
        <v>841</v>
      </c>
    </row>
    <row r="22" spans="1:15" ht="15.95" customHeight="1">
      <c r="A22" s="298" t="s">
        <v>1080</v>
      </c>
      <c r="B22" s="18" t="s">
        <v>3</v>
      </c>
      <c r="C22" s="18" t="s">
        <v>1081</v>
      </c>
      <c r="D22" s="18" t="s">
        <v>3</v>
      </c>
      <c r="E22" s="18" t="s">
        <v>3</v>
      </c>
      <c r="F22" s="18" t="s">
        <v>3</v>
      </c>
      <c r="G22" s="18">
        <v>1</v>
      </c>
      <c r="H22" s="18">
        <v>1</v>
      </c>
      <c r="I22" s="18">
        <f t="shared" si="3"/>
        <v>1</v>
      </c>
      <c r="J22" s="18" t="s">
        <v>841</v>
      </c>
      <c r="K22" s="299"/>
      <c r="M22" s="340">
        <f t="shared" si="4"/>
        <v>99</v>
      </c>
      <c r="N22" s="70">
        <f t="shared" si="5"/>
        <v>99</v>
      </c>
      <c r="O22" s="299" t="s">
        <v>841</v>
      </c>
    </row>
    <row r="23" spans="1:15" ht="15.95" customHeight="1">
      <c r="A23" s="298" t="s">
        <v>1082</v>
      </c>
      <c r="B23" s="18" t="s">
        <v>3</v>
      </c>
      <c r="C23" s="18" t="s">
        <v>1083</v>
      </c>
      <c r="D23" s="18" t="s">
        <v>3</v>
      </c>
      <c r="E23" s="18" t="s">
        <v>3</v>
      </c>
      <c r="F23" s="18" t="s">
        <v>3</v>
      </c>
      <c r="G23" s="18">
        <v>1</v>
      </c>
      <c r="H23" s="18">
        <v>1</v>
      </c>
      <c r="I23" s="18">
        <f t="shared" si="3"/>
        <v>1</v>
      </c>
      <c r="J23" s="18" t="s">
        <v>841</v>
      </c>
      <c r="K23" s="299"/>
      <c r="M23" s="340">
        <f t="shared" si="4"/>
        <v>99</v>
      </c>
      <c r="N23" s="70">
        <f t="shared" si="5"/>
        <v>99</v>
      </c>
      <c r="O23" s="299" t="s">
        <v>841</v>
      </c>
    </row>
    <row r="24" spans="1:15" ht="15.95" customHeight="1">
      <c r="A24" s="298" t="s">
        <v>1084</v>
      </c>
      <c r="B24" s="18" t="s">
        <v>3</v>
      </c>
      <c r="C24" s="18" t="s">
        <v>1085</v>
      </c>
      <c r="D24" s="18" t="s">
        <v>3</v>
      </c>
      <c r="E24" s="18" t="s">
        <v>3</v>
      </c>
      <c r="F24" s="18" t="s">
        <v>3</v>
      </c>
      <c r="G24" s="18">
        <v>1</v>
      </c>
      <c r="H24" s="18">
        <v>1</v>
      </c>
      <c r="I24" s="18">
        <f t="shared" si="3"/>
        <v>1</v>
      </c>
      <c r="J24" s="18" t="s">
        <v>841</v>
      </c>
      <c r="K24" s="299"/>
      <c r="M24" s="340">
        <f t="shared" si="4"/>
        <v>99</v>
      </c>
      <c r="N24" s="70">
        <f t="shared" si="5"/>
        <v>99</v>
      </c>
      <c r="O24" s="299" t="s">
        <v>841</v>
      </c>
    </row>
    <row r="25" spans="1:15" ht="15.95" customHeight="1">
      <c r="A25" s="298" t="s">
        <v>1086</v>
      </c>
      <c r="B25" s="18" t="s">
        <v>3</v>
      </c>
      <c r="C25" s="18" t="s">
        <v>1087</v>
      </c>
      <c r="D25" s="18" t="s">
        <v>3</v>
      </c>
      <c r="E25" s="18" t="s">
        <v>3</v>
      </c>
      <c r="F25" s="18" t="s">
        <v>1088</v>
      </c>
      <c r="G25" s="18">
        <v>5</v>
      </c>
      <c r="H25" s="18">
        <v>1</v>
      </c>
      <c r="I25" s="18">
        <f t="shared" si="3"/>
        <v>5</v>
      </c>
      <c r="J25" s="18" t="s">
        <v>841</v>
      </c>
      <c r="K25" s="299"/>
      <c r="M25" s="340">
        <f t="shared" si="4"/>
        <v>99</v>
      </c>
      <c r="N25" s="70">
        <f t="shared" si="5"/>
        <v>495</v>
      </c>
      <c r="O25" s="299" t="s">
        <v>841</v>
      </c>
    </row>
    <row r="26" spans="1:15" ht="15.95" customHeight="1">
      <c r="A26" s="298" t="s">
        <v>1089</v>
      </c>
      <c r="B26" s="18" t="s">
        <v>3</v>
      </c>
      <c r="C26" s="18" t="s">
        <v>780</v>
      </c>
      <c r="D26" s="18" t="s">
        <v>3</v>
      </c>
      <c r="E26" s="18" t="s">
        <v>3</v>
      </c>
      <c r="F26" s="18" t="s">
        <v>36</v>
      </c>
      <c r="G26" s="18">
        <v>1</v>
      </c>
      <c r="H26" s="18">
        <v>1</v>
      </c>
      <c r="I26" s="18">
        <f t="shared" si="3"/>
        <v>1</v>
      </c>
      <c r="J26" s="18" t="s">
        <v>841</v>
      </c>
      <c r="K26" s="299"/>
      <c r="M26" s="340">
        <f t="shared" si="4"/>
        <v>99</v>
      </c>
      <c r="N26" s="70">
        <f t="shared" si="5"/>
        <v>99</v>
      </c>
      <c r="O26" s="299" t="s">
        <v>841</v>
      </c>
    </row>
    <row r="27" spans="1:15" ht="15.95" customHeight="1" thickBot="1">
      <c r="A27" s="298" t="s">
        <v>1090</v>
      </c>
      <c r="B27" s="287" t="s">
        <v>3</v>
      </c>
      <c r="C27" s="287" t="s">
        <v>1091</v>
      </c>
      <c r="D27" s="287" t="s">
        <v>3</v>
      </c>
      <c r="E27" s="287" t="s">
        <v>3</v>
      </c>
      <c r="F27" s="287" t="s">
        <v>1092</v>
      </c>
      <c r="G27" s="287">
        <v>1</v>
      </c>
      <c r="H27" s="287">
        <v>1</v>
      </c>
      <c r="I27" s="287">
        <f t="shared" si="3"/>
        <v>1</v>
      </c>
      <c r="J27" s="287" t="s">
        <v>841</v>
      </c>
      <c r="K27" s="303"/>
      <c r="M27" s="340">
        <f t="shared" si="4"/>
        <v>99</v>
      </c>
      <c r="N27" s="70">
        <f t="shared" si="5"/>
        <v>99</v>
      </c>
      <c r="O27" s="299" t="s">
        <v>841</v>
      </c>
    </row>
    <row r="28" spans="1:15" ht="15.95" customHeight="1">
      <c r="A28" s="302" t="s">
        <v>822</v>
      </c>
      <c r="B28" s="674" t="s">
        <v>823</v>
      </c>
      <c r="C28" s="674"/>
      <c r="D28" s="674"/>
      <c r="E28" s="674"/>
      <c r="F28" s="674"/>
      <c r="G28" s="674"/>
      <c r="H28" s="674"/>
      <c r="I28" s="674"/>
      <c r="J28" s="674"/>
      <c r="K28" s="675"/>
      <c r="M28" s="696"/>
      <c r="N28" s="697"/>
      <c r="O28" s="698"/>
    </row>
    <row r="29" spans="1:15" ht="15.95" customHeight="1">
      <c r="A29" s="298" t="s">
        <v>824</v>
      </c>
      <c r="B29" s="651" t="s">
        <v>2</v>
      </c>
      <c r="C29" s="651"/>
      <c r="D29" s="651"/>
      <c r="E29" s="651"/>
      <c r="F29" s="651"/>
      <c r="G29" s="651"/>
      <c r="H29" s="651"/>
      <c r="I29" s="651"/>
      <c r="J29" s="651"/>
      <c r="K29" s="652"/>
      <c r="M29" s="699"/>
      <c r="N29" s="700"/>
      <c r="O29" s="701"/>
    </row>
    <row r="30" spans="1:15" ht="15.95" customHeight="1">
      <c r="A30" s="298" t="s">
        <v>825</v>
      </c>
      <c r="B30" s="18" t="s">
        <v>826</v>
      </c>
      <c r="C30" s="18" t="s">
        <v>827</v>
      </c>
      <c r="D30" s="18" t="s">
        <v>777</v>
      </c>
      <c r="E30" s="18" t="s">
        <v>775</v>
      </c>
      <c r="F30" s="18" t="s">
        <v>828</v>
      </c>
      <c r="G30" s="18">
        <v>1</v>
      </c>
      <c r="H30" s="18">
        <v>0.28699999999999998</v>
      </c>
      <c r="I30" s="18">
        <f>G30*H30</f>
        <v>0.28699999999999998</v>
      </c>
      <c r="J30" s="18" t="s">
        <v>807</v>
      </c>
      <c r="K30" s="299"/>
      <c r="M30" s="340">
        <f>$N$2</f>
        <v>99</v>
      </c>
      <c r="N30" s="70">
        <f>M30*I30</f>
        <v>28.412999999999997</v>
      </c>
      <c r="O30" s="299" t="s">
        <v>807</v>
      </c>
    </row>
    <row r="31" spans="1:15" ht="15.95" customHeight="1">
      <c r="A31" s="298" t="s">
        <v>829</v>
      </c>
      <c r="B31" s="18" t="s">
        <v>830</v>
      </c>
      <c r="C31" s="18" t="s">
        <v>5</v>
      </c>
      <c r="D31" s="18" t="s">
        <v>772</v>
      </c>
      <c r="E31" s="18" t="s">
        <v>779</v>
      </c>
      <c r="F31" s="18" t="s">
        <v>831</v>
      </c>
      <c r="G31" s="18">
        <v>1</v>
      </c>
      <c r="H31" s="18">
        <v>1.3999999999999999E-2</v>
      </c>
      <c r="I31" s="18">
        <f>G31*H31</f>
        <v>1.3999999999999999E-2</v>
      </c>
      <c r="J31" s="18" t="s">
        <v>807</v>
      </c>
      <c r="K31" s="299"/>
      <c r="M31" s="340">
        <f>$N$2</f>
        <v>99</v>
      </c>
      <c r="N31" s="70">
        <f>M31*I31</f>
        <v>1.3859999999999999</v>
      </c>
      <c r="O31" s="299" t="s">
        <v>807</v>
      </c>
    </row>
    <row r="32" spans="1:15" ht="15.95" customHeight="1">
      <c r="A32" s="298" t="s">
        <v>832</v>
      </c>
      <c r="B32" s="18" t="s">
        <v>833</v>
      </c>
      <c r="C32" s="18" t="s">
        <v>7</v>
      </c>
      <c r="D32" s="18" t="s">
        <v>778</v>
      </c>
      <c r="E32" s="18" t="s">
        <v>776</v>
      </c>
      <c r="F32" s="18" t="s">
        <v>834</v>
      </c>
      <c r="G32" s="18">
        <v>1</v>
      </c>
      <c r="H32" s="18">
        <v>2E-3</v>
      </c>
      <c r="I32" s="18">
        <f>G32*H32</f>
        <v>2E-3</v>
      </c>
      <c r="J32" s="18" t="s">
        <v>807</v>
      </c>
      <c r="K32" s="299"/>
      <c r="M32" s="340">
        <f>$N$2</f>
        <v>99</v>
      </c>
      <c r="N32" s="70">
        <f>M32*I32</f>
        <v>0.19800000000000001</v>
      </c>
      <c r="O32" s="299" t="s">
        <v>807</v>
      </c>
    </row>
    <row r="33" spans="1:15" ht="15.95" customHeight="1">
      <c r="A33" s="298" t="s">
        <v>838</v>
      </c>
      <c r="B33" s="651" t="s">
        <v>839</v>
      </c>
      <c r="C33" s="651"/>
      <c r="D33" s="651"/>
      <c r="E33" s="651"/>
      <c r="F33" s="651"/>
      <c r="G33" s="651"/>
      <c r="H33" s="651"/>
      <c r="I33" s="651"/>
      <c r="J33" s="651"/>
      <c r="K33" s="652"/>
      <c r="M33" s="685"/>
      <c r="N33" s="686"/>
      <c r="O33" s="687"/>
    </row>
    <row r="34" spans="1:15" ht="15.95" customHeight="1" thickBot="1">
      <c r="A34" s="300" t="s">
        <v>840</v>
      </c>
      <c r="B34" s="287" t="s">
        <v>3</v>
      </c>
      <c r="C34" s="287" t="s">
        <v>780</v>
      </c>
      <c r="D34" s="287" t="s">
        <v>3</v>
      </c>
      <c r="E34" s="287" t="s">
        <v>3</v>
      </c>
      <c r="F34" s="287" t="s">
        <v>36</v>
      </c>
      <c r="G34" s="287">
        <v>1</v>
      </c>
      <c r="H34" s="287">
        <v>1</v>
      </c>
      <c r="I34" s="287">
        <f>G34*H34</f>
        <v>1</v>
      </c>
      <c r="J34" s="287" t="s">
        <v>841</v>
      </c>
      <c r="K34" s="303"/>
      <c r="M34" s="340">
        <f>$N$2</f>
        <v>99</v>
      </c>
      <c r="N34" s="70">
        <f>M34*I34</f>
        <v>99</v>
      </c>
      <c r="O34" s="299" t="s">
        <v>841</v>
      </c>
    </row>
    <row r="35" spans="1:15" ht="15.95" customHeight="1">
      <c r="A35" s="302">
        <v>3</v>
      </c>
      <c r="B35" s="674" t="s">
        <v>1093</v>
      </c>
      <c r="C35" s="674"/>
      <c r="D35" s="674"/>
      <c r="E35" s="674"/>
      <c r="F35" s="674"/>
      <c r="G35" s="674"/>
      <c r="H35" s="674"/>
      <c r="I35" s="674"/>
      <c r="J35" s="674"/>
      <c r="K35" s="675"/>
      <c r="M35" s="696"/>
      <c r="N35" s="697"/>
      <c r="O35" s="698"/>
    </row>
    <row r="36" spans="1:15" ht="15.95" customHeight="1">
      <c r="A36" s="298" t="s">
        <v>843</v>
      </c>
      <c r="B36" s="651" t="s">
        <v>2</v>
      </c>
      <c r="C36" s="651"/>
      <c r="D36" s="651"/>
      <c r="E36" s="651"/>
      <c r="F36" s="651"/>
      <c r="G36" s="651"/>
      <c r="H36" s="651"/>
      <c r="I36" s="651"/>
      <c r="J36" s="651"/>
      <c r="K36" s="652"/>
      <c r="M36" s="699"/>
      <c r="N36" s="700"/>
      <c r="O36" s="701"/>
    </row>
    <row r="37" spans="1:15" ht="15.95" customHeight="1">
      <c r="A37" s="298" t="s">
        <v>844</v>
      </c>
      <c r="B37" s="18" t="s">
        <v>1094</v>
      </c>
      <c r="C37" s="18" t="s">
        <v>1045</v>
      </c>
      <c r="D37" s="18" t="s">
        <v>771</v>
      </c>
      <c r="E37" s="18" t="s">
        <v>1046</v>
      </c>
      <c r="F37" s="18" t="s">
        <v>821</v>
      </c>
      <c r="G37" s="18">
        <v>1</v>
      </c>
      <c r="H37" s="18">
        <v>8.6000000000000007E-2</v>
      </c>
      <c r="I37" s="18">
        <f>G37*H37</f>
        <v>8.6000000000000007E-2</v>
      </c>
      <c r="J37" s="18" t="s">
        <v>807</v>
      </c>
      <c r="K37" s="299"/>
      <c r="M37" s="340">
        <f>$N$2</f>
        <v>99</v>
      </c>
      <c r="N37" s="70">
        <f>M37*I37</f>
        <v>8.5140000000000011</v>
      </c>
      <c r="O37" s="299" t="s">
        <v>807</v>
      </c>
    </row>
    <row r="38" spans="1:15" ht="15.95" customHeight="1">
      <c r="A38" s="298" t="s">
        <v>851</v>
      </c>
      <c r="B38" s="18" t="s">
        <v>1193</v>
      </c>
      <c r="C38" s="18" t="s">
        <v>1051</v>
      </c>
      <c r="D38" s="18" t="s">
        <v>770</v>
      </c>
      <c r="E38" s="18" t="s">
        <v>1096</v>
      </c>
      <c r="F38" s="18" t="s">
        <v>1097</v>
      </c>
      <c r="G38" s="31">
        <v>1</v>
      </c>
      <c r="H38" s="18">
        <v>0.111</v>
      </c>
      <c r="I38" s="18">
        <f>G38*H38</f>
        <v>0.111</v>
      </c>
      <c r="J38" s="18" t="s">
        <v>807</v>
      </c>
      <c r="K38" s="304"/>
      <c r="L38" s="130">
        <v>6.5000000000000002E-2</v>
      </c>
      <c r="M38" s="340">
        <f>$N$2</f>
        <v>99</v>
      </c>
      <c r="N38" s="70">
        <f>M38*I38</f>
        <v>10.989000000000001</v>
      </c>
      <c r="O38" s="299" t="s">
        <v>807</v>
      </c>
    </row>
    <row r="39" spans="1:15" ht="15.95" customHeight="1">
      <c r="A39" s="298" t="s">
        <v>876</v>
      </c>
      <c r="B39" s="651" t="s">
        <v>839</v>
      </c>
      <c r="C39" s="651"/>
      <c r="D39" s="651"/>
      <c r="E39" s="651"/>
      <c r="F39" s="651"/>
      <c r="G39" s="651"/>
      <c r="H39" s="651"/>
      <c r="I39" s="651"/>
      <c r="J39" s="651"/>
      <c r="K39" s="652"/>
      <c r="M39" s="685"/>
      <c r="N39" s="686"/>
      <c r="O39" s="687"/>
    </row>
    <row r="40" spans="1:15" ht="15.95" customHeight="1" thickBot="1">
      <c r="A40" s="305" t="s">
        <v>877</v>
      </c>
      <c r="B40" s="306" t="s">
        <v>3</v>
      </c>
      <c r="C40" s="34" t="s">
        <v>1098</v>
      </c>
      <c r="D40" s="34" t="s">
        <v>3</v>
      </c>
      <c r="E40" s="34" t="s">
        <v>3</v>
      </c>
      <c r="F40" s="34" t="s">
        <v>3</v>
      </c>
      <c r="G40" s="343">
        <v>2</v>
      </c>
      <c r="H40" s="343">
        <v>1</v>
      </c>
      <c r="I40" s="34">
        <f>G40*H40</f>
        <v>2</v>
      </c>
      <c r="J40" s="34" t="s">
        <v>841</v>
      </c>
      <c r="K40" s="307"/>
      <c r="M40" s="340">
        <f>$N$2</f>
        <v>99</v>
      </c>
      <c r="N40" s="70">
        <f>M40*I40</f>
        <v>198</v>
      </c>
      <c r="O40" s="299" t="s">
        <v>841</v>
      </c>
    </row>
    <row r="41" spans="1:15" ht="15.95" customHeight="1">
      <c r="A41" s="297" t="s">
        <v>881</v>
      </c>
      <c r="B41" s="672" t="s">
        <v>1099</v>
      </c>
      <c r="C41" s="672"/>
      <c r="D41" s="672"/>
      <c r="E41" s="672"/>
      <c r="F41" s="672"/>
      <c r="G41" s="672"/>
      <c r="H41" s="672"/>
      <c r="I41" s="672"/>
      <c r="J41" s="672"/>
      <c r="K41" s="673"/>
      <c r="M41" s="696"/>
      <c r="N41" s="697"/>
      <c r="O41" s="698"/>
    </row>
    <row r="42" spans="1:15" ht="15.95" customHeight="1">
      <c r="A42" s="298" t="s">
        <v>882</v>
      </c>
      <c r="B42" s="651" t="s">
        <v>2</v>
      </c>
      <c r="C42" s="651"/>
      <c r="D42" s="651"/>
      <c r="E42" s="651"/>
      <c r="F42" s="651"/>
      <c r="G42" s="651"/>
      <c r="H42" s="651"/>
      <c r="I42" s="651"/>
      <c r="J42" s="651"/>
      <c r="K42" s="652"/>
      <c r="M42" s="699"/>
      <c r="N42" s="700"/>
      <c r="O42" s="701"/>
    </row>
    <row r="43" spans="1:15" ht="15.95" customHeight="1">
      <c r="A43" s="298" t="s">
        <v>883</v>
      </c>
      <c r="B43" s="18" t="s">
        <v>1100</v>
      </c>
      <c r="C43" s="18" t="s">
        <v>800</v>
      </c>
      <c r="D43" s="18" t="s">
        <v>771</v>
      </c>
      <c r="E43" s="18" t="s">
        <v>1101</v>
      </c>
      <c r="F43" s="18" t="s">
        <v>821</v>
      </c>
      <c r="G43" s="18">
        <v>1</v>
      </c>
      <c r="H43" s="18">
        <v>4.2000000000000003E-2</v>
      </c>
      <c r="I43" s="18">
        <f>G43*H43</f>
        <v>4.2000000000000003E-2</v>
      </c>
      <c r="J43" s="18" t="s">
        <v>807</v>
      </c>
      <c r="K43" s="299"/>
      <c r="M43" s="340">
        <f>$N$2</f>
        <v>99</v>
      </c>
      <c r="N43" s="70">
        <f>M43*I43</f>
        <v>4.1580000000000004</v>
      </c>
      <c r="O43" s="299" t="s">
        <v>807</v>
      </c>
    </row>
    <row r="44" spans="1:15" ht="15.95" customHeight="1">
      <c r="A44" s="298" t="s">
        <v>885</v>
      </c>
      <c r="B44" s="18" t="s">
        <v>1102</v>
      </c>
      <c r="C44" s="18" t="s">
        <v>1103</v>
      </c>
      <c r="D44" s="18" t="s">
        <v>771</v>
      </c>
      <c r="E44" s="18" t="s">
        <v>1104</v>
      </c>
      <c r="F44" s="18" t="s">
        <v>1105</v>
      </c>
      <c r="G44" s="31">
        <v>1</v>
      </c>
      <c r="H44" s="18">
        <v>2.1000000000000001E-2</v>
      </c>
      <c r="I44" s="18">
        <f>G44*H44</f>
        <v>2.1000000000000001E-2</v>
      </c>
      <c r="J44" s="18" t="s">
        <v>807</v>
      </c>
      <c r="K44" s="308"/>
      <c r="M44" s="340">
        <f>$N$2</f>
        <v>99</v>
      </c>
      <c r="N44" s="70">
        <f>M44*I44</f>
        <v>2.0790000000000002</v>
      </c>
      <c r="O44" s="299" t="s">
        <v>807</v>
      </c>
    </row>
    <row r="45" spans="1:15" ht="15.95" customHeight="1">
      <c r="A45" s="298" t="s">
        <v>887</v>
      </c>
      <c r="B45" s="18" t="s">
        <v>1106</v>
      </c>
      <c r="C45" s="18" t="s">
        <v>1107</v>
      </c>
      <c r="D45" s="18" t="s">
        <v>771</v>
      </c>
      <c r="E45" s="18" t="s">
        <v>1101</v>
      </c>
      <c r="F45" s="18" t="s">
        <v>821</v>
      </c>
      <c r="G45" s="31">
        <v>1</v>
      </c>
      <c r="H45" s="18">
        <v>4.2000000000000003E-2</v>
      </c>
      <c r="I45" s="18">
        <f>G45*H45</f>
        <v>4.2000000000000003E-2</v>
      </c>
      <c r="J45" s="18" t="s">
        <v>807</v>
      </c>
      <c r="K45" s="308"/>
      <c r="M45" s="340">
        <f>$N$2</f>
        <v>99</v>
      </c>
      <c r="N45" s="70">
        <f>M45*I45</f>
        <v>4.1580000000000004</v>
      </c>
      <c r="O45" s="299" t="s">
        <v>807</v>
      </c>
    </row>
    <row r="46" spans="1:15" ht="15.95" customHeight="1">
      <c r="A46" s="298" t="s">
        <v>1108</v>
      </c>
      <c r="B46" s="651" t="s">
        <v>839</v>
      </c>
      <c r="C46" s="651"/>
      <c r="D46" s="651"/>
      <c r="E46" s="651"/>
      <c r="F46" s="651"/>
      <c r="G46" s="651"/>
      <c r="H46" s="651"/>
      <c r="I46" s="651"/>
      <c r="J46" s="651"/>
      <c r="K46" s="652"/>
      <c r="M46" s="685"/>
      <c r="N46" s="686"/>
      <c r="O46" s="687"/>
    </row>
    <row r="47" spans="1:15" ht="15.95" customHeight="1">
      <c r="A47" s="298" t="s">
        <v>1109</v>
      </c>
      <c r="B47" s="334" t="s">
        <v>3</v>
      </c>
      <c r="C47" s="18" t="s">
        <v>236</v>
      </c>
      <c r="D47" s="18" t="s">
        <v>3</v>
      </c>
      <c r="E47" s="18" t="s">
        <v>3</v>
      </c>
      <c r="F47" s="18" t="s">
        <v>53</v>
      </c>
      <c r="G47" s="31">
        <v>1</v>
      </c>
      <c r="H47" s="31">
        <v>1</v>
      </c>
      <c r="I47" s="18">
        <f>G47*H47</f>
        <v>1</v>
      </c>
      <c r="J47" s="18" t="s">
        <v>841</v>
      </c>
      <c r="K47" s="335"/>
      <c r="M47" s="340">
        <f>$N$2</f>
        <v>99</v>
      </c>
      <c r="N47" s="70">
        <f>M47*I47</f>
        <v>99</v>
      </c>
      <c r="O47" s="299" t="s">
        <v>841</v>
      </c>
    </row>
    <row r="48" spans="1:15" ht="15.95" customHeight="1" thickBot="1">
      <c r="A48" s="300" t="s">
        <v>1110</v>
      </c>
      <c r="B48" s="344" t="s">
        <v>3</v>
      </c>
      <c r="C48" s="287" t="s">
        <v>1083</v>
      </c>
      <c r="D48" s="287" t="s">
        <v>3</v>
      </c>
      <c r="E48" s="287" t="s">
        <v>3</v>
      </c>
      <c r="F48" s="287" t="s">
        <v>3</v>
      </c>
      <c r="G48" s="345">
        <v>1</v>
      </c>
      <c r="H48" s="345">
        <v>1</v>
      </c>
      <c r="I48" s="287">
        <f>G48*H48</f>
        <v>1</v>
      </c>
      <c r="J48" s="287" t="s">
        <v>841</v>
      </c>
      <c r="K48" s="346"/>
      <c r="M48" s="340">
        <f>$N$2</f>
        <v>99</v>
      </c>
      <c r="N48" s="70">
        <f>M48*I48</f>
        <v>99</v>
      </c>
      <c r="O48" s="299" t="s">
        <v>841</v>
      </c>
    </row>
    <row r="49" spans="1:15" ht="15.95" customHeight="1">
      <c r="A49" s="297" t="s">
        <v>900</v>
      </c>
      <c r="B49" s="672" t="s">
        <v>1111</v>
      </c>
      <c r="C49" s="672"/>
      <c r="D49" s="672"/>
      <c r="E49" s="672"/>
      <c r="F49" s="672"/>
      <c r="G49" s="672"/>
      <c r="H49" s="672"/>
      <c r="I49" s="672"/>
      <c r="J49" s="672"/>
      <c r="K49" s="673"/>
      <c r="M49" s="696"/>
      <c r="N49" s="697"/>
      <c r="O49" s="698"/>
    </row>
    <row r="50" spans="1:15" ht="15.95" customHeight="1">
      <c r="A50" s="298" t="s">
        <v>1112</v>
      </c>
      <c r="B50" s="651" t="s">
        <v>2</v>
      </c>
      <c r="C50" s="651"/>
      <c r="D50" s="651"/>
      <c r="E50" s="651"/>
      <c r="F50" s="651"/>
      <c r="G50" s="651"/>
      <c r="H50" s="651"/>
      <c r="I50" s="651"/>
      <c r="J50" s="651"/>
      <c r="K50" s="652"/>
      <c r="M50" s="699"/>
      <c r="N50" s="700"/>
      <c r="O50" s="701"/>
    </row>
    <row r="51" spans="1:15" ht="15.95" customHeight="1">
      <c r="A51" s="298" t="s">
        <v>1113</v>
      </c>
      <c r="B51" s="18" t="s">
        <v>1100</v>
      </c>
      <c r="C51" s="18" t="s">
        <v>1114</v>
      </c>
      <c r="D51" s="18" t="s">
        <v>772</v>
      </c>
      <c r="E51" s="18" t="s">
        <v>779</v>
      </c>
      <c r="F51" s="18" t="s">
        <v>831</v>
      </c>
      <c r="G51" s="18">
        <v>1</v>
      </c>
      <c r="H51" s="18">
        <v>2.6859999999999999</v>
      </c>
      <c r="I51" s="18">
        <f>G51*H51</f>
        <v>2.6859999999999999</v>
      </c>
      <c r="J51" s="18" t="s">
        <v>807</v>
      </c>
      <c r="K51" s="299"/>
      <c r="M51" s="340">
        <f>$N$2</f>
        <v>99</v>
      </c>
      <c r="N51" s="70">
        <f>M51*I51</f>
        <v>265.91399999999999</v>
      </c>
      <c r="O51" s="299" t="s">
        <v>807</v>
      </c>
    </row>
    <row r="52" spans="1:15" ht="15.95" customHeight="1">
      <c r="A52" s="298" t="s">
        <v>1115</v>
      </c>
      <c r="B52" s="18" t="s">
        <v>1102</v>
      </c>
      <c r="C52" s="18" t="s">
        <v>1116</v>
      </c>
      <c r="D52" s="18" t="s">
        <v>771</v>
      </c>
      <c r="E52" s="18" t="s">
        <v>1117</v>
      </c>
      <c r="F52" s="18" t="s">
        <v>821</v>
      </c>
      <c r="G52" s="18">
        <v>2</v>
      </c>
      <c r="H52" s="18">
        <v>0.67300000000000004</v>
      </c>
      <c r="I52" s="18">
        <f>G52*H52</f>
        <v>1.3460000000000001</v>
      </c>
      <c r="J52" s="18" t="s">
        <v>807</v>
      </c>
      <c r="K52" s="308"/>
      <c r="M52" s="340">
        <f>$N$2</f>
        <v>99</v>
      </c>
      <c r="N52" s="70">
        <f>M52*I52</f>
        <v>133.25400000000002</v>
      </c>
      <c r="O52" s="299" t="s">
        <v>807</v>
      </c>
    </row>
    <row r="53" spans="1:15" ht="15.95" customHeight="1">
      <c r="A53" s="298" t="s">
        <v>1118</v>
      </c>
      <c r="B53" s="651" t="s">
        <v>839</v>
      </c>
      <c r="C53" s="651"/>
      <c r="D53" s="651"/>
      <c r="E53" s="651"/>
      <c r="F53" s="651"/>
      <c r="G53" s="651"/>
      <c r="H53" s="651"/>
      <c r="I53" s="651"/>
      <c r="J53" s="651"/>
      <c r="K53" s="652"/>
      <c r="M53" s="685"/>
      <c r="N53" s="686"/>
      <c r="O53" s="687"/>
    </row>
    <row r="54" spans="1:15" ht="15.95" customHeight="1">
      <c r="A54" s="298" t="s">
        <v>1119</v>
      </c>
      <c r="B54" s="18" t="s">
        <v>3</v>
      </c>
      <c r="C54" s="18" t="s">
        <v>767</v>
      </c>
      <c r="D54" s="18" t="s">
        <v>3</v>
      </c>
      <c r="E54" s="18" t="s">
        <v>3</v>
      </c>
      <c r="F54" s="18" t="s">
        <v>120</v>
      </c>
      <c r="G54" s="18">
        <v>2</v>
      </c>
      <c r="H54" s="31">
        <v>1</v>
      </c>
      <c r="I54" s="18">
        <f>G54*H54</f>
        <v>2</v>
      </c>
      <c r="J54" s="18" t="s">
        <v>841</v>
      </c>
      <c r="K54" s="335"/>
      <c r="M54" s="340">
        <f>$N$2</f>
        <v>99</v>
      </c>
      <c r="N54" s="70">
        <f>M54*I54</f>
        <v>198</v>
      </c>
      <c r="O54" s="299" t="s">
        <v>841</v>
      </c>
    </row>
    <row r="55" spans="1:15" ht="15.95" customHeight="1" thickBot="1">
      <c r="A55" s="305" t="s">
        <v>1120</v>
      </c>
      <c r="B55" s="34" t="s">
        <v>3</v>
      </c>
      <c r="C55" s="34" t="s">
        <v>1121</v>
      </c>
      <c r="D55" s="34" t="s">
        <v>3</v>
      </c>
      <c r="E55" s="34" t="s">
        <v>3</v>
      </c>
      <c r="F55" s="34" t="s">
        <v>1122</v>
      </c>
      <c r="G55" s="34">
        <v>2</v>
      </c>
      <c r="H55" s="343">
        <v>1</v>
      </c>
      <c r="I55" s="34">
        <f>G55*H55</f>
        <v>2</v>
      </c>
      <c r="J55" s="34" t="s">
        <v>841</v>
      </c>
      <c r="K55" s="307"/>
      <c r="M55" s="340">
        <f>$N$2</f>
        <v>99</v>
      </c>
      <c r="N55" s="70">
        <f>M55*I55</f>
        <v>198</v>
      </c>
      <c r="O55" s="299" t="s">
        <v>841</v>
      </c>
    </row>
    <row r="56" spans="1:15" ht="15.95" customHeight="1" thickBot="1">
      <c r="A56" s="679" t="s">
        <v>2</v>
      </c>
      <c r="B56" s="680"/>
      <c r="C56" s="680"/>
      <c r="D56" s="680"/>
      <c r="E56" s="680"/>
      <c r="F56" s="680"/>
      <c r="G56" s="680"/>
      <c r="H56" s="680"/>
      <c r="I56" s="680"/>
      <c r="J56" s="680"/>
      <c r="K56" s="681"/>
      <c r="M56" s="685"/>
      <c r="N56" s="686"/>
      <c r="O56" s="687"/>
    </row>
    <row r="57" spans="1:15" ht="15.95" customHeight="1">
      <c r="A57" s="297" t="s">
        <v>902</v>
      </c>
      <c r="B57" s="309" t="s">
        <v>1194</v>
      </c>
      <c r="C57" s="309" t="s">
        <v>1124</v>
      </c>
      <c r="D57" s="309" t="s">
        <v>772</v>
      </c>
      <c r="E57" s="309" t="s">
        <v>805</v>
      </c>
      <c r="F57" s="309" t="s">
        <v>806</v>
      </c>
      <c r="G57" s="309">
        <v>2</v>
      </c>
      <c r="H57" s="309">
        <v>0.42599999999999999</v>
      </c>
      <c r="I57" s="309">
        <f>G57*H57</f>
        <v>0.85199999999999998</v>
      </c>
      <c r="J57" s="309" t="s">
        <v>807</v>
      </c>
      <c r="K57" s="310"/>
      <c r="M57" s="340">
        <f>$N$2</f>
        <v>99</v>
      </c>
      <c r="N57" s="70">
        <f>M57*I57</f>
        <v>84.347999999999999</v>
      </c>
      <c r="O57" s="299" t="s">
        <v>807</v>
      </c>
    </row>
    <row r="58" spans="1:15" ht="15.95" customHeight="1">
      <c r="A58" s="298" t="s">
        <v>907</v>
      </c>
      <c r="B58" s="18" t="s">
        <v>1195</v>
      </c>
      <c r="C58" s="18" t="s">
        <v>875</v>
      </c>
      <c r="D58" s="18" t="s">
        <v>772</v>
      </c>
      <c r="E58" s="18" t="s">
        <v>779</v>
      </c>
      <c r="F58" s="18" t="s">
        <v>831</v>
      </c>
      <c r="G58" s="18">
        <v>1</v>
      </c>
      <c r="H58" s="18">
        <v>3.4179999999999997</v>
      </c>
      <c r="I58" s="18">
        <f>G58*H58</f>
        <v>3.4179999999999997</v>
      </c>
      <c r="J58" s="18" t="s">
        <v>807</v>
      </c>
      <c r="K58" s="299"/>
      <c r="M58" s="340">
        <f>$N$2</f>
        <v>99</v>
      </c>
      <c r="N58" s="70">
        <f>M58*I58</f>
        <v>338.38199999999995</v>
      </c>
      <c r="O58" s="299" t="s">
        <v>807</v>
      </c>
    </row>
    <row r="59" spans="1:15" ht="15.95" customHeight="1">
      <c r="A59" s="305" t="s">
        <v>912</v>
      </c>
      <c r="B59" s="18" t="s">
        <v>1126</v>
      </c>
      <c r="C59" s="18" t="s">
        <v>1127</v>
      </c>
      <c r="D59" s="18" t="s">
        <v>772</v>
      </c>
      <c r="E59" s="18" t="s">
        <v>779</v>
      </c>
      <c r="F59" s="18" t="s">
        <v>831</v>
      </c>
      <c r="G59" s="18">
        <v>1</v>
      </c>
      <c r="H59" s="18">
        <v>0.159</v>
      </c>
      <c r="I59" s="18">
        <f t="shared" ref="I59" si="6">G59*H59</f>
        <v>0.159</v>
      </c>
      <c r="J59" s="18" t="s">
        <v>807</v>
      </c>
      <c r="K59" s="299" t="s">
        <v>1196</v>
      </c>
      <c r="L59" s="347"/>
      <c r="M59" s="340">
        <f t="shared" ref="M59:M60" si="7">$N$2</f>
        <v>99</v>
      </c>
      <c r="N59" s="70">
        <f t="shared" ref="N59:N60" si="8">M59*I59</f>
        <v>15.741</v>
      </c>
      <c r="O59" s="299" t="s">
        <v>841</v>
      </c>
    </row>
    <row r="60" spans="1:15" ht="15.95" customHeight="1" thickBot="1">
      <c r="A60" s="300" t="s">
        <v>913</v>
      </c>
      <c r="B60" s="287" t="s">
        <v>1128</v>
      </c>
      <c r="C60" s="287" t="s">
        <v>1129</v>
      </c>
      <c r="D60" s="287" t="s">
        <v>777</v>
      </c>
      <c r="E60" s="287" t="s">
        <v>1056</v>
      </c>
      <c r="F60" s="287" t="s">
        <v>828</v>
      </c>
      <c r="G60" s="287">
        <v>1</v>
      </c>
      <c r="H60" s="287">
        <v>8.1000000000000003E-2</v>
      </c>
      <c r="I60" s="287">
        <f>G60*H60</f>
        <v>8.1000000000000003E-2</v>
      </c>
      <c r="J60" s="287" t="s">
        <v>807</v>
      </c>
      <c r="K60" s="348"/>
      <c r="M60" s="340">
        <f t="shared" si="7"/>
        <v>99</v>
      </c>
      <c r="N60" s="70">
        <f t="shared" si="8"/>
        <v>8.0190000000000001</v>
      </c>
      <c r="O60" s="299" t="s">
        <v>807</v>
      </c>
    </row>
    <row r="61" spans="1:15" ht="15.95" customHeight="1" thickBot="1">
      <c r="A61" s="705" t="s">
        <v>839</v>
      </c>
      <c r="B61" s="706"/>
      <c r="C61" s="706"/>
      <c r="D61" s="706"/>
      <c r="E61" s="706"/>
      <c r="F61" s="706"/>
      <c r="G61" s="706"/>
      <c r="H61" s="706"/>
      <c r="I61" s="706"/>
      <c r="J61" s="706"/>
      <c r="K61" s="707"/>
      <c r="M61" s="685"/>
      <c r="N61" s="686"/>
      <c r="O61" s="687"/>
    </row>
    <row r="62" spans="1:15" ht="15.95" customHeight="1">
      <c r="A62" s="297" t="s">
        <v>914</v>
      </c>
      <c r="B62" s="309" t="s">
        <v>1197</v>
      </c>
      <c r="C62" s="309" t="s">
        <v>1198</v>
      </c>
      <c r="D62" s="309" t="s">
        <v>3</v>
      </c>
      <c r="E62" s="309" t="s">
        <v>3</v>
      </c>
      <c r="F62" s="309" t="s">
        <v>1132</v>
      </c>
      <c r="G62" s="309">
        <v>1</v>
      </c>
      <c r="H62" s="309">
        <v>1</v>
      </c>
      <c r="I62" s="309">
        <f>G62*H62</f>
        <v>1</v>
      </c>
      <c r="J62" s="309" t="s">
        <v>841</v>
      </c>
      <c r="K62" s="310"/>
      <c r="M62" s="340">
        <f>$N$2</f>
        <v>99</v>
      </c>
      <c r="N62" s="70">
        <f>M62*I62</f>
        <v>99</v>
      </c>
      <c r="O62" s="299" t="s">
        <v>841</v>
      </c>
    </row>
    <row r="63" spans="1:15" ht="15.95" customHeight="1">
      <c r="A63" s="298" t="s">
        <v>916</v>
      </c>
      <c r="B63" s="18" t="s">
        <v>3</v>
      </c>
      <c r="C63" s="18" t="s">
        <v>1133</v>
      </c>
      <c r="D63" s="18" t="s">
        <v>3</v>
      </c>
      <c r="E63" s="18" t="s">
        <v>3</v>
      </c>
      <c r="F63" s="18" t="s">
        <v>1134</v>
      </c>
      <c r="G63" s="18">
        <v>4</v>
      </c>
      <c r="H63" s="18">
        <v>1</v>
      </c>
      <c r="I63" s="18">
        <f t="shared" ref="I63:I79" si="9">G63*H63</f>
        <v>4</v>
      </c>
      <c r="J63" s="18" t="s">
        <v>841</v>
      </c>
      <c r="K63" s="299"/>
      <c r="M63" s="340">
        <f>$N$2</f>
        <v>99</v>
      </c>
      <c r="N63" s="70">
        <f>M63*I63</f>
        <v>396</v>
      </c>
      <c r="O63" s="299" t="s">
        <v>841</v>
      </c>
    </row>
    <row r="64" spans="1:15" ht="15.95" customHeight="1">
      <c r="A64" s="298" t="s">
        <v>918</v>
      </c>
      <c r="B64" s="18" t="s">
        <v>3</v>
      </c>
      <c r="C64" s="18" t="s">
        <v>1059</v>
      </c>
      <c r="D64" s="18" t="s">
        <v>3</v>
      </c>
      <c r="E64" s="18" t="s">
        <v>3</v>
      </c>
      <c r="F64" s="18" t="s">
        <v>762</v>
      </c>
      <c r="G64" s="18">
        <v>4</v>
      </c>
      <c r="H64" s="18">
        <v>1</v>
      </c>
      <c r="I64" s="18">
        <f t="shared" si="9"/>
        <v>4</v>
      </c>
      <c r="J64" s="18" t="s">
        <v>841</v>
      </c>
      <c r="K64" s="299"/>
      <c r="M64" s="340">
        <f>$N$2</f>
        <v>99</v>
      </c>
      <c r="N64" s="70">
        <f>M64*I64</f>
        <v>396</v>
      </c>
      <c r="O64" s="299" t="s">
        <v>841</v>
      </c>
    </row>
    <row r="65" spans="1:15" ht="15.95" customHeight="1">
      <c r="A65" s="298" t="s">
        <v>920</v>
      </c>
      <c r="B65" s="18" t="s">
        <v>3</v>
      </c>
      <c r="C65" s="18" t="s">
        <v>1135</v>
      </c>
      <c r="D65" s="18" t="s">
        <v>3</v>
      </c>
      <c r="E65" s="18" t="s">
        <v>3</v>
      </c>
      <c r="F65" s="18" t="s">
        <v>47</v>
      </c>
      <c r="G65" s="18">
        <v>2</v>
      </c>
      <c r="H65" s="18">
        <v>2E-3</v>
      </c>
      <c r="I65" s="18">
        <f t="shared" si="9"/>
        <v>4.0000000000000001E-3</v>
      </c>
      <c r="J65" s="18" t="s">
        <v>1136</v>
      </c>
      <c r="K65" s="299"/>
      <c r="M65" s="340">
        <f>$N$2</f>
        <v>99</v>
      </c>
      <c r="N65" s="70">
        <f>M65*I65</f>
        <v>0.39600000000000002</v>
      </c>
      <c r="O65" s="18" t="s">
        <v>1136</v>
      </c>
    </row>
    <row r="66" spans="1:15" ht="15.95" customHeight="1" thickBot="1">
      <c r="A66" s="350" t="s">
        <v>922</v>
      </c>
      <c r="B66" s="296" t="s">
        <v>3</v>
      </c>
      <c r="C66" s="296" t="s">
        <v>1137</v>
      </c>
      <c r="D66" s="296" t="s">
        <v>3</v>
      </c>
      <c r="E66" s="296" t="s">
        <v>3</v>
      </c>
      <c r="F66" s="296" t="s">
        <v>3</v>
      </c>
      <c r="G66" s="296">
        <v>2</v>
      </c>
      <c r="H66" s="18">
        <v>1</v>
      </c>
      <c r="I66" s="18">
        <f t="shared" si="9"/>
        <v>2</v>
      </c>
      <c r="J66" s="18" t="s">
        <v>841</v>
      </c>
      <c r="K66" s="351"/>
      <c r="M66" s="340">
        <f>$N$2</f>
        <v>99</v>
      </c>
      <c r="N66" s="70">
        <f>M66*I66</f>
        <v>198</v>
      </c>
      <c r="O66" s="299" t="s">
        <v>841</v>
      </c>
    </row>
    <row r="67" spans="1:15" ht="15.95" customHeight="1" thickBot="1">
      <c r="A67" s="708" t="s">
        <v>1138</v>
      </c>
      <c r="B67" s="709"/>
      <c r="C67" s="709"/>
      <c r="D67" s="709"/>
      <c r="E67" s="709"/>
      <c r="F67" s="709"/>
      <c r="G67" s="709"/>
      <c r="H67" s="709"/>
      <c r="I67" s="709"/>
      <c r="J67" s="709"/>
      <c r="K67" s="710"/>
      <c r="L67" s="294"/>
      <c r="M67" s="711"/>
      <c r="N67" s="712"/>
      <c r="O67" s="713"/>
    </row>
    <row r="68" spans="1:15" ht="15.95" customHeight="1">
      <c r="A68" s="297" t="s">
        <v>924</v>
      </c>
      <c r="B68" s="309" t="s">
        <v>3</v>
      </c>
      <c r="C68" s="309" t="s">
        <v>1139</v>
      </c>
      <c r="D68" s="309" t="s">
        <v>3</v>
      </c>
      <c r="E68" s="309" t="s">
        <v>3</v>
      </c>
      <c r="F68" s="309" t="s">
        <v>3</v>
      </c>
      <c r="G68" s="309">
        <v>1</v>
      </c>
      <c r="H68" s="309">
        <v>1</v>
      </c>
      <c r="I68" s="309">
        <f t="shared" si="9"/>
        <v>1</v>
      </c>
      <c r="J68" s="309" t="s">
        <v>841</v>
      </c>
      <c r="K68" s="310"/>
      <c r="L68" s="347"/>
      <c r="M68" s="340">
        <f>$N$2</f>
        <v>99</v>
      </c>
      <c r="N68" s="70">
        <f>M68*I68</f>
        <v>99</v>
      </c>
      <c r="O68" s="299" t="s">
        <v>841</v>
      </c>
    </row>
    <row r="69" spans="1:15" ht="15.95" customHeight="1">
      <c r="A69" s="298" t="s">
        <v>926</v>
      </c>
      <c r="B69" s="18" t="s">
        <v>3</v>
      </c>
      <c r="C69" s="245" t="s">
        <v>1140</v>
      </c>
      <c r="D69" s="18" t="s">
        <v>3</v>
      </c>
      <c r="E69" s="18" t="s">
        <v>3</v>
      </c>
      <c r="F69" s="18" t="s">
        <v>3</v>
      </c>
      <c r="G69" s="18">
        <v>0.25</v>
      </c>
      <c r="H69" s="18">
        <v>1</v>
      </c>
      <c r="I69" s="18">
        <f t="shared" si="9"/>
        <v>0.25</v>
      </c>
      <c r="J69" s="18" t="s">
        <v>841</v>
      </c>
      <c r="K69" s="299" t="s">
        <v>1141</v>
      </c>
      <c r="L69" s="347"/>
      <c r="M69" s="340">
        <f t="shared" ref="M69:M76" si="10">$N$2</f>
        <v>99</v>
      </c>
      <c r="N69" s="70">
        <f t="shared" ref="N69:N76" si="11">M69*I69</f>
        <v>24.75</v>
      </c>
      <c r="O69" s="299" t="s">
        <v>841</v>
      </c>
    </row>
    <row r="70" spans="1:15" ht="15.95" customHeight="1">
      <c r="A70" s="298" t="s">
        <v>927</v>
      </c>
      <c r="B70" s="18" t="s">
        <v>3</v>
      </c>
      <c r="C70" s="18" t="s">
        <v>1142</v>
      </c>
      <c r="D70" s="18" t="s">
        <v>3</v>
      </c>
      <c r="E70" s="18" t="s">
        <v>3</v>
      </c>
      <c r="F70" s="18" t="s">
        <v>1143</v>
      </c>
      <c r="G70" s="18">
        <v>2</v>
      </c>
      <c r="H70" s="18">
        <v>1</v>
      </c>
      <c r="I70" s="18">
        <f t="shared" si="9"/>
        <v>2</v>
      </c>
      <c r="J70" s="18" t="s">
        <v>841</v>
      </c>
      <c r="K70" s="690" t="s">
        <v>1144</v>
      </c>
      <c r="M70" s="340">
        <f t="shared" si="10"/>
        <v>99</v>
      </c>
      <c r="N70" s="70">
        <f t="shared" si="11"/>
        <v>198</v>
      </c>
      <c r="O70" s="299" t="s">
        <v>841</v>
      </c>
    </row>
    <row r="71" spans="1:15" ht="15.95" customHeight="1">
      <c r="A71" s="298" t="s">
        <v>928</v>
      </c>
      <c r="B71" s="18" t="s">
        <v>3</v>
      </c>
      <c r="C71" s="18" t="s">
        <v>1145</v>
      </c>
      <c r="D71" s="18" t="s">
        <v>3</v>
      </c>
      <c r="E71" s="18" t="s">
        <v>3</v>
      </c>
      <c r="F71" s="18" t="s">
        <v>762</v>
      </c>
      <c r="G71" s="18">
        <v>2</v>
      </c>
      <c r="H71" s="18">
        <v>1</v>
      </c>
      <c r="I71" s="18">
        <f t="shared" si="9"/>
        <v>2</v>
      </c>
      <c r="J71" s="18" t="s">
        <v>841</v>
      </c>
      <c r="K71" s="690"/>
      <c r="M71" s="340">
        <f t="shared" si="10"/>
        <v>99</v>
      </c>
      <c r="N71" s="70">
        <f t="shared" si="11"/>
        <v>198</v>
      </c>
      <c r="O71" s="299" t="s">
        <v>841</v>
      </c>
    </row>
    <row r="72" spans="1:15" ht="15.95" customHeight="1">
      <c r="A72" s="298" t="s">
        <v>929</v>
      </c>
      <c r="B72" s="18" t="s">
        <v>3</v>
      </c>
      <c r="C72" s="18" t="s">
        <v>1146</v>
      </c>
      <c r="D72" s="18" t="s">
        <v>3</v>
      </c>
      <c r="E72" s="18" t="s">
        <v>3</v>
      </c>
      <c r="F72" s="18" t="s">
        <v>120</v>
      </c>
      <c r="G72" s="18">
        <v>4</v>
      </c>
      <c r="H72" s="18">
        <v>1</v>
      </c>
      <c r="I72" s="18">
        <f t="shared" si="9"/>
        <v>4</v>
      </c>
      <c r="J72" s="18" t="s">
        <v>841</v>
      </c>
      <c r="K72" s="690"/>
      <c r="M72" s="340">
        <f t="shared" si="10"/>
        <v>99</v>
      </c>
      <c r="N72" s="70">
        <f t="shared" si="11"/>
        <v>396</v>
      </c>
      <c r="O72" s="299" t="s">
        <v>841</v>
      </c>
    </row>
    <row r="73" spans="1:15" ht="15.95" customHeight="1">
      <c r="A73" s="298" t="s">
        <v>931</v>
      </c>
      <c r="B73" s="18" t="s">
        <v>3</v>
      </c>
      <c r="C73" s="245" t="s">
        <v>1147</v>
      </c>
      <c r="D73" s="18" t="s">
        <v>3</v>
      </c>
      <c r="E73" s="18" t="s">
        <v>3</v>
      </c>
      <c r="F73" s="18" t="s">
        <v>3</v>
      </c>
      <c r="G73" s="18">
        <v>2</v>
      </c>
      <c r="H73" s="18">
        <v>1</v>
      </c>
      <c r="I73" s="18">
        <f t="shared" si="9"/>
        <v>2</v>
      </c>
      <c r="J73" s="18" t="s">
        <v>841</v>
      </c>
      <c r="K73" s="299"/>
      <c r="L73" s="347"/>
      <c r="M73" s="340">
        <f t="shared" si="10"/>
        <v>99</v>
      </c>
      <c r="N73" s="70">
        <f t="shared" si="11"/>
        <v>198</v>
      </c>
      <c r="O73" s="299" t="s">
        <v>841</v>
      </c>
    </row>
    <row r="74" spans="1:15" ht="15.95" customHeight="1">
      <c r="A74" s="298" t="s">
        <v>932</v>
      </c>
      <c r="B74" s="18" t="s">
        <v>3</v>
      </c>
      <c r="C74" s="245" t="s">
        <v>1148</v>
      </c>
      <c r="D74" s="18" t="s">
        <v>3</v>
      </c>
      <c r="E74" s="18" t="s">
        <v>3</v>
      </c>
      <c r="F74" s="18" t="s">
        <v>1149</v>
      </c>
      <c r="G74" s="18">
        <v>5.0000000000000001E-3</v>
      </c>
      <c r="H74" s="18">
        <v>1</v>
      </c>
      <c r="I74" s="18">
        <f t="shared" si="9"/>
        <v>5.0000000000000001E-3</v>
      </c>
      <c r="J74" s="18" t="s">
        <v>807</v>
      </c>
      <c r="K74" s="299"/>
      <c r="L74" s="347"/>
      <c r="M74" s="340">
        <f t="shared" si="10"/>
        <v>99</v>
      </c>
      <c r="N74" s="70">
        <f t="shared" si="11"/>
        <v>0.495</v>
      </c>
      <c r="O74" s="299" t="s">
        <v>807</v>
      </c>
    </row>
    <row r="75" spans="1:15" ht="15.95" customHeight="1">
      <c r="A75" s="298" t="s">
        <v>933</v>
      </c>
      <c r="B75" s="18" t="s">
        <v>3</v>
      </c>
      <c r="C75" s="245" t="s">
        <v>1150</v>
      </c>
      <c r="D75" s="18" t="s">
        <v>3</v>
      </c>
      <c r="E75" s="18" t="s">
        <v>3</v>
      </c>
      <c r="F75" s="18" t="s">
        <v>3</v>
      </c>
      <c r="G75" s="18">
        <v>0.45</v>
      </c>
      <c r="H75" s="18">
        <v>1</v>
      </c>
      <c r="I75" s="18">
        <f t="shared" si="9"/>
        <v>0.45</v>
      </c>
      <c r="J75" s="18" t="s">
        <v>1151</v>
      </c>
      <c r="K75" s="299"/>
      <c r="L75" s="347"/>
      <c r="M75" s="340">
        <f t="shared" si="10"/>
        <v>99</v>
      </c>
      <c r="N75" s="70">
        <f t="shared" si="11"/>
        <v>44.550000000000004</v>
      </c>
      <c r="O75" s="299" t="s">
        <v>1151</v>
      </c>
    </row>
    <row r="76" spans="1:15" ht="15.95" customHeight="1" thickBot="1">
      <c r="A76" s="300" t="s">
        <v>934</v>
      </c>
      <c r="B76" s="287" t="s">
        <v>3</v>
      </c>
      <c r="C76" s="312" t="s">
        <v>1152</v>
      </c>
      <c r="D76" s="287" t="s">
        <v>3</v>
      </c>
      <c r="E76" s="287" t="s">
        <v>3</v>
      </c>
      <c r="F76" s="287" t="s">
        <v>3</v>
      </c>
      <c r="G76" s="287">
        <v>1</v>
      </c>
      <c r="H76" s="287">
        <v>1</v>
      </c>
      <c r="I76" s="287">
        <f t="shared" si="9"/>
        <v>1</v>
      </c>
      <c r="J76" s="287" t="s">
        <v>841</v>
      </c>
      <c r="K76" s="303"/>
      <c r="L76" s="347"/>
      <c r="M76" s="340">
        <f t="shared" si="10"/>
        <v>99</v>
      </c>
      <c r="N76" s="70">
        <f t="shared" si="11"/>
        <v>99</v>
      </c>
      <c r="O76" s="299" t="s">
        <v>841</v>
      </c>
    </row>
    <row r="77" spans="1:15" ht="15.95" customHeight="1" thickBot="1">
      <c r="A77" s="676" t="s">
        <v>1153</v>
      </c>
      <c r="B77" s="677"/>
      <c r="C77" s="677"/>
      <c r="D77" s="677"/>
      <c r="E77" s="677"/>
      <c r="F77" s="677"/>
      <c r="G77" s="677"/>
      <c r="H77" s="677"/>
      <c r="I77" s="677"/>
      <c r="J77" s="677"/>
      <c r="K77" s="678"/>
      <c r="M77" s="685"/>
      <c r="N77" s="686"/>
      <c r="O77" s="687"/>
    </row>
    <row r="78" spans="1:15" ht="15.95" customHeight="1">
      <c r="A78" s="297" t="s">
        <v>936</v>
      </c>
      <c r="B78" s="309" t="s">
        <v>3</v>
      </c>
      <c r="C78" s="309" t="s">
        <v>1154</v>
      </c>
      <c r="D78" s="309" t="s">
        <v>3</v>
      </c>
      <c r="E78" s="309" t="s">
        <v>3</v>
      </c>
      <c r="F78" s="309" t="s">
        <v>1155</v>
      </c>
      <c r="G78" s="352">
        <v>0</v>
      </c>
      <c r="H78" s="309">
        <v>1</v>
      </c>
      <c r="I78" s="309">
        <f t="shared" si="9"/>
        <v>0</v>
      </c>
      <c r="J78" s="309" t="s">
        <v>807</v>
      </c>
      <c r="K78" s="714" t="s">
        <v>1156</v>
      </c>
      <c r="M78" s="353">
        <f>$N$2</f>
        <v>99</v>
      </c>
      <c r="N78" s="354">
        <f>M78*I78</f>
        <v>0</v>
      </c>
      <c r="O78" s="355" t="s">
        <v>807</v>
      </c>
    </row>
    <row r="79" spans="1:15" ht="15.95" customHeight="1" thickBot="1">
      <c r="A79" s="300" t="s">
        <v>939</v>
      </c>
      <c r="B79" s="287" t="s">
        <v>3</v>
      </c>
      <c r="C79" s="287" t="s">
        <v>1157</v>
      </c>
      <c r="D79" s="287" t="s">
        <v>3</v>
      </c>
      <c r="E79" s="287" t="s">
        <v>3</v>
      </c>
      <c r="F79" s="287" t="s">
        <v>1158</v>
      </c>
      <c r="G79" s="356">
        <v>0</v>
      </c>
      <c r="H79" s="287">
        <v>1</v>
      </c>
      <c r="I79" s="287">
        <f t="shared" si="9"/>
        <v>0</v>
      </c>
      <c r="J79" s="287" t="s">
        <v>807</v>
      </c>
      <c r="K79" s="715"/>
      <c r="M79" s="353">
        <f>$N$2</f>
        <v>99</v>
      </c>
      <c r="N79" s="354">
        <f>M79*I79</f>
        <v>0</v>
      </c>
      <c r="O79" s="355" t="s">
        <v>807</v>
      </c>
    </row>
    <row r="80" spans="1:15" ht="15.95" customHeight="1" thickBot="1">
      <c r="A80" s="705" t="s">
        <v>1159</v>
      </c>
      <c r="B80" s="706"/>
      <c r="C80" s="706"/>
      <c r="D80" s="706"/>
      <c r="E80" s="706"/>
      <c r="F80" s="706"/>
      <c r="G80" s="706"/>
      <c r="H80" s="706"/>
      <c r="I80" s="706"/>
      <c r="J80" s="706"/>
      <c r="K80" s="707"/>
      <c r="M80" s="685"/>
      <c r="N80" s="686"/>
      <c r="O80" s="687"/>
    </row>
    <row r="81" spans="1:15" ht="15.95" customHeight="1">
      <c r="A81" s="297" t="s">
        <v>1160</v>
      </c>
      <c r="B81" s="309" t="s">
        <v>3</v>
      </c>
      <c r="C81" s="309" t="s">
        <v>1161</v>
      </c>
      <c r="D81" s="309" t="s">
        <v>3</v>
      </c>
      <c r="E81" s="309" t="s">
        <v>3</v>
      </c>
      <c r="F81" s="309" t="s">
        <v>1162</v>
      </c>
      <c r="G81" s="309">
        <v>1</v>
      </c>
      <c r="H81" s="309">
        <v>1</v>
      </c>
      <c r="I81" s="309">
        <f t="shared" ref="I81:I83" si="12">G81*H81</f>
        <v>1</v>
      </c>
      <c r="J81" s="309" t="s">
        <v>841</v>
      </c>
      <c r="K81" s="310" t="s">
        <v>1163</v>
      </c>
      <c r="L81" s="347"/>
      <c r="M81" s="340">
        <f t="shared" ref="M81:M83" si="13">$N$2</f>
        <v>99</v>
      </c>
      <c r="N81" s="70">
        <f t="shared" ref="N81:N83" si="14">M81*I81</f>
        <v>99</v>
      </c>
      <c r="O81" s="299" t="s">
        <v>841</v>
      </c>
    </row>
    <row r="82" spans="1:15" ht="15.95" customHeight="1">
      <c r="A82" s="298" t="s">
        <v>940</v>
      </c>
      <c r="B82" s="18" t="s">
        <v>3</v>
      </c>
      <c r="C82" s="18" t="s">
        <v>1164</v>
      </c>
      <c r="D82" s="18" t="s">
        <v>3</v>
      </c>
      <c r="E82" s="18" t="s">
        <v>3</v>
      </c>
      <c r="F82" s="18" t="s">
        <v>3</v>
      </c>
      <c r="G82" s="18">
        <v>1</v>
      </c>
      <c r="H82" s="18">
        <v>1</v>
      </c>
      <c r="I82" s="18">
        <f t="shared" si="12"/>
        <v>1</v>
      </c>
      <c r="J82" s="18" t="s">
        <v>841</v>
      </c>
      <c r="K82" s="299" t="s">
        <v>1165</v>
      </c>
      <c r="L82" s="347"/>
      <c r="M82" s="340">
        <f t="shared" si="13"/>
        <v>99</v>
      </c>
      <c r="N82" s="70">
        <f t="shared" si="14"/>
        <v>99</v>
      </c>
      <c r="O82" s="299" t="s">
        <v>841</v>
      </c>
    </row>
    <row r="83" spans="1:15" ht="15.95" customHeight="1" thickBot="1">
      <c r="A83" s="300" t="s">
        <v>941</v>
      </c>
      <c r="B83" s="287" t="s">
        <v>3</v>
      </c>
      <c r="C83" s="312" t="s">
        <v>1140</v>
      </c>
      <c r="D83" s="287" t="s">
        <v>3</v>
      </c>
      <c r="E83" s="287" t="s">
        <v>3</v>
      </c>
      <c r="F83" s="287" t="s">
        <v>3</v>
      </c>
      <c r="G83" s="287">
        <v>0.5</v>
      </c>
      <c r="H83" s="287">
        <v>1</v>
      </c>
      <c r="I83" s="287">
        <f t="shared" si="12"/>
        <v>0.5</v>
      </c>
      <c r="J83" s="287" t="s">
        <v>841</v>
      </c>
      <c r="K83" s="303" t="s">
        <v>1166</v>
      </c>
      <c r="L83" s="347"/>
      <c r="M83" s="340">
        <f t="shared" si="13"/>
        <v>99</v>
      </c>
      <c r="N83" s="70">
        <f t="shared" si="14"/>
        <v>49.5</v>
      </c>
      <c r="O83" s="299" t="s">
        <v>841</v>
      </c>
    </row>
    <row r="84" spans="1:15" ht="15.95" customHeight="1" thickBot="1">
      <c r="A84" s="676" t="s">
        <v>56</v>
      </c>
      <c r="B84" s="677"/>
      <c r="C84" s="677"/>
      <c r="D84" s="677"/>
      <c r="E84" s="677"/>
      <c r="F84" s="677"/>
      <c r="G84" s="677"/>
      <c r="H84" s="677"/>
      <c r="I84" s="677"/>
      <c r="J84" s="677"/>
      <c r="K84" s="678"/>
      <c r="M84" s="685"/>
      <c r="N84" s="686"/>
      <c r="O84" s="687"/>
    </row>
    <row r="85" spans="1:15" ht="15.95" customHeight="1">
      <c r="A85" s="297" t="s">
        <v>942</v>
      </c>
      <c r="B85" s="309" t="s">
        <v>3</v>
      </c>
      <c r="C85" s="309" t="s">
        <v>1167</v>
      </c>
      <c r="D85" s="309" t="s">
        <v>3</v>
      </c>
      <c r="E85" s="309" t="s">
        <v>3</v>
      </c>
      <c r="F85" s="309" t="s">
        <v>3</v>
      </c>
      <c r="G85" s="311">
        <v>0.04</v>
      </c>
      <c r="H85" s="309">
        <v>1</v>
      </c>
      <c r="I85" s="309">
        <f>G85*H85</f>
        <v>0.04</v>
      </c>
      <c r="J85" s="309" t="s">
        <v>841</v>
      </c>
      <c r="K85" s="310"/>
      <c r="M85" s="340">
        <f t="shared" ref="M85:M92" si="15">$N$2</f>
        <v>99</v>
      </c>
      <c r="N85" s="70">
        <f t="shared" ref="N85:N93" si="16">M85*I85</f>
        <v>3.96</v>
      </c>
      <c r="O85" s="299" t="s">
        <v>841</v>
      </c>
    </row>
    <row r="86" spans="1:15" ht="15.95" customHeight="1">
      <c r="A86" s="298" t="s">
        <v>943</v>
      </c>
      <c r="B86" s="18" t="s">
        <v>3</v>
      </c>
      <c r="C86" s="18" t="s">
        <v>1199</v>
      </c>
      <c r="D86" s="18" t="s">
        <v>3</v>
      </c>
      <c r="E86" s="18" t="s">
        <v>3</v>
      </c>
      <c r="F86" s="18" t="s">
        <v>63</v>
      </c>
      <c r="G86" s="245">
        <v>1</v>
      </c>
      <c r="H86" s="245">
        <v>1</v>
      </c>
      <c r="I86" s="18">
        <f t="shared" ref="I86:I91" si="17">G86*H86</f>
        <v>1</v>
      </c>
      <c r="J86" s="18" t="s">
        <v>841</v>
      </c>
      <c r="K86" s="357" t="s">
        <v>1169</v>
      </c>
      <c r="M86" s="340">
        <f t="shared" si="15"/>
        <v>99</v>
      </c>
      <c r="N86" s="70">
        <f t="shared" si="16"/>
        <v>99</v>
      </c>
      <c r="O86" s="299" t="s">
        <v>841</v>
      </c>
    </row>
    <row r="87" spans="1:15" ht="15.95" customHeight="1">
      <c r="A87" s="298" t="s">
        <v>944</v>
      </c>
      <c r="B87" s="18" t="s">
        <v>3</v>
      </c>
      <c r="C87" s="18" t="s">
        <v>1200</v>
      </c>
      <c r="D87" s="18" t="s">
        <v>3</v>
      </c>
      <c r="E87" s="18" t="s">
        <v>1171</v>
      </c>
      <c r="F87" s="18" t="s">
        <v>1172</v>
      </c>
      <c r="G87" s="245">
        <v>2</v>
      </c>
      <c r="H87" s="245">
        <v>1</v>
      </c>
      <c r="I87" s="18">
        <f t="shared" si="17"/>
        <v>2</v>
      </c>
      <c r="J87" s="18" t="s">
        <v>841</v>
      </c>
      <c r="K87" s="357" t="s">
        <v>1169</v>
      </c>
      <c r="M87" s="340">
        <f t="shared" si="15"/>
        <v>99</v>
      </c>
      <c r="N87" s="70">
        <f t="shared" si="16"/>
        <v>198</v>
      </c>
      <c r="O87" s="299" t="s">
        <v>841</v>
      </c>
    </row>
    <row r="88" spans="1:15" ht="15.95" customHeight="1">
      <c r="A88" s="298" t="s">
        <v>945</v>
      </c>
      <c r="B88" s="18" t="s">
        <v>1173</v>
      </c>
      <c r="C88" s="18" t="s">
        <v>1174</v>
      </c>
      <c r="D88" s="18" t="s">
        <v>3</v>
      </c>
      <c r="E88" s="18" t="s">
        <v>1175</v>
      </c>
      <c r="F88" s="18" t="s">
        <v>1176</v>
      </c>
      <c r="G88" s="245">
        <v>1</v>
      </c>
      <c r="H88" s="245">
        <v>1</v>
      </c>
      <c r="I88" s="18">
        <f t="shared" si="17"/>
        <v>1</v>
      </c>
      <c r="J88" s="245" t="s">
        <v>1177</v>
      </c>
      <c r="K88" s="357" t="s">
        <v>1169</v>
      </c>
      <c r="M88" s="340">
        <f t="shared" si="15"/>
        <v>99</v>
      </c>
      <c r="N88" s="70">
        <f t="shared" si="16"/>
        <v>99</v>
      </c>
      <c r="O88" s="28" t="s">
        <v>1177</v>
      </c>
    </row>
    <row r="89" spans="1:15" ht="15.95" customHeight="1">
      <c r="A89" s="298" t="s">
        <v>946</v>
      </c>
      <c r="B89" s="18" t="s">
        <v>3</v>
      </c>
      <c r="C89" s="18" t="s">
        <v>1178</v>
      </c>
      <c r="D89" s="18" t="s">
        <v>3</v>
      </c>
      <c r="E89" s="18" t="s">
        <v>3</v>
      </c>
      <c r="F89" s="18" t="s">
        <v>3</v>
      </c>
      <c r="G89" s="18">
        <v>1</v>
      </c>
      <c r="H89" s="18">
        <v>1</v>
      </c>
      <c r="I89" s="18">
        <f t="shared" si="17"/>
        <v>1</v>
      </c>
      <c r="J89" s="18" t="s">
        <v>841</v>
      </c>
      <c r="K89" s="299"/>
      <c r="M89" s="340">
        <f t="shared" si="15"/>
        <v>99</v>
      </c>
      <c r="N89" s="70">
        <f t="shared" si="16"/>
        <v>99</v>
      </c>
      <c r="O89" s="299" t="s">
        <v>841</v>
      </c>
    </row>
    <row r="90" spans="1:15" ht="15.95" customHeight="1">
      <c r="A90" s="298" t="s">
        <v>948</v>
      </c>
      <c r="B90" s="18" t="s">
        <v>3</v>
      </c>
      <c r="C90" s="245" t="s">
        <v>1179</v>
      </c>
      <c r="D90" s="18" t="s">
        <v>3</v>
      </c>
      <c r="E90" s="18" t="s">
        <v>3</v>
      </c>
      <c r="F90" s="18" t="s">
        <v>3</v>
      </c>
      <c r="G90" s="18">
        <v>1</v>
      </c>
      <c r="H90" s="18">
        <v>1</v>
      </c>
      <c r="I90" s="18">
        <f t="shared" si="17"/>
        <v>1</v>
      </c>
      <c r="J90" s="18" t="s">
        <v>841</v>
      </c>
      <c r="K90" s="299"/>
      <c r="M90" s="340">
        <f t="shared" si="15"/>
        <v>99</v>
      </c>
      <c r="N90" s="70">
        <f t="shared" si="16"/>
        <v>99</v>
      </c>
      <c r="O90" s="299" t="s">
        <v>841</v>
      </c>
    </row>
    <row r="91" spans="1:15" ht="15.95" customHeight="1">
      <c r="A91" s="298" t="s">
        <v>950</v>
      </c>
      <c r="B91" s="18" t="s">
        <v>3</v>
      </c>
      <c r="C91" s="245" t="s">
        <v>113</v>
      </c>
      <c r="D91" s="18" t="s">
        <v>3</v>
      </c>
      <c r="E91" s="18" t="s">
        <v>3</v>
      </c>
      <c r="F91" s="18" t="s">
        <v>3</v>
      </c>
      <c r="G91" s="18">
        <v>1</v>
      </c>
      <c r="H91" s="18">
        <v>1</v>
      </c>
      <c r="I91" s="18">
        <f t="shared" si="17"/>
        <v>1</v>
      </c>
      <c r="J91" s="18" t="s">
        <v>841</v>
      </c>
      <c r="K91" s="299"/>
      <c r="M91" s="340">
        <f t="shared" si="15"/>
        <v>99</v>
      </c>
      <c r="N91" s="70">
        <f t="shared" si="16"/>
        <v>99</v>
      </c>
      <c r="O91" s="299" t="s">
        <v>841</v>
      </c>
    </row>
    <row r="92" spans="1:15" ht="15.95" customHeight="1">
      <c r="A92" s="298" t="s">
        <v>951</v>
      </c>
      <c r="B92" s="18" t="s">
        <v>1173</v>
      </c>
      <c r="C92" s="245" t="s">
        <v>1201</v>
      </c>
      <c r="D92" s="18" t="s">
        <v>3</v>
      </c>
      <c r="E92" s="18" t="s">
        <v>1202</v>
      </c>
      <c r="F92" s="18" t="s">
        <v>1182</v>
      </c>
      <c r="G92" s="18">
        <v>1</v>
      </c>
      <c r="H92" s="18">
        <v>1</v>
      </c>
      <c r="I92" s="18">
        <v>0.04</v>
      </c>
      <c r="J92" s="18" t="s">
        <v>841</v>
      </c>
      <c r="K92" s="357" t="s">
        <v>1169</v>
      </c>
      <c r="M92" s="340">
        <f t="shared" si="15"/>
        <v>99</v>
      </c>
      <c r="N92" s="70">
        <f t="shared" si="16"/>
        <v>3.96</v>
      </c>
      <c r="O92" s="299" t="s">
        <v>841</v>
      </c>
    </row>
    <row r="93" spans="1:15" ht="15.95" customHeight="1" thickBot="1">
      <c r="A93" s="300" t="s">
        <v>953</v>
      </c>
      <c r="B93" s="287" t="s">
        <v>3</v>
      </c>
      <c r="C93" s="312" t="s">
        <v>1183</v>
      </c>
      <c r="D93" s="287" t="s">
        <v>3</v>
      </c>
      <c r="E93" s="287" t="s">
        <v>3</v>
      </c>
      <c r="F93" s="287" t="s">
        <v>1184</v>
      </c>
      <c r="G93" s="356">
        <v>0</v>
      </c>
      <c r="H93" s="287">
        <v>1</v>
      </c>
      <c r="I93" s="287">
        <f>G93*H93</f>
        <v>0</v>
      </c>
      <c r="J93" s="287" t="s">
        <v>935</v>
      </c>
      <c r="K93" s="303" t="s">
        <v>1185</v>
      </c>
      <c r="M93" s="353">
        <f>$N$2</f>
        <v>99</v>
      </c>
      <c r="N93" s="358">
        <f t="shared" si="16"/>
        <v>0</v>
      </c>
      <c r="O93" s="359" t="s">
        <v>935</v>
      </c>
    </row>
  </sheetData>
  <mergeCells count="53">
    <mergeCell ref="A84:K84"/>
    <mergeCell ref="M84:O84"/>
    <mergeCell ref="K70:K72"/>
    <mergeCell ref="A77:K77"/>
    <mergeCell ref="M77:O77"/>
    <mergeCell ref="K78:K79"/>
    <mergeCell ref="A80:K80"/>
    <mergeCell ref="M80:O80"/>
    <mergeCell ref="A56:K56"/>
    <mergeCell ref="M56:O56"/>
    <mergeCell ref="A61:K61"/>
    <mergeCell ref="M61:O61"/>
    <mergeCell ref="A67:K67"/>
    <mergeCell ref="M67:O67"/>
    <mergeCell ref="B53:K53"/>
    <mergeCell ref="M53:O53"/>
    <mergeCell ref="B35:K35"/>
    <mergeCell ref="M35:O36"/>
    <mergeCell ref="B36:K36"/>
    <mergeCell ref="B39:K39"/>
    <mergeCell ref="M39:O39"/>
    <mergeCell ref="B41:K41"/>
    <mergeCell ref="M41:O42"/>
    <mergeCell ref="B42:K42"/>
    <mergeCell ref="B46:K46"/>
    <mergeCell ref="M46:O46"/>
    <mergeCell ref="B49:K49"/>
    <mergeCell ref="M49:O50"/>
    <mergeCell ref="B50:K50"/>
    <mergeCell ref="B33:K33"/>
    <mergeCell ref="M33:O33"/>
    <mergeCell ref="M2:M3"/>
    <mergeCell ref="N2:N3"/>
    <mergeCell ref="O2:O3"/>
    <mergeCell ref="A4:K4"/>
    <mergeCell ref="M4:O6"/>
    <mergeCell ref="B5:K5"/>
    <mergeCell ref="B6:K6"/>
    <mergeCell ref="B13:K13"/>
    <mergeCell ref="M13:O13"/>
    <mergeCell ref="B28:K28"/>
    <mergeCell ref="M28:O29"/>
    <mergeCell ref="B29:K29"/>
    <mergeCell ref="A1:K1"/>
    <mergeCell ref="M1:O1"/>
    <mergeCell ref="A2:A3"/>
    <mergeCell ref="B2:B3"/>
    <mergeCell ref="C2:C3"/>
    <mergeCell ref="D2:F2"/>
    <mergeCell ref="G2:G3"/>
    <mergeCell ref="H2:I2"/>
    <mergeCell ref="J2:J3"/>
    <mergeCell ref="K2:K3"/>
  </mergeCells>
  <conditionalFormatting sqref="B38">
    <cfRule type="duplicateValues" dxfId="180" priority="6"/>
  </conditionalFormatting>
  <conditionalFormatting sqref="C38">
    <cfRule type="duplicateValues" dxfId="179" priority="5"/>
  </conditionalFormatting>
  <conditionalFormatting sqref="C44">
    <cfRule type="duplicateValues" dxfId="178" priority="4"/>
  </conditionalFormatting>
  <conditionalFormatting sqref="C45">
    <cfRule type="duplicateValues" dxfId="177" priority="3"/>
  </conditionalFormatting>
  <conditionalFormatting sqref="B60:C60">
    <cfRule type="duplicateValues" dxfId="176" priority="2"/>
  </conditionalFormatting>
  <conditionalFormatting sqref="B52:C52">
    <cfRule type="duplicateValues" dxfId="175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workbookViewId="0">
      <selection activeCell="F66" sqref="F66"/>
    </sheetView>
  </sheetViews>
  <sheetFormatPr defaultRowHeight="15.95" customHeight="1"/>
  <cols>
    <col min="1" max="1" width="6.85546875" bestFit="1" customWidth="1"/>
    <col min="2" max="2" width="26.140625" bestFit="1" customWidth="1"/>
    <col min="3" max="3" width="18.140625" bestFit="1" customWidth="1"/>
    <col min="4" max="4" width="8.28515625" bestFit="1" customWidth="1"/>
    <col min="5" max="5" width="9" bestFit="1" customWidth="1"/>
    <col min="6" max="6" width="34" customWidth="1"/>
    <col min="7" max="7" width="9.42578125" customWidth="1"/>
    <col min="8" max="8" width="7.28515625" bestFit="1" customWidth="1"/>
    <col min="9" max="9" width="8.7109375" bestFit="1" customWidth="1"/>
    <col min="10" max="10" width="6.42578125" bestFit="1" customWidth="1"/>
    <col min="11" max="11" width="13.5703125" bestFit="1" customWidth="1"/>
    <col min="13" max="13" width="16.85546875" bestFit="1" customWidth="1"/>
    <col min="14" max="14" width="7" bestFit="1" customWidth="1"/>
    <col min="15" max="15" width="6.42578125" bestFit="1" customWidth="1"/>
  </cols>
  <sheetData>
    <row r="1" spans="1:15" ht="15.95" customHeight="1" thickBot="1">
      <c r="A1" s="655" t="s">
        <v>1252</v>
      </c>
      <c r="B1" s="656"/>
      <c r="C1" s="656"/>
      <c r="D1" s="656"/>
      <c r="E1" s="656"/>
      <c r="F1" s="656"/>
      <c r="G1" s="656"/>
      <c r="H1" s="657"/>
      <c r="I1" s="657"/>
      <c r="J1" s="657"/>
      <c r="K1" s="658"/>
      <c r="L1" s="294"/>
      <c r="M1" s="740" t="s">
        <v>1037</v>
      </c>
      <c r="N1" s="740"/>
      <c r="O1" s="740"/>
    </row>
    <row r="2" spans="1:15" ht="15.95" customHeight="1">
      <c r="A2" s="659" t="s">
        <v>17</v>
      </c>
      <c r="B2" s="661" t="s">
        <v>789</v>
      </c>
      <c r="C2" s="661" t="s">
        <v>790</v>
      </c>
      <c r="D2" s="661" t="s">
        <v>791</v>
      </c>
      <c r="E2" s="661"/>
      <c r="F2" s="661"/>
      <c r="G2" s="661" t="s">
        <v>792</v>
      </c>
      <c r="H2" s="663" t="s">
        <v>367</v>
      </c>
      <c r="I2" s="664"/>
      <c r="J2" s="665" t="s">
        <v>793</v>
      </c>
      <c r="K2" s="667" t="s">
        <v>794</v>
      </c>
      <c r="L2" s="294"/>
      <c r="M2" s="739" t="s">
        <v>1038</v>
      </c>
      <c r="N2" s="689">
        <v>11</v>
      </c>
      <c r="O2" s="739" t="s">
        <v>793</v>
      </c>
    </row>
    <row r="3" spans="1:15" ht="15.95" customHeight="1" thickBot="1">
      <c r="A3" s="660"/>
      <c r="B3" s="662"/>
      <c r="C3" s="662"/>
      <c r="D3" s="287" t="s">
        <v>795</v>
      </c>
      <c r="E3" s="287" t="s">
        <v>796</v>
      </c>
      <c r="F3" s="287" t="s">
        <v>797</v>
      </c>
      <c r="G3" s="662"/>
      <c r="H3" s="296" t="s">
        <v>25</v>
      </c>
      <c r="I3" s="296" t="s">
        <v>798</v>
      </c>
      <c r="J3" s="666"/>
      <c r="K3" s="668"/>
      <c r="L3" s="294"/>
      <c r="M3" s="739"/>
      <c r="N3" s="689"/>
      <c r="O3" s="739"/>
    </row>
    <row r="4" spans="1:15" ht="15.95" customHeight="1" thickBot="1">
      <c r="A4" s="705" t="s">
        <v>799</v>
      </c>
      <c r="B4" s="706"/>
      <c r="C4" s="706"/>
      <c r="D4" s="706"/>
      <c r="E4" s="706"/>
      <c r="F4" s="706"/>
      <c r="G4" s="706"/>
      <c r="H4" s="706"/>
      <c r="I4" s="706"/>
      <c r="J4" s="706"/>
      <c r="K4" s="707"/>
      <c r="L4" s="294"/>
      <c r="M4" s="692" t="s">
        <v>1039</v>
      </c>
      <c r="N4" s="692"/>
      <c r="O4" s="692"/>
    </row>
    <row r="5" spans="1:15" ht="15.95" customHeight="1">
      <c r="A5" s="297">
        <v>1</v>
      </c>
      <c r="B5" s="672" t="s">
        <v>1040</v>
      </c>
      <c r="C5" s="672"/>
      <c r="D5" s="672"/>
      <c r="E5" s="672"/>
      <c r="F5" s="672"/>
      <c r="G5" s="672"/>
      <c r="H5" s="672"/>
      <c r="I5" s="672"/>
      <c r="J5" s="672"/>
      <c r="K5" s="673"/>
      <c r="L5" s="294"/>
      <c r="M5" s="692"/>
      <c r="N5" s="692"/>
      <c r="O5" s="692"/>
    </row>
    <row r="6" spans="1:15" ht="15.95" customHeight="1">
      <c r="A6" s="298" t="s">
        <v>801</v>
      </c>
      <c r="B6" s="651" t="s">
        <v>2</v>
      </c>
      <c r="C6" s="651"/>
      <c r="D6" s="651"/>
      <c r="E6" s="651"/>
      <c r="F6" s="651"/>
      <c r="G6" s="651"/>
      <c r="H6" s="651"/>
      <c r="I6" s="651"/>
      <c r="J6" s="651"/>
      <c r="K6" s="652"/>
      <c r="L6" s="294"/>
      <c r="M6" s="692"/>
      <c r="N6" s="692"/>
      <c r="O6" s="692"/>
    </row>
    <row r="7" spans="1:15" ht="15.95" customHeight="1">
      <c r="A7" s="298" t="s">
        <v>802</v>
      </c>
      <c r="B7" s="369" t="s">
        <v>1253</v>
      </c>
      <c r="C7" s="369" t="s">
        <v>38</v>
      </c>
      <c r="D7" s="18" t="s">
        <v>771</v>
      </c>
      <c r="E7" s="18" t="s">
        <v>1117</v>
      </c>
      <c r="F7" s="18" t="s">
        <v>821</v>
      </c>
      <c r="G7" s="18">
        <v>1</v>
      </c>
      <c r="H7" s="18">
        <v>0.20200000000000001</v>
      </c>
      <c r="I7" s="18">
        <f>G7*H7</f>
        <v>0.20200000000000001</v>
      </c>
      <c r="J7" s="18" t="s">
        <v>807</v>
      </c>
      <c r="K7" s="299"/>
      <c r="L7" s="294"/>
      <c r="M7" s="70">
        <f>$N$2</f>
        <v>11</v>
      </c>
      <c r="N7" s="70">
        <f>M7*I7</f>
        <v>2.222</v>
      </c>
      <c r="O7" s="18" t="s">
        <v>807</v>
      </c>
    </row>
    <row r="8" spans="1:15" ht="15.95" customHeight="1">
      <c r="A8" s="298" t="s">
        <v>808</v>
      </c>
      <c r="B8" s="18" t="s">
        <v>1043</v>
      </c>
      <c r="C8" s="18" t="s">
        <v>124</v>
      </c>
      <c r="D8" s="18" t="s">
        <v>771</v>
      </c>
      <c r="E8" s="18" t="s">
        <v>773</v>
      </c>
      <c r="F8" s="18" t="s">
        <v>37</v>
      </c>
      <c r="G8" s="18">
        <v>1</v>
      </c>
      <c r="H8" s="18">
        <v>8.7999999999999995E-2</v>
      </c>
      <c r="I8" s="18">
        <f t="shared" ref="I8:I18" si="0">G8*H8</f>
        <v>8.7999999999999995E-2</v>
      </c>
      <c r="J8" s="18" t="s">
        <v>807</v>
      </c>
      <c r="K8" s="299"/>
      <c r="L8" s="294"/>
      <c r="M8" s="70">
        <f>$N$2</f>
        <v>11</v>
      </c>
      <c r="N8" s="70">
        <f>M8*I8</f>
        <v>0.96799999999999997</v>
      </c>
      <c r="O8" s="18" t="s">
        <v>807</v>
      </c>
    </row>
    <row r="9" spans="1:15" ht="15.95" customHeight="1">
      <c r="A9" s="298" t="s">
        <v>811</v>
      </c>
      <c r="B9" s="18" t="s">
        <v>1044</v>
      </c>
      <c r="C9" s="18" t="s">
        <v>1045</v>
      </c>
      <c r="D9" s="18" t="s">
        <v>771</v>
      </c>
      <c r="E9" s="18" t="s">
        <v>1046</v>
      </c>
      <c r="F9" s="18" t="s">
        <v>821</v>
      </c>
      <c r="G9" s="18">
        <v>1</v>
      </c>
      <c r="H9" s="18">
        <v>7.4999999999999997E-2</v>
      </c>
      <c r="I9" s="18">
        <f t="shared" si="0"/>
        <v>7.4999999999999997E-2</v>
      </c>
      <c r="J9" s="18" t="s">
        <v>807</v>
      </c>
      <c r="K9" s="299"/>
      <c r="L9" s="294"/>
      <c r="M9" s="70">
        <f>$N$2</f>
        <v>11</v>
      </c>
      <c r="N9" s="70">
        <f>M9*I9</f>
        <v>0.82499999999999996</v>
      </c>
      <c r="O9" s="18" t="s">
        <v>807</v>
      </c>
    </row>
    <row r="10" spans="1:15" ht="15.95" customHeight="1">
      <c r="A10" s="298" t="s">
        <v>815</v>
      </c>
      <c r="B10" s="369" t="s">
        <v>1254</v>
      </c>
      <c r="C10" s="369" t="s">
        <v>853</v>
      </c>
      <c r="D10" s="18" t="s">
        <v>771</v>
      </c>
      <c r="E10" s="18" t="s">
        <v>820</v>
      </c>
      <c r="F10" s="18" t="s">
        <v>821</v>
      </c>
      <c r="G10" s="18">
        <v>1</v>
      </c>
      <c r="H10" s="18">
        <v>0.18</v>
      </c>
      <c r="I10" s="18">
        <f t="shared" si="0"/>
        <v>0.18</v>
      </c>
      <c r="J10" s="18" t="s">
        <v>807</v>
      </c>
      <c r="K10" s="299"/>
      <c r="L10" s="294"/>
      <c r="M10" s="70">
        <f>$N$2</f>
        <v>11</v>
      </c>
      <c r="N10" s="70">
        <f>M10*I10</f>
        <v>1.98</v>
      </c>
      <c r="O10" s="18" t="s">
        <v>807</v>
      </c>
    </row>
    <row r="11" spans="1:15" ht="15.95" customHeight="1">
      <c r="A11" s="298" t="s">
        <v>818</v>
      </c>
      <c r="B11" s="18" t="s">
        <v>1047</v>
      </c>
      <c r="C11" s="18" t="s">
        <v>1048</v>
      </c>
      <c r="D11" s="18" t="s">
        <v>772</v>
      </c>
      <c r="E11" s="18" t="s">
        <v>774</v>
      </c>
      <c r="F11" s="18" t="s">
        <v>806</v>
      </c>
      <c r="G11" s="18">
        <v>1</v>
      </c>
      <c r="H11" s="18">
        <v>2.6000000000000002E-2</v>
      </c>
      <c r="I11" s="18">
        <f t="shared" si="0"/>
        <v>2.6000000000000002E-2</v>
      </c>
      <c r="J11" s="18" t="s">
        <v>807</v>
      </c>
      <c r="K11" s="299"/>
      <c r="L11" s="294"/>
      <c r="M11" s="70">
        <f>$N$2</f>
        <v>11</v>
      </c>
      <c r="N11" s="70">
        <f>M11*I11</f>
        <v>0.28600000000000003</v>
      </c>
      <c r="O11" s="18" t="s">
        <v>807</v>
      </c>
    </row>
    <row r="12" spans="1:15" ht="15.95" customHeight="1">
      <c r="A12" s="298" t="s">
        <v>1057</v>
      </c>
      <c r="B12" s="651" t="s">
        <v>839</v>
      </c>
      <c r="C12" s="651"/>
      <c r="D12" s="651"/>
      <c r="E12" s="651"/>
      <c r="F12" s="651"/>
      <c r="G12" s="651"/>
      <c r="H12" s="651"/>
      <c r="I12" s="651"/>
      <c r="J12" s="651"/>
      <c r="K12" s="652"/>
      <c r="L12" s="294"/>
      <c r="M12" s="719"/>
      <c r="N12" s="686"/>
      <c r="O12" s="720"/>
    </row>
    <row r="13" spans="1:15" ht="15.95" customHeight="1">
      <c r="A13" s="298" t="s">
        <v>1058</v>
      </c>
      <c r="B13" s="18" t="s">
        <v>3</v>
      </c>
      <c r="C13" s="18" t="s">
        <v>1059</v>
      </c>
      <c r="D13" s="18" t="s">
        <v>3</v>
      </c>
      <c r="E13" s="18" t="s">
        <v>3</v>
      </c>
      <c r="F13" s="18" t="s">
        <v>762</v>
      </c>
      <c r="G13" s="18">
        <v>1</v>
      </c>
      <c r="H13" s="18">
        <v>1</v>
      </c>
      <c r="I13" s="18">
        <f t="shared" si="0"/>
        <v>1</v>
      </c>
      <c r="J13" s="18" t="s">
        <v>841</v>
      </c>
      <c r="K13" s="299"/>
      <c r="L13" s="294"/>
      <c r="M13" s="70">
        <f t="shared" ref="M13:M99" si="1">$N$2</f>
        <v>11</v>
      </c>
      <c r="N13" s="70">
        <f t="shared" ref="N13:N100" si="2">M13*I13</f>
        <v>11</v>
      </c>
      <c r="O13" s="18" t="s">
        <v>841</v>
      </c>
    </row>
    <row r="14" spans="1:15" ht="15.95" customHeight="1">
      <c r="A14" s="298" t="s">
        <v>1061</v>
      </c>
      <c r="B14" s="18" t="s">
        <v>3</v>
      </c>
      <c r="C14" s="18" t="s">
        <v>1255</v>
      </c>
      <c r="D14" s="18" t="s">
        <v>3</v>
      </c>
      <c r="E14" s="18" t="s">
        <v>3</v>
      </c>
      <c r="F14" s="18" t="s">
        <v>1209</v>
      </c>
      <c r="G14" s="18">
        <v>1</v>
      </c>
      <c r="H14" s="18">
        <v>1</v>
      </c>
      <c r="I14" s="18">
        <f t="shared" si="0"/>
        <v>1</v>
      </c>
      <c r="J14" s="18" t="s">
        <v>841</v>
      </c>
      <c r="K14" s="299"/>
      <c r="L14" s="294"/>
      <c r="M14" s="70">
        <f t="shared" si="1"/>
        <v>11</v>
      </c>
      <c r="N14" s="70">
        <f t="shared" si="2"/>
        <v>11</v>
      </c>
      <c r="O14" s="18" t="s">
        <v>841</v>
      </c>
    </row>
    <row r="15" spans="1:15" ht="15.95" customHeight="1">
      <c r="A15" s="298" t="s">
        <v>1064</v>
      </c>
      <c r="B15" s="18" t="s">
        <v>3</v>
      </c>
      <c r="C15" s="18" t="s">
        <v>1256</v>
      </c>
      <c r="D15" s="18" t="s">
        <v>3</v>
      </c>
      <c r="E15" s="18" t="s">
        <v>3</v>
      </c>
      <c r="F15" s="18" t="s">
        <v>3</v>
      </c>
      <c r="G15" s="18">
        <v>1</v>
      </c>
      <c r="H15" s="18">
        <v>1</v>
      </c>
      <c r="I15" s="18">
        <f t="shared" si="0"/>
        <v>1</v>
      </c>
      <c r="J15" s="18" t="s">
        <v>841</v>
      </c>
      <c r="K15" s="299"/>
      <c r="L15" s="294"/>
      <c r="M15" s="70">
        <f t="shared" si="1"/>
        <v>11</v>
      </c>
      <c r="N15" s="70">
        <f t="shared" si="2"/>
        <v>11</v>
      </c>
      <c r="O15" s="18" t="s">
        <v>841</v>
      </c>
    </row>
    <row r="16" spans="1:15" ht="15.95" customHeight="1">
      <c r="A16" s="298" t="s">
        <v>1067</v>
      </c>
      <c r="B16" s="18" t="s">
        <v>3</v>
      </c>
      <c r="C16" s="18" t="s">
        <v>1079</v>
      </c>
      <c r="D16" s="18" t="s">
        <v>3</v>
      </c>
      <c r="E16" s="18" t="s">
        <v>3</v>
      </c>
      <c r="F16" s="18" t="s">
        <v>3</v>
      </c>
      <c r="G16" s="18">
        <v>1</v>
      </c>
      <c r="H16" s="18">
        <v>1</v>
      </c>
      <c r="I16" s="18">
        <f t="shared" si="0"/>
        <v>1</v>
      </c>
      <c r="J16" s="18" t="s">
        <v>841</v>
      </c>
      <c r="K16" s="299"/>
      <c r="L16" s="294"/>
      <c r="M16" s="70">
        <f t="shared" si="1"/>
        <v>11</v>
      </c>
      <c r="N16" s="70">
        <f t="shared" si="2"/>
        <v>11</v>
      </c>
      <c r="O16" s="18" t="s">
        <v>841</v>
      </c>
    </row>
    <row r="17" spans="1:15" ht="15.95" customHeight="1">
      <c r="A17" s="298" t="s">
        <v>1070</v>
      </c>
      <c r="B17" s="18" t="s">
        <v>3</v>
      </c>
      <c r="C17" s="18" t="s">
        <v>1081</v>
      </c>
      <c r="D17" s="18" t="s">
        <v>3</v>
      </c>
      <c r="E17" s="18" t="s">
        <v>3</v>
      </c>
      <c r="F17" s="18" t="s">
        <v>3</v>
      </c>
      <c r="G17" s="18">
        <v>1</v>
      </c>
      <c r="H17" s="18">
        <v>1</v>
      </c>
      <c r="I17" s="18">
        <f t="shared" si="0"/>
        <v>1</v>
      </c>
      <c r="J17" s="18" t="s">
        <v>841</v>
      </c>
      <c r="K17" s="299"/>
      <c r="L17" s="294"/>
      <c r="M17" s="70">
        <f t="shared" si="1"/>
        <v>11</v>
      </c>
      <c r="N17" s="70">
        <f t="shared" si="2"/>
        <v>11</v>
      </c>
      <c r="O17" s="18" t="s">
        <v>841</v>
      </c>
    </row>
    <row r="18" spans="1:15" ht="15.95" customHeight="1" thickBot="1">
      <c r="A18" s="298" t="s">
        <v>1072</v>
      </c>
      <c r="B18" s="34" t="s">
        <v>3</v>
      </c>
      <c r="C18" s="34" t="s">
        <v>1085</v>
      </c>
      <c r="D18" s="34" t="s">
        <v>3</v>
      </c>
      <c r="E18" s="34" t="s">
        <v>3</v>
      </c>
      <c r="F18" s="34" t="s">
        <v>3</v>
      </c>
      <c r="G18" s="34">
        <v>1</v>
      </c>
      <c r="H18" s="34">
        <v>1</v>
      </c>
      <c r="I18" s="34">
        <f t="shared" si="0"/>
        <v>1</v>
      </c>
      <c r="J18" s="34" t="s">
        <v>841</v>
      </c>
      <c r="K18" s="315"/>
      <c r="L18" s="294"/>
      <c r="M18" s="70">
        <f t="shared" si="1"/>
        <v>11</v>
      </c>
      <c r="N18" s="70">
        <f t="shared" si="2"/>
        <v>11</v>
      </c>
      <c r="O18" s="18" t="s">
        <v>841</v>
      </c>
    </row>
    <row r="19" spans="1:15" ht="15.95" customHeight="1">
      <c r="A19" s="297" t="s">
        <v>822</v>
      </c>
      <c r="B19" s="672" t="s">
        <v>823</v>
      </c>
      <c r="C19" s="672"/>
      <c r="D19" s="672"/>
      <c r="E19" s="672"/>
      <c r="F19" s="672"/>
      <c r="G19" s="672"/>
      <c r="H19" s="672"/>
      <c r="I19" s="672"/>
      <c r="J19" s="672"/>
      <c r="K19" s="673"/>
      <c r="L19" s="294"/>
      <c r="M19" s="735"/>
      <c r="N19" s="697"/>
      <c r="O19" s="736"/>
    </row>
    <row r="20" spans="1:15" ht="15.95" customHeight="1">
      <c r="A20" s="298" t="s">
        <v>824</v>
      </c>
      <c r="B20" s="651" t="s">
        <v>2</v>
      </c>
      <c r="C20" s="651"/>
      <c r="D20" s="651"/>
      <c r="E20" s="651"/>
      <c r="F20" s="651"/>
      <c r="G20" s="651"/>
      <c r="H20" s="651"/>
      <c r="I20" s="651"/>
      <c r="J20" s="651"/>
      <c r="K20" s="652"/>
      <c r="L20" s="294"/>
      <c r="M20" s="737"/>
      <c r="N20" s="700"/>
      <c r="O20" s="738"/>
    </row>
    <row r="21" spans="1:15" ht="15.95" customHeight="1">
      <c r="A21" s="298" t="s">
        <v>825</v>
      </c>
      <c r="B21" s="18" t="s">
        <v>826</v>
      </c>
      <c r="C21" s="18" t="s">
        <v>827</v>
      </c>
      <c r="D21" s="18" t="s">
        <v>777</v>
      </c>
      <c r="E21" s="18" t="s">
        <v>775</v>
      </c>
      <c r="F21" s="18" t="s">
        <v>828</v>
      </c>
      <c r="G21" s="18">
        <v>1</v>
      </c>
      <c r="H21" s="18">
        <v>0.28699999999999998</v>
      </c>
      <c r="I21" s="18">
        <f t="shared" ref="I21:I25" si="3">G21*H21</f>
        <v>0.28699999999999998</v>
      </c>
      <c r="J21" s="18" t="s">
        <v>807</v>
      </c>
      <c r="K21" s="299"/>
      <c r="L21" s="294"/>
      <c r="M21" s="70">
        <f t="shared" si="1"/>
        <v>11</v>
      </c>
      <c r="N21" s="70">
        <f t="shared" si="2"/>
        <v>3.1569999999999996</v>
      </c>
      <c r="O21" s="18" t="s">
        <v>807</v>
      </c>
    </row>
    <row r="22" spans="1:15" ht="15.95" customHeight="1">
      <c r="A22" s="298" t="s">
        <v>829</v>
      </c>
      <c r="B22" s="18" t="s">
        <v>830</v>
      </c>
      <c r="C22" s="18" t="s">
        <v>5</v>
      </c>
      <c r="D22" s="18" t="s">
        <v>772</v>
      </c>
      <c r="E22" s="18" t="s">
        <v>779</v>
      </c>
      <c r="F22" s="18" t="s">
        <v>831</v>
      </c>
      <c r="G22" s="18">
        <v>1</v>
      </c>
      <c r="H22" s="18">
        <v>1.3999999999999999E-2</v>
      </c>
      <c r="I22" s="18">
        <f t="shared" si="3"/>
        <v>1.3999999999999999E-2</v>
      </c>
      <c r="J22" s="18" t="s">
        <v>807</v>
      </c>
      <c r="K22" s="299"/>
      <c r="L22" s="294"/>
      <c r="M22" s="70">
        <f t="shared" si="1"/>
        <v>11</v>
      </c>
      <c r="N22" s="70">
        <f t="shared" si="2"/>
        <v>0.15399999999999997</v>
      </c>
      <c r="O22" s="18" t="s">
        <v>807</v>
      </c>
    </row>
    <row r="23" spans="1:15" ht="15.95" customHeight="1">
      <c r="A23" s="298" t="s">
        <v>832</v>
      </c>
      <c r="B23" s="18" t="s">
        <v>833</v>
      </c>
      <c r="C23" s="18" t="s">
        <v>7</v>
      </c>
      <c r="D23" s="18" t="s">
        <v>778</v>
      </c>
      <c r="E23" s="18" t="s">
        <v>776</v>
      </c>
      <c r="F23" s="18" t="s">
        <v>834</v>
      </c>
      <c r="G23" s="18">
        <v>1</v>
      </c>
      <c r="H23" s="18">
        <v>2E-3</v>
      </c>
      <c r="I23" s="18">
        <f t="shared" si="3"/>
        <v>2E-3</v>
      </c>
      <c r="J23" s="18" t="s">
        <v>807</v>
      </c>
      <c r="K23" s="299"/>
      <c r="L23" s="294"/>
      <c r="M23" s="70">
        <f t="shared" si="1"/>
        <v>11</v>
      </c>
      <c r="N23" s="70">
        <f t="shared" si="2"/>
        <v>2.1999999999999999E-2</v>
      </c>
      <c r="O23" s="18" t="s">
        <v>807</v>
      </c>
    </row>
    <row r="24" spans="1:15" ht="15.95" customHeight="1">
      <c r="A24" s="298" t="s">
        <v>838</v>
      </c>
      <c r="B24" s="651" t="s">
        <v>839</v>
      </c>
      <c r="C24" s="651"/>
      <c r="D24" s="651"/>
      <c r="E24" s="651"/>
      <c r="F24" s="651"/>
      <c r="G24" s="651"/>
      <c r="H24" s="651"/>
      <c r="I24" s="651"/>
      <c r="J24" s="651"/>
      <c r="K24" s="652"/>
      <c r="L24" s="294"/>
      <c r="M24" s="719"/>
      <c r="N24" s="686"/>
      <c r="O24" s="720"/>
    </row>
    <row r="25" spans="1:15" ht="15.95" customHeight="1" thickBot="1">
      <c r="A25" s="305" t="s">
        <v>840</v>
      </c>
      <c r="B25" s="34" t="s">
        <v>3</v>
      </c>
      <c r="C25" s="34" t="s">
        <v>780</v>
      </c>
      <c r="D25" s="34" t="s">
        <v>3</v>
      </c>
      <c r="E25" s="34" t="s">
        <v>3</v>
      </c>
      <c r="F25" s="18" t="s">
        <v>36</v>
      </c>
      <c r="G25" s="34">
        <v>1</v>
      </c>
      <c r="H25" s="34">
        <v>1</v>
      </c>
      <c r="I25" s="34">
        <f t="shared" si="3"/>
        <v>1</v>
      </c>
      <c r="J25" s="34" t="s">
        <v>841</v>
      </c>
      <c r="K25" s="315"/>
      <c r="L25" s="294"/>
      <c r="M25" s="70">
        <f t="shared" si="1"/>
        <v>11</v>
      </c>
      <c r="N25" s="70">
        <f t="shared" si="2"/>
        <v>11</v>
      </c>
      <c r="O25" s="18" t="s">
        <v>841</v>
      </c>
    </row>
    <row r="26" spans="1:15" ht="15.95" customHeight="1">
      <c r="A26" s="297">
        <v>3</v>
      </c>
      <c r="B26" s="672" t="s">
        <v>1257</v>
      </c>
      <c r="C26" s="672"/>
      <c r="D26" s="672"/>
      <c r="E26" s="672"/>
      <c r="F26" s="672"/>
      <c r="G26" s="672"/>
      <c r="H26" s="672"/>
      <c r="I26" s="672"/>
      <c r="J26" s="672"/>
      <c r="K26" s="673"/>
      <c r="L26" s="294"/>
      <c r="M26" s="735"/>
      <c r="N26" s="697"/>
      <c r="O26" s="736"/>
    </row>
    <row r="27" spans="1:15" ht="15.95" customHeight="1">
      <c r="A27" s="298" t="s">
        <v>843</v>
      </c>
      <c r="B27" s="651" t="s">
        <v>2</v>
      </c>
      <c r="C27" s="651"/>
      <c r="D27" s="651"/>
      <c r="E27" s="651"/>
      <c r="F27" s="651"/>
      <c r="G27" s="651"/>
      <c r="H27" s="651"/>
      <c r="I27" s="651"/>
      <c r="J27" s="651"/>
      <c r="K27" s="652"/>
      <c r="L27" s="294"/>
      <c r="M27" s="737"/>
      <c r="N27" s="700"/>
      <c r="O27" s="738"/>
    </row>
    <row r="28" spans="1:15" ht="15.95" customHeight="1">
      <c r="A28" s="298" t="s">
        <v>844</v>
      </c>
      <c r="B28" s="369" t="s">
        <v>1258</v>
      </c>
      <c r="C28" s="369" t="s">
        <v>770</v>
      </c>
      <c r="D28" s="369" t="s">
        <v>770</v>
      </c>
      <c r="E28" s="18" t="s">
        <v>1259</v>
      </c>
      <c r="F28" s="18" t="s">
        <v>1097</v>
      </c>
      <c r="G28" s="18">
        <v>1</v>
      </c>
      <c r="H28" s="18">
        <v>1.1439999999999999</v>
      </c>
      <c r="I28" s="18">
        <f t="shared" ref="I28:I35" si="4">G28*H28</f>
        <v>1.1439999999999999</v>
      </c>
      <c r="J28" s="18" t="s">
        <v>807</v>
      </c>
      <c r="K28" s="299"/>
      <c r="L28" s="294"/>
      <c r="M28" s="70">
        <f t="shared" si="1"/>
        <v>11</v>
      </c>
      <c r="N28" s="70">
        <f t="shared" si="2"/>
        <v>12.584</v>
      </c>
      <c r="O28" s="18" t="s">
        <v>807</v>
      </c>
    </row>
    <row r="29" spans="1:15" ht="15.95" customHeight="1">
      <c r="A29" s="298" t="s">
        <v>848</v>
      </c>
      <c r="B29" s="369" t="s">
        <v>1260</v>
      </c>
      <c r="C29" s="369" t="s">
        <v>770</v>
      </c>
      <c r="D29" s="369" t="s">
        <v>770</v>
      </c>
      <c r="E29" s="18" t="s">
        <v>1259</v>
      </c>
      <c r="F29" s="18" t="s">
        <v>1097</v>
      </c>
      <c r="G29" s="31">
        <v>1</v>
      </c>
      <c r="H29" s="18">
        <v>2.0009999999999999</v>
      </c>
      <c r="I29" s="18">
        <f t="shared" si="4"/>
        <v>2.0009999999999999</v>
      </c>
      <c r="J29" s="18" t="s">
        <v>807</v>
      </c>
      <c r="K29" s="308"/>
      <c r="L29" s="294"/>
      <c r="M29" s="70">
        <f t="shared" si="1"/>
        <v>11</v>
      </c>
      <c r="N29" s="70">
        <f t="shared" si="2"/>
        <v>22.010999999999999</v>
      </c>
      <c r="O29" s="18" t="s">
        <v>807</v>
      </c>
    </row>
    <row r="30" spans="1:15" ht="15.95" customHeight="1">
      <c r="A30" s="298" t="s">
        <v>851</v>
      </c>
      <c r="B30" s="369" t="s">
        <v>1261</v>
      </c>
      <c r="C30" s="369" t="s">
        <v>770</v>
      </c>
      <c r="D30" s="369" t="s">
        <v>770</v>
      </c>
      <c r="E30" s="18" t="s">
        <v>1259</v>
      </c>
      <c r="F30" s="18" t="s">
        <v>1097</v>
      </c>
      <c r="G30" s="31">
        <v>1</v>
      </c>
      <c r="H30" s="18">
        <v>1.601</v>
      </c>
      <c r="I30" s="18">
        <f t="shared" si="4"/>
        <v>1.601</v>
      </c>
      <c r="J30" s="18" t="s">
        <v>807</v>
      </c>
      <c r="K30" s="308"/>
      <c r="L30" s="294"/>
      <c r="M30" s="70">
        <f t="shared" si="1"/>
        <v>11</v>
      </c>
      <c r="N30" s="70">
        <f t="shared" si="2"/>
        <v>17.611000000000001</v>
      </c>
      <c r="O30" s="18" t="s">
        <v>807</v>
      </c>
    </row>
    <row r="31" spans="1:15" ht="15.95" customHeight="1">
      <c r="A31" s="298" t="s">
        <v>854</v>
      </c>
      <c r="B31" s="369" t="s">
        <v>1262</v>
      </c>
      <c r="C31" s="369" t="s">
        <v>770</v>
      </c>
      <c r="D31" s="369" t="s">
        <v>770</v>
      </c>
      <c r="E31" s="18" t="s">
        <v>1259</v>
      </c>
      <c r="F31" s="18" t="s">
        <v>1097</v>
      </c>
      <c r="G31" s="31">
        <v>1</v>
      </c>
      <c r="H31" s="18">
        <v>1.601</v>
      </c>
      <c r="I31" s="18">
        <f t="shared" si="4"/>
        <v>1.601</v>
      </c>
      <c r="J31" s="18" t="s">
        <v>807</v>
      </c>
      <c r="K31" s="304"/>
      <c r="L31" s="294"/>
      <c r="M31" s="70">
        <f t="shared" si="1"/>
        <v>11</v>
      </c>
      <c r="N31" s="70">
        <f t="shared" si="2"/>
        <v>17.611000000000001</v>
      </c>
      <c r="O31" s="18" t="s">
        <v>807</v>
      </c>
    </row>
    <row r="32" spans="1:15" ht="15.95" customHeight="1">
      <c r="A32" s="298" t="s">
        <v>857</v>
      </c>
      <c r="B32" s="369" t="s">
        <v>1263</v>
      </c>
      <c r="C32" s="369" t="s">
        <v>1264</v>
      </c>
      <c r="D32" s="18" t="s">
        <v>771</v>
      </c>
      <c r="E32" s="18" t="s">
        <v>1117</v>
      </c>
      <c r="F32" s="18" t="s">
        <v>821</v>
      </c>
      <c r="G32" s="31">
        <v>1</v>
      </c>
      <c r="H32" s="18">
        <v>0.40400000000000003</v>
      </c>
      <c r="I32" s="18">
        <f t="shared" si="4"/>
        <v>0.40400000000000003</v>
      </c>
      <c r="J32" s="18" t="s">
        <v>807</v>
      </c>
      <c r="K32" s="304"/>
      <c r="L32" s="294"/>
      <c r="M32" s="70">
        <f t="shared" si="1"/>
        <v>11</v>
      </c>
      <c r="N32" s="70">
        <f t="shared" si="2"/>
        <v>4.444</v>
      </c>
      <c r="O32" s="18" t="s">
        <v>807</v>
      </c>
    </row>
    <row r="33" spans="1:15" ht="15.95" customHeight="1">
      <c r="A33" s="298" t="s">
        <v>860</v>
      </c>
      <c r="B33" s="369" t="s">
        <v>1265</v>
      </c>
      <c r="C33" s="369" t="s">
        <v>134</v>
      </c>
      <c r="D33" s="18" t="s">
        <v>771</v>
      </c>
      <c r="E33" s="18" t="s">
        <v>1117</v>
      </c>
      <c r="F33" s="18" t="s">
        <v>821</v>
      </c>
      <c r="G33" s="31">
        <v>1</v>
      </c>
      <c r="H33" s="18">
        <v>0.60599999999999998</v>
      </c>
      <c r="I33" s="18">
        <f t="shared" si="4"/>
        <v>0.60599999999999998</v>
      </c>
      <c r="J33" s="18" t="s">
        <v>807</v>
      </c>
      <c r="K33" s="304"/>
      <c r="L33" s="294"/>
      <c r="M33" s="70">
        <f t="shared" si="1"/>
        <v>11</v>
      </c>
      <c r="N33" s="70">
        <f t="shared" si="2"/>
        <v>6.6659999999999995</v>
      </c>
      <c r="O33" s="18" t="s">
        <v>807</v>
      </c>
    </row>
    <row r="34" spans="1:15" ht="15.95" customHeight="1">
      <c r="A34" s="298" t="s">
        <v>864</v>
      </c>
      <c r="B34" s="369" t="s">
        <v>1266</v>
      </c>
      <c r="C34" s="369" t="s">
        <v>1267</v>
      </c>
      <c r="D34" s="18" t="s">
        <v>771</v>
      </c>
      <c r="E34" s="18" t="s">
        <v>1117</v>
      </c>
      <c r="F34" s="18" t="s">
        <v>821</v>
      </c>
      <c r="G34" s="31">
        <v>1</v>
      </c>
      <c r="H34" s="18">
        <v>0.505</v>
      </c>
      <c r="I34" s="18">
        <f t="shared" si="4"/>
        <v>0.505</v>
      </c>
      <c r="J34" s="18" t="s">
        <v>807</v>
      </c>
      <c r="K34" s="304"/>
      <c r="L34" s="294"/>
      <c r="M34" s="70">
        <f t="shared" si="1"/>
        <v>11</v>
      </c>
      <c r="N34" s="70">
        <f t="shared" si="2"/>
        <v>5.5549999999999997</v>
      </c>
      <c r="O34" s="18" t="s">
        <v>807</v>
      </c>
    </row>
    <row r="35" spans="1:15" ht="15.95" customHeight="1" thickBot="1">
      <c r="A35" s="305" t="s">
        <v>871</v>
      </c>
      <c r="B35" s="34" t="s">
        <v>1268</v>
      </c>
      <c r="C35" s="34" t="s">
        <v>875</v>
      </c>
      <c r="D35" s="34" t="s">
        <v>772</v>
      </c>
      <c r="E35" s="34" t="s">
        <v>779</v>
      </c>
      <c r="F35" s="34" t="s">
        <v>831</v>
      </c>
      <c r="G35" s="343">
        <v>2</v>
      </c>
      <c r="H35" s="34">
        <v>0.158</v>
      </c>
      <c r="I35" s="34">
        <f t="shared" si="4"/>
        <v>0.316</v>
      </c>
      <c r="J35" s="34" t="s">
        <v>807</v>
      </c>
      <c r="K35" s="370"/>
      <c r="L35" s="294"/>
      <c r="M35" s="70">
        <f t="shared" si="1"/>
        <v>11</v>
      </c>
      <c r="N35" s="70">
        <f t="shared" si="2"/>
        <v>3.476</v>
      </c>
      <c r="O35" s="18" t="s">
        <v>807</v>
      </c>
    </row>
    <row r="36" spans="1:15" ht="15.95" customHeight="1">
      <c r="A36" s="297" t="s">
        <v>881</v>
      </c>
      <c r="B36" s="672" t="s">
        <v>1099</v>
      </c>
      <c r="C36" s="672"/>
      <c r="D36" s="672"/>
      <c r="E36" s="672"/>
      <c r="F36" s="672"/>
      <c r="G36" s="672"/>
      <c r="H36" s="672"/>
      <c r="I36" s="672"/>
      <c r="J36" s="672"/>
      <c r="K36" s="673"/>
      <c r="M36" s="735"/>
      <c r="N36" s="697"/>
      <c r="O36" s="736"/>
    </row>
    <row r="37" spans="1:15" ht="15.95" customHeight="1">
      <c r="A37" s="298" t="s">
        <v>882</v>
      </c>
      <c r="B37" s="651" t="s">
        <v>2</v>
      </c>
      <c r="C37" s="651"/>
      <c r="D37" s="651"/>
      <c r="E37" s="651"/>
      <c r="F37" s="651"/>
      <c r="G37" s="651"/>
      <c r="H37" s="651"/>
      <c r="I37" s="651"/>
      <c r="J37" s="651"/>
      <c r="K37" s="652"/>
      <c r="M37" s="737"/>
      <c r="N37" s="700"/>
      <c r="O37" s="738"/>
    </row>
    <row r="38" spans="1:15" ht="15.95" customHeight="1">
      <c r="A38" s="298" t="s">
        <v>883</v>
      </c>
      <c r="B38" s="18" t="s">
        <v>1100</v>
      </c>
      <c r="C38" s="18" t="s">
        <v>800</v>
      </c>
      <c r="D38" s="18" t="s">
        <v>771</v>
      </c>
      <c r="E38" s="18" t="s">
        <v>1101</v>
      </c>
      <c r="F38" s="18" t="s">
        <v>821</v>
      </c>
      <c r="G38" s="18">
        <v>1</v>
      </c>
      <c r="H38" s="18">
        <v>4.2000000000000003E-2</v>
      </c>
      <c r="I38" s="18">
        <f>G38*H38</f>
        <v>4.2000000000000003E-2</v>
      </c>
      <c r="J38" s="18" t="s">
        <v>807</v>
      </c>
      <c r="K38" s="299"/>
      <c r="M38" s="70">
        <f t="shared" si="1"/>
        <v>11</v>
      </c>
      <c r="N38" s="70">
        <f t="shared" si="2"/>
        <v>0.46200000000000002</v>
      </c>
      <c r="O38" s="18" t="s">
        <v>807</v>
      </c>
    </row>
    <row r="39" spans="1:15" ht="15.95" customHeight="1">
      <c r="A39" s="298" t="s">
        <v>885</v>
      </c>
      <c r="B39" s="18" t="s">
        <v>1102</v>
      </c>
      <c r="C39" s="18" t="s">
        <v>1103</v>
      </c>
      <c r="D39" s="18" t="s">
        <v>771</v>
      </c>
      <c r="E39" s="18" t="s">
        <v>1104</v>
      </c>
      <c r="F39" s="18" t="s">
        <v>1105</v>
      </c>
      <c r="G39" s="31">
        <v>1</v>
      </c>
      <c r="H39" s="18">
        <v>2.1000000000000001E-2</v>
      </c>
      <c r="I39" s="18">
        <f t="shared" ref="I39:I40" si="5">G39*H39</f>
        <v>2.1000000000000001E-2</v>
      </c>
      <c r="J39" s="18" t="s">
        <v>807</v>
      </c>
      <c r="K39" s="308"/>
      <c r="M39" s="70">
        <f t="shared" si="1"/>
        <v>11</v>
      </c>
      <c r="N39" s="70">
        <f t="shared" si="2"/>
        <v>0.23100000000000001</v>
      </c>
      <c r="O39" s="18" t="s">
        <v>807</v>
      </c>
    </row>
    <row r="40" spans="1:15" ht="15.95" customHeight="1">
      <c r="A40" s="298" t="s">
        <v>887</v>
      </c>
      <c r="B40" s="18" t="s">
        <v>1106</v>
      </c>
      <c r="C40" s="18" t="s">
        <v>1107</v>
      </c>
      <c r="D40" s="18" t="s">
        <v>771</v>
      </c>
      <c r="E40" s="18" t="s">
        <v>1101</v>
      </c>
      <c r="F40" s="18" t="s">
        <v>821</v>
      </c>
      <c r="G40" s="31">
        <v>1</v>
      </c>
      <c r="H40" s="18">
        <v>4.2000000000000003E-2</v>
      </c>
      <c r="I40" s="18">
        <f t="shared" si="5"/>
        <v>4.2000000000000003E-2</v>
      </c>
      <c r="J40" s="18" t="s">
        <v>807</v>
      </c>
      <c r="K40" s="308"/>
      <c r="M40" s="70">
        <f t="shared" si="1"/>
        <v>11</v>
      </c>
      <c r="N40" s="70">
        <f t="shared" si="2"/>
        <v>0.46200000000000002</v>
      </c>
      <c r="O40" s="18" t="s">
        <v>807</v>
      </c>
    </row>
    <row r="41" spans="1:15" ht="15.95" customHeight="1">
      <c r="A41" s="298" t="s">
        <v>1108</v>
      </c>
      <c r="B41" s="651" t="s">
        <v>839</v>
      </c>
      <c r="C41" s="651"/>
      <c r="D41" s="651"/>
      <c r="E41" s="651"/>
      <c r="F41" s="651"/>
      <c r="G41" s="651"/>
      <c r="H41" s="651"/>
      <c r="I41" s="651"/>
      <c r="J41" s="651"/>
      <c r="K41" s="652"/>
      <c r="M41" s="719"/>
      <c r="N41" s="686"/>
      <c r="O41" s="720"/>
    </row>
    <row r="42" spans="1:15" ht="15.95" customHeight="1">
      <c r="A42" s="298" t="s">
        <v>1109</v>
      </c>
      <c r="B42" s="334" t="s">
        <v>3</v>
      </c>
      <c r="C42" s="18" t="s">
        <v>236</v>
      </c>
      <c r="D42" s="18" t="s">
        <v>3</v>
      </c>
      <c r="E42" s="18" t="s">
        <v>3</v>
      </c>
      <c r="F42" s="18" t="s">
        <v>53</v>
      </c>
      <c r="G42" s="31">
        <v>1</v>
      </c>
      <c r="H42" s="31">
        <v>1</v>
      </c>
      <c r="I42" s="18">
        <f>G42*H42</f>
        <v>1</v>
      </c>
      <c r="J42" s="18" t="s">
        <v>841</v>
      </c>
      <c r="K42" s="335"/>
      <c r="M42" s="70">
        <f t="shared" si="1"/>
        <v>11</v>
      </c>
      <c r="N42" s="70">
        <f t="shared" si="2"/>
        <v>11</v>
      </c>
      <c r="O42" s="18" t="s">
        <v>841</v>
      </c>
    </row>
    <row r="43" spans="1:15" ht="15.95" customHeight="1" thickBot="1">
      <c r="A43" s="300" t="s">
        <v>1110</v>
      </c>
      <c r="B43" s="344" t="s">
        <v>3</v>
      </c>
      <c r="C43" s="287" t="s">
        <v>1083</v>
      </c>
      <c r="D43" s="287" t="s">
        <v>3</v>
      </c>
      <c r="E43" s="287" t="s">
        <v>3</v>
      </c>
      <c r="F43" s="287" t="s">
        <v>3</v>
      </c>
      <c r="G43" s="345">
        <v>1</v>
      </c>
      <c r="H43" s="345">
        <v>1</v>
      </c>
      <c r="I43" s="287">
        <f>G43*H43</f>
        <v>1</v>
      </c>
      <c r="J43" s="287" t="s">
        <v>841</v>
      </c>
      <c r="K43" s="346"/>
      <c r="M43" s="70">
        <f t="shared" si="1"/>
        <v>11</v>
      </c>
      <c r="N43" s="70">
        <f t="shared" si="2"/>
        <v>11</v>
      </c>
      <c r="O43" s="18" t="s">
        <v>841</v>
      </c>
    </row>
    <row r="44" spans="1:15" ht="15.95" customHeight="1" thickBot="1">
      <c r="A44" s="732" t="s">
        <v>2</v>
      </c>
      <c r="B44" s="733"/>
      <c r="C44" s="733"/>
      <c r="D44" s="733"/>
      <c r="E44" s="733"/>
      <c r="F44" s="733"/>
      <c r="G44" s="733"/>
      <c r="H44" s="733"/>
      <c r="I44" s="733"/>
      <c r="J44" s="733"/>
      <c r="K44" s="734"/>
      <c r="L44" s="294"/>
      <c r="M44" s="719"/>
      <c r="N44" s="686"/>
      <c r="O44" s="720"/>
    </row>
    <row r="45" spans="1:15" ht="15.95" customHeight="1" thickBot="1">
      <c r="A45" s="371">
        <v>5</v>
      </c>
      <c r="B45" s="314" t="s">
        <v>1128</v>
      </c>
      <c r="C45" s="314" t="s">
        <v>1129</v>
      </c>
      <c r="D45" s="287" t="s">
        <v>777</v>
      </c>
      <c r="E45" s="287" t="s">
        <v>1056</v>
      </c>
      <c r="F45" s="287" t="s">
        <v>828</v>
      </c>
      <c r="G45" s="287">
        <v>1</v>
      </c>
      <c r="H45" s="287">
        <v>8.1000000000000003E-2</v>
      </c>
      <c r="I45" s="287">
        <f>G45*H45</f>
        <v>8.1000000000000003E-2</v>
      </c>
      <c r="J45" s="287" t="s">
        <v>807</v>
      </c>
      <c r="K45" s="349"/>
      <c r="L45" s="294"/>
      <c r="M45" s="70">
        <f t="shared" si="1"/>
        <v>11</v>
      </c>
      <c r="N45" s="70">
        <f t="shared" si="2"/>
        <v>0.89100000000000001</v>
      </c>
      <c r="O45" s="18" t="s">
        <v>807</v>
      </c>
    </row>
    <row r="46" spans="1:15" ht="15.95" customHeight="1" thickBot="1">
      <c r="A46" s="669" t="s">
        <v>839</v>
      </c>
      <c r="B46" s="670"/>
      <c r="C46" s="670"/>
      <c r="D46" s="670"/>
      <c r="E46" s="670"/>
      <c r="F46" s="670"/>
      <c r="G46" s="670"/>
      <c r="H46" s="670"/>
      <c r="I46" s="670"/>
      <c r="J46" s="670"/>
      <c r="K46" s="671"/>
      <c r="L46" s="294"/>
      <c r="M46" s="719"/>
      <c r="N46" s="686"/>
      <c r="O46" s="720"/>
    </row>
    <row r="47" spans="1:15" ht="15.95" customHeight="1">
      <c r="A47" s="297" t="s">
        <v>902</v>
      </c>
      <c r="B47" s="309" t="s">
        <v>3</v>
      </c>
      <c r="C47" s="309" t="s">
        <v>1071</v>
      </c>
      <c r="D47" s="309" t="s">
        <v>3</v>
      </c>
      <c r="E47" s="309" t="s">
        <v>3</v>
      </c>
      <c r="F47" s="309" t="s">
        <v>3</v>
      </c>
      <c r="G47" s="309">
        <v>1</v>
      </c>
      <c r="H47" s="309">
        <v>1</v>
      </c>
      <c r="I47" s="309">
        <f t="shared" ref="I47:I99" si="6">G47*H47</f>
        <v>1</v>
      </c>
      <c r="J47" s="309" t="s">
        <v>841</v>
      </c>
      <c r="K47" s="310"/>
      <c r="L47" s="294"/>
      <c r="M47" s="70">
        <f t="shared" si="1"/>
        <v>11</v>
      </c>
      <c r="N47" s="70">
        <f t="shared" si="2"/>
        <v>11</v>
      </c>
      <c r="O47" s="18" t="s">
        <v>841</v>
      </c>
    </row>
    <row r="48" spans="1:15" ht="15.95" customHeight="1">
      <c r="A48" s="298" t="s">
        <v>907</v>
      </c>
      <c r="B48" s="18" t="s">
        <v>3</v>
      </c>
      <c r="C48" s="18" t="s">
        <v>1073</v>
      </c>
      <c r="D48" s="18" t="s">
        <v>3</v>
      </c>
      <c r="E48" s="18" t="s">
        <v>3</v>
      </c>
      <c r="F48" s="18" t="s">
        <v>1074</v>
      </c>
      <c r="G48" s="18">
        <v>1</v>
      </c>
      <c r="H48" s="18">
        <v>1</v>
      </c>
      <c r="I48" s="18">
        <f t="shared" si="6"/>
        <v>1</v>
      </c>
      <c r="J48" s="18" t="s">
        <v>841</v>
      </c>
      <c r="K48" s="299"/>
      <c r="L48" s="294"/>
      <c r="M48" s="70">
        <f t="shared" si="1"/>
        <v>11</v>
      </c>
      <c r="N48" s="70">
        <f t="shared" si="2"/>
        <v>11</v>
      </c>
      <c r="O48" s="18" t="s">
        <v>841</v>
      </c>
    </row>
    <row r="49" spans="1:15" ht="15.95" customHeight="1">
      <c r="A49" s="298" t="s">
        <v>912</v>
      </c>
      <c r="B49" s="18" t="s">
        <v>3</v>
      </c>
      <c r="C49" s="18" t="s">
        <v>780</v>
      </c>
      <c r="D49" s="18" t="s">
        <v>3</v>
      </c>
      <c r="E49" s="18" t="s">
        <v>3</v>
      </c>
      <c r="F49" s="18" t="s">
        <v>36</v>
      </c>
      <c r="G49" s="18">
        <v>1</v>
      </c>
      <c r="H49" s="18">
        <v>1</v>
      </c>
      <c r="I49" s="18">
        <f t="shared" si="6"/>
        <v>1</v>
      </c>
      <c r="J49" s="18" t="s">
        <v>841</v>
      </c>
      <c r="K49" s="299"/>
      <c r="L49" s="294"/>
      <c r="M49" s="70">
        <f t="shared" si="1"/>
        <v>11</v>
      </c>
      <c r="N49" s="70">
        <f t="shared" si="2"/>
        <v>11</v>
      </c>
      <c r="O49" s="18" t="s">
        <v>841</v>
      </c>
    </row>
    <row r="50" spans="1:15" ht="15.95" customHeight="1">
      <c r="A50" s="298" t="s">
        <v>913</v>
      </c>
      <c r="B50" s="18" t="s">
        <v>3</v>
      </c>
      <c r="C50" s="18" t="s">
        <v>1087</v>
      </c>
      <c r="D50" s="18" t="s">
        <v>3</v>
      </c>
      <c r="E50" s="18" t="s">
        <v>3</v>
      </c>
      <c r="F50" s="18" t="s">
        <v>1088</v>
      </c>
      <c r="G50" s="18">
        <v>2</v>
      </c>
      <c r="H50" s="18">
        <v>1</v>
      </c>
      <c r="I50" s="18">
        <f t="shared" si="6"/>
        <v>2</v>
      </c>
      <c r="J50" s="18" t="s">
        <v>841</v>
      </c>
      <c r="K50" s="299"/>
      <c r="L50" s="294"/>
      <c r="M50" s="70">
        <f t="shared" si="1"/>
        <v>11</v>
      </c>
      <c r="N50" s="70">
        <f t="shared" si="2"/>
        <v>22</v>
      </c>
      <c r="O50" s="18" t="s">
        <v>841</v>
      </c>
    </row>
    <row r="51" spans="1:15" ht="15.95" customHeight="1">
      <c r="A51" s="298" t="s">
        <v>914</v>
      </c>
      <c r="B51" s="18" t="s">
        <v>3</v>
      </c>
      <c r="C51" s="18" t="s">
        <v>1076</v>
      </c>
      <c r="D51" s="18" t="s">
        <v>3</v>
      </c>
      <c r="E51" s="18" t="s">
        <v>3</v>
      </c>
      <c r="F51" s="18" t="s">
        <v>1077</v>
      </c>
      <c r="G51" s="18">
        <v>1</v>
      </c>
      <c r="H51" s="18">
        <v>1</v>
      </c>
      <c r="I51" s="18">
        <f t="shared" si="6"/>
        <v>1</v>
      </c>
      <c r="J51" s="18" t="s">
        <v>841</v>
      </c>
      <c r="K51" s="299"/>
      <c r="L51" s="294"/>
      <c r="M51" s="70">
        <f t="shared" si="1"/>
        <v>11</v>
      </c>
      <c r="N51" s="70">
        <f t="shared" si="2"/>
        <v>11</v>
      </c>
      <c r="O51" s="18" t="s">
        <v>841</v>
      </c>
    </row>
    <row r="52" spans="1:15" ht="15.95" customHeight="1" thickBot="1">
      <c r="A52" s="305" t="s">
        <v>916</v>
      </c>
      <c r="B52" s="34" t="s">
        <v>3</v>
      </c>
      <c r="C52" s="34" t="s">
        <v>1091</v>
      </c>
      <c r="D52" s="34" t="s">
        <v>3</v>
      </c>
      <c r="E52" s="34" t="s">
        <v>3</v>
      </c>
      <c r="F52" s="372" t="s">
        <v>1092</v>
      </c>
      <c r="G52" s="34">
        <v>1</v>
      </c>
      <c r="H52" s="34">
        <v>1</v>
      </c>
      <c r="I52" s="34">
        <f t="shared" si="6"/>
        <v>1</v>
      </c>
      <c r="J52" s="34" t="s">
        <v>841</v>
      </c>
      <c r="K52" s="315"/>
      <c r="L52" s="294"/>
      <c r="M52" s="70">
        <f t="shared" si="1"/>
        <v>11</v>
      </c>
      <c r="N52" s="70">
        <f t="shared" si="2"/>
        <v>11</v>
      </c>
      <c r="O52" s="18" t="s">
        <v>841</v>
      </c>
    </row>
    <row r="53" spans="1:15" ht="15.95" customHeight="1">
      <c r="A53" s="297" t="s">
        <v>918</v>
      </c>
      <c r="B53" s="723" t="s">
        <v>800</v>
      </c>
      <c r="C53" s="724"/>
      <c r="D53" s="724"/>
      <c r="E53" s="724"/>
      <c r="F53" s="724"/>
      <c r="G53" s="724"/>
      <c r="H53" s="724"/>
      <c r="I53" s="724"/>
      <c r="J53" s="724"/>
      <c r="K53" s="725"/>
      <c r="L53" s="294"/>
      <c r="M53" s="719"/>
      <c r="N53" s="686"/>
      <c r="O53" s="720"/>
    </row>
    <row r="54" spans="1:15" ht="15.95" customHeight="1">
      <c r="A54" s="298" t="s">
        <v>1269</v>
      </c>
      <c r="B54" s="18" t="s">
        <v>1270</v>
      </c>
      <c r="C54" s="18" t="s">
        <v>1271</v>
      </c>
      <c r="D54" s="18" t="s">
        <v>3</v>
      </c>
      <c r="E54" s="18" t="s">
        <v>3</v>
      </c>
      <c r="F54" s="18" t="s">
        <v>3</v>
      </c>
      <c r="G54" s="18">
        <v>1</v>
      </c>
      <c r="H54" s="18">
        <v>1</v>
      </c>
      <c r="I54" s="18">
        <f t="shared" ref="I54:I82" si="7">G54*H54</f>
        <v>1</v>
      </c>
      <c r="J54" s="18" t="s">
        <v>841</v>
      </c>
      <c r="K54" s="299" t="s">
        <v>1272</v>
      </c>
      <c r="L54" s="294"/>
      <c r="M54" s="70">
        <f t="shared" si="1"/>
        <v>11</v>
      </c>
      <c r="N54" s="70">
        <f t="shared" si="2"/>
        <v>11</v>
      </c>
      <c r="O54" s="18" t="s">
        <v>841</v>
      </c>
    </row>
    <row r="55" spans="1:15" ht="15.95" customHeight="1">
      <c r="A55" s="298" t="s">
        <v>1273</v>
      </c>
      <c r="B55" s="18" t="s">
        <v>1274</v>
      </c>
      <c r="C55" s="18" t="s">
        <v>1275</v>
      </c>
      <c r="D55" s="18" t="s">
        <v>3</v>
      </c>
      <c r="E55" s="18" t="s">
        <v>3</v>
      </c>
      <c r="F55" s="18" t="s">
        <v>3</v>
      </c>
      <c r="G55" s="18">
        <v>1</v>
      </c>
      <c r="H55" s="18">
        <v>1</v>
      </c>
      <c r="I55" s="18">
        <f t="shared" si="7"/>
        <v>1</v>
      </c>
      <c r="J55" s="18" t="s">
        <v>841</v>
      </c>
      <c r="K55" s="299" t="s">
        <v>1272</v>
      </c>
      <c r="L55" s="294"/>
      <c r="M55" s="70">
        <f t="shared" si="1"/>
        <v>11</v>
      </c>
      <c r="N55" s="70">
        <f t="shared" si="2"/>
        <v>11</v>
      </c>
      <c r="O55" s="18" t="s">
        <v>841</v>
      </c>
    </row>
    <row r="56" spans="1:15" ht="15.95" customHeight="1">
      <c r="A56" s="298" t="s">
        <v>1276</v>
      </c>
      <c r="B56" s="18" t="s">
        <v>1277</v>
      </c>
      <c r="C56" s="18" t="s">
        <v>1111</v>
      </c>
      <c r="D56" s="18" t="s">
        <v>3</v>
      </c>
      <c r="E56" s="18" t="s">
        <v>3</v>
      </c>
      <c r="F56" s="18" t="s">
        <v>3</v>
      </c>
      <c r="G56" s="18">
        <v>1</v>
      </c>
      <c r="H56" s="18">
        <v>1</v>
      </c>
      <c r="I56" s="18">
        <f t="shared" si="7"/>
        <v>1</v>
      </c>
      <c r="J56" s="18" t="s">
        <v>841</v>
      </c>
      <c r="K56" s="299" t="s">
        <v>1272</v>
      </c>
      <c r="L56" s="294"/>
      <c r="M56" s="70">
        <f t="shared" si="1"/>
        <v>11</v>
      </c>
      <c r="N56" s="70">
        <f t="shared" si="2"/>
        <v>11</v>
      </c>
      <c r="O56" s="18" t="s">
        <v>841</v>
      </c>
    </row>
    <row r="57" spans="1:15" ht="15.95" customHeight="1">
      <c r="A57" s="298" t="s">
        <v>1278</v>
      </c>
      <c r="B57" s="18" t="s">
        <v>1279</v>
      </c>
      <c r="C57" s="18" t="s">
        <v>1111</v>
      </c>
      <c r="D57" s="18" t="s">
        <v>3</v>
      </c>
      <c r="E57" s="18" t="s">
        <v>3</v>
      </c>
      <c r="F57" s="18" t="s">
        <v>3</v>
      </c>
      <c r="G57" s="18">
        <v>1</v>
      </c>
      <c r="H57" s="18">
        <v>1</v>
      </c>
      <c r="I57" s="18">
        <f t="shared" si="7"/>
        <v>1</v>
      </c>
      <c r="J57" s="18" t="s">
        <v>841</v>
      </c>
      <c r="K57" s="299" t="s">
        <v>1272</v>
      </c>
      <c r="L57" s="294"/>
      <c r="M57" s="70">
        <f t="shared" si="1"/>
        <v>11</v>
      </c>
      <c r="N57" s="70">
        <f t="shared" si="2"/>
        <v>11</v>
      </c>
      <c r="O57" s="18" t="s">
        <v>841</v>
      </c>
    </row>
    <row r="58" spans="1:15" ht="15.95" customHeight="1">
      <c r="A58" s="298" t="s">
        <v>1280</v>
      </c>
      <c r="B58" s="18" t="s">
        <v>1281</v>
      </c>
      <c r="C58" s="18" t="s">
        <v>1048</v>
      </c>
      <c r="D58" s="18" t="s">
        <v>3</v>
      </c>
      <c r="E58" s="18" t="s">
        <v>3</v>
      </c>
      <c r="F58" s="18" t="s">
        <v>3</v>
      </c>
      <c r="G58" s="18">
        <v>1</v>
      </c>
      <c r="H58" s="18">
        <v>1</v>
      </c>
      <c r="I58" s="18">
        <f t="shared" si="7"/>
        <v>1</v>
      </c>
      <c r="J58" s="18" t="s">
        <v>841</v>
      </c>
      <c r="K58" s="299" t="s">
        <v>1272</v>
      </c>
      <c r="L58" s="294"/>
      <c r="M58" s="70">
        <f t="shared" si="1"/>
        <v>11</v>
      </c>
      <c r="N58" s="70">
        <f t="shared" si="2"/>
        <v>11</v>
      </c>
      <c r="O58" s="18" t="s">
        <v>841</v>
      </c>
    </row>
    <row r="59" spans="1:15" ht="15.95" customHeight="1">
      <c r="A59" s="298" t="s">
        <v>1282</v>
      </c>
      <c r="B59" s="18" t="s">
        <v>3</v>
      </c>
      <c r="C59" s="18" t="s">
        <v>1283</v>
      </c>
      <c r="D59" s="18" t="s">
        <v>3</v>
      </c>
      <c r="E59" s="18" t="s">
        <v>3</v>
      </c>
      <c r="F59" s="18" t="s">
        <v>1143</v>
      </c>
      <c r="G59" s="18">
        <v>2</v>
      </c>
      <c r="H59" s="18">
        <v>1</v>
      </c>
      <c r="I59" s="18">
        <f t="shared" si="7"/>
        <v>2</v>
      </c>
      <c r="J59" s="18" t="s">
        <v>841</v>
      </c>
      <c r="K59" s="299"/>
      <c r="L59" s="294"/>
      <c r="M59" s="70">
        <f t="shared" si="1"/>
        <v>11</v>
      </c>
      <c r="N59" s="70">
        <f t="shared" si="2"/>
        <v>22</v>
      </c>
      <c r="O59" s="18" t="s">
        <v>841</v>
      </c>
    </row>
    <row r="60" spans="1:15" ht="15.95" customHeight="1">
      <c r="A60" s="298" t="s">
        <v>1284</v>
      </c>
      <c r="B60" s="18" t="s">
        <v>3</v>
      </c>
      <c r="C60" s="34" t="s">
        <v>1285</v>
      </c>
      <c r="D60" s="18" t="s">
        <v>3</v>
      </c>
      <c r="E60" s="18" t="s">
        <v>3</v>
      </c>
      <c r="F60" s="18" t="s">
        <v>1143</v>
      </c>
      <c r="G60" s="18">
        <v>2</v>
      </c>
      <c r="H60" s="18">
        <v>1</v>
      </c>
      <c r="I60" s="18">
        <f t="shared" si="7"/>
        <v>2</v>
      </c>
      <c r="J60" s="18" t="s">
        <v>841</v>
      </c>
      <c r="K60" s="315"/>
      <c r="L60" s="294"/>
      <c r="M60" s="70">
        <f t="shared" si="1"/>
        <v>11</v>
      </c>
      <c r="N60" s="70">
        <f t="shared" si="2"/>
        <v>22</v>
      </c>
      <c r="O60" s="18" t="s">
        <v>841</v>
      </c>
    </row>
    <row r="61" spans="1:15" ht="15.95" customHeight="1">
      <c r="A61" s="298" t="s">
        <v>1286</v>
      </c>
      <c r="B61" s="18" t="s">
        <v>3</v>
      </c>
      <c r="C61" s="18" t="s">
        <v>1287</v>
      </c>
      <c r="D61" s="34" t="s">
        <v>3</v>
      </c>
      <c r="E61" s="34" t="s">
        <v>3</v>
      </c>
      <c r="F61" s="18" t="s">
        <v>1143</v>
      </c>
      <c r="G61" s="34">
        <v>2</v>
      </c>
      <c r="H61" s="34">
        <v>1</v>
      </c>
      <c r="I61" s="34">
        <f t="shared" si="7"/>
        <v>2</v>
      </c>
      <c r="J61" s="18" t="s">
        <v>841</v>
      </c>
      <c r="K61" s="299"/>
      <c r="L61" s="294"/>
      <c r="M61" s="70">
        <f t="shared" si="1"/>
        <v>11</v>
      </c>
      <c r="N61" s="70">
        <f t="shared" si="2"/>
        <v>22</v>
      </c>
      <c r="O61" s="18" t="s">
        <v>841</v>
      </c>
    </row>
    <row r="62" spans="1:15" ht="15.95" customHeight="1">
      <c r="A62" s="298" t="s">
        <v>1288</v>
      </c>
      <c r="B62" s="18" t="s">
        <v>3</v>
      </c>
      <c r="C62" s="18" t="s">
        <v>1289</v>
      </c>
      <c r="D62" s="34" t="s">
        <v>3</v>
      </c>
      <c r="E62" s="34" t="s">
        <v>3</v>
      </c>
      <c r="F62" s="18" t="s">
        <v>1290</v>
      </c>
      <c r="G62" s="34">
        <v>12</v>
      </c>
      <c r="H62" s="34">
        <v>1</v>
      </c>
      <c r="I62" s="34">
        <f t="shared" si="7"/>
        <v>12</v>
      </c>
      <c r="J62" s="18" t="s">
        <v>841</v>
      </c>
      <c r="K62" s="299"/>
      <c r="L62" s="294"/>
      <c r="M62" s="70">
        <f t="shared" si="1"/>
        <v>11</v>
      </c>
      <c r="N62" s="70">
        <f t="shared" si="2"/>
        <v>132</v>
      </c>
      <c r="O62" s="18" t="s">
        <v>841</v>
      </c>
    </row>
    <row r="63" spans="1:15" ht="15.95" customHeight="1">
      <c r="A63" s="298" t="s">
        <v>1291</v>
      </c>
      <c r="B63" s="18" t="s">
        <v>3</v>
      </c>
      <c r="C63" s="18" t="s">
        <v>1292</v>
      </c>
      <c r="D63" s="34" t="s">
        <v>3</v>
      </c>
      <c r="E63" s="34" t="s">
        <v>3</v>
      </c>
      <c r="F63" s="18" t="s">
        <v>120</v>
      </c>
      <c r="G63" s="34">
        <v>4</v>
      </c>
      <c r="H63" s="34">
        <v>1</v>
      </c>
      <c r="I63" s="34">
        <f t="shared" si="7"/>
        <v>4</v>
      </c>
      <c r="J63" s="18" t="s">
        <v>841</v>
      </c>
      <c r="K63" s="299"/>
      <c r="L63" s="294"/>
      <c r="M63" s="70">
        <f t="shared" si="1"/>
        <v>11</v>
      </c>
      <c r="N63" s="70">
        <f t="shared" si="2"/>
        <v>44</v>
      </c>
      <c r="O63" s="18" t="s">
        <v>841</v>
      </c>
    </row>
    <row r="64" spans="1:15" ht="15.95" customHeight="1" thickBot="1">
      <c r="A64" s="298" t="s">
        <v>1293</v>
      </c>
      <c r="B64" s="18" t="s">
        <v>3</v>
      </c>
      <c r="C64" s="18" t="s">
        <v>1294</v>
      </c>
      <c r="D64" s="34" t="s">
        <v>3</v>
      </c>
      <c r="E64" s="34" t="s">
        <v>3</v>
      </c>
      <c r="F64" s="18" t="s">
        <v>1290</v>
      </c>
      <c r="G64" s="34">
        <v>8</v>
      </c>
      <c r="H64" s="34">
        <v>1</v>
      </c>
      <c r="I64" s="34">
        <f t="shared" si="7"/>
        <v>8</v>
      </c>
      <c r="J64" s="18" t="s">
        <v>841</v>
      </c>
      <c r="K64" s="299"/>
      <c r="L64" s="294"/>
      <c r="M64" s="70">
        <f t="shared" si="1"/>
        <v>11</v>
      </c>
      <c r="N64" s="70">
        <f t="shared" si="2"/>
        <v>88</v>
      </c>
      <c r="O64" s="18" t="s">
        <v>841</v>
      </c>
    </row>
    <row r="65" spans="1:15" ht="15.95" customHeight="1" thickBot="1">
      <c r="A65" s="373"/>
      <c r="B65" s="726" t="s">
        <v>1138</v>
      </c>
      <c r="C65" s="727"/>
      <c r="D65" s="727"/>
      <c r="E65" s="727"/>
      <c r="F65" s="727"/>
      <c r="G65" s="727"/>
      <c r="H65" s="727"/>
      <c r="I65" s="727"/>
      <c r="J65" s="727"/>
      <c r="K65" s="728"/>
      <c r="L65" s="294"/>
      <c r="M65" s="719"/>
      <c r="N65" s="686"/>
      <c r="O65" s="720"/>
    </row>
    <row r="66" spans="1:15" ht="15.95" customHeight="1">
      <c r="A66" s="297" t="s">
        <v>920</v>
      </c>
      <c r="B66" s="309" t="s">
        <v>3</v>
      </c>
      <c r="C66" s="309" t="s">
        <v>1152</v>
      </c>
      <c r="D66" s="309" t="s">
        <v>3</v>
      </c>
      <c r="E66" s="309" t="s">
        <v>3</v>
      </c>
      <c r="F66" s="374" t="s">
        <v>1295</v>
      </c>
      <c r="G66" s="309">
        <v>1</v>
      </c>
      <c r="H66" s="309">
        <v>1</v>
      </c>
      <c r="I66" s="309">
        <f t="shared" ref="I66:I80" si="8">G66*H66</f>
        <v>1</v>
      </c>
      <c r="J66" s="309" t="s">
        <v>841</v>
      </c>
      <c r="K66" s="310"/>
      <c r="L66" s="294"/>
      <c r="M66" s="70">
        <f t="shared" si="1"/>
        <v>11</v>
      </c>
      <c r="N66" s="70">
        <f t="shared" ref="N66:N80" si="9">M66*I66</f>
        <v>11</v>
      </c>
      <c r="O66" s="18" t="s">
        <v>841</v>
      </c>
    </row>
    <row r="67" spans="1:15" ht="15.95" customHeight="1">
      <c r="A67" s="302" t="s">
        <v>922</v>
      </c>
      <c r="B67" s="18" t="s">
        <v>3</v>
      </c>
      <c r="C67" s="294" t="s">
        <v>1296</v>
      </c>
      <c r="D67" s="18" t="s">
        <v>3</v>
      </c>
      <c r="E67" s="18" t="s">
        <v>3</v>
      </c>
      <c r="F67" s="375" t="s">
        <v>1297</v>
      </c>
      <c r="G67" s="18">
        <v>2</v>
      </c>
      <c r="H67" s="18">
        <v>1</v>
      </c>
      <c r="I67" s="18">
        <f t="shared" si="8"/>
        <v>2</v>
      </c>
      <c r="J67" s="18" t="s">
        <v>841</v>
      </c>
      <c r="K67" s="299"/>
      <c r="L67" s="294"/>
      <c r="M67" s="70">
        <f t="shared" si="1"/>
        <v>11</v>
      </c>
      <c r="N67" s="70">
        <f t="shared" si="9"/>
        <v>22</v>
      </c>
      <c r="O67" s="18" t="s">
        <v>841</v>
      </c>
    </row>
    <row r="68" spans="1:15" ht="15.95" customHeight="1">
      <c r="A68" s="302" t="s">
        <v>924</v>
      </c>
      <c r="B68" s="18" t="s">
        <v>3</v>
      </c>
      <c r="C68" s="18" t="s">
        <v>1298</v>
      </c>
      <c r="D68" s="18" t="s">
        <v>3</v>
      </c>
      <c r="E68" s="18" t="s">
        <v>3</v>
      </c>
      <c r="F68" s="18" t="s">
        <v>3</v>
      </c>
      <c r="G68" s="18">
        <v>2</v>
      </c>
      <c r="H68" s="18">
        <v>1</v>
      </c>
      <c r="I68" s="18">
        <f t="shared" si="8"/>
        <v>2</v>
      </c>
      <c r="J68" s="18" t="s">
        <v>841</v>
      </c>
      <c r="K68" s="299"/>
      <c r="L68" s="294"/>
      <c r="M68" s="70">
        <f t="shared" si="1"/>
        <v>11</v>
      </c>
      <c r="N68" s="70">
        <f t="shared" si="9"/>
        <v>22</v>
      </c>
      <c r="O68" s="18" t="s">
        <v>841</v>
      </c>
    </row>
    <row r="69" spans="1:15" ht="15.95" customHeight="1">
      <c r="A69" s="302" t="s">
        <v>926</v>
      </c>
      <c r="B69" s="18" t="s">
        <v>3</v>
      </c>
      <c r="C69" s="18" t="s">
        <v>1299</v>
      </c>
      <c r="D69" s="18" t="s">
        <v>3</v>
      </c>
      <c r="E69" s="18" t="s">
        <v>3</v>
      </c>
      <c r="F69" s="18" t="s">
        <v>1300</v>
      </c>
      <c r="G69" s="18">
        <v>6</v>
      </c>
      <c r="H69" s="18">
        <v>1</v>
      </c>
      <c r="I69" s="18">
        <f t="shared" si="8"/>
        <v>6</v>
      </c>
      <c r="J69" s="18" t="s">
        <v>841</v>
      </c>
      <c r="K69" s="299"/>
      <c r="L69" s="294"/>
      <c r="M69" s="70">
        <f t="shared" si="1"/>
        <v>11</v>
      </c>
      <c r="N69" s="70">
        <f t="shared" si="9"/>
        <v>66</v>
      </c>
      <c r="O69" s="18" t="s">
        <v>841</v>
      </c>
    </row>
    <row r="70" spans="1:15" ht="15.95" customHeight="1">
      <c r="A70" s="302" t="s">
        <v>927</v>
      </c>
      <c r="B70" s="18" t="s">
        <v>3</v>
      </c>
      <c r="C70" s="18" t="s">
        <v>1301</v>
      </c>
      <c r="D70" s="18" t="s">
        <v>3</v>
      </c>
      <c r="E70" s="18" t="s">
        <v>3</v>
      </c>
      <c r="F70" s="18" t="s">
        <v>3</v>
      </c>
      <c r="G70" s="18">
        <v>1</v>
      </c>
      <c r="H70" s="18">
        <v>1</v>
      </c>
      <c r="I70" s="18">
        <f t="shared" si="8"/>
        <v>1</v>
      </c>
      <c r="J70" s="18" t="s">
        <v>841</v>
      </c>
      <c r="K70" s="299"/>
      <c r="L70" s="294"/>
      <c r="M70" s="70">
        <f t="shared" si="1"/>
        <v>11</v>
      </c>
      <c r="N70" s="70">
        <f t="shared" si="9"/>
        <v>11</v>
      </c>
      <c r="O70" s="18" t="s">
        <v>841</v>
      </c>
    </row>
    <row r="71" spans="1:15" ht="15.95" customHeight="1">
      <c r="A71" s="302" t="s">
        <v>928</v>
      </c>
      <c r="B71" s="18" t="s">
        <v>3</v>
      </c>
      <c r="C71" s="18" t="s">
        <v>1302</v>
      </c>
      <c r="D71" s="18" t="s">
        <v>3</v>
      </c>
      <c r="E71" s="18" t="s">
        <v>3</v>
      </c>
      <c r="F71" s="18" t="s">
        <v>3</v>
      </c>
      <c r="G71" s="18">
        <v>2</v>
      </c>
      <c r="H71" s="18">
        <v>1</v>
      </c>
      <c r="I71" s="18">
        <f t="shared" si="8"/>
        <v>2</v>
      </c>
      <c r="J71" s="18" t="s">
        <v>841</v>
      </c>
      <c r="K71" s="299"/>
      <c r="L71" s="294"/>
      <c r="M71" s="70">
        <f t="shared" si="1"/>
        <v>11</v>
      </c>
      <c r="N71" s="70">
        <f t="shared" si="9"/>
        <v>22</v>
      </c>
      <c r="O71" s="18" t="s">
        <v>841</v>
      </c>
    </row>
    <row r="72" spans="1:15" ht="15.95" customHeight="1">
      <c r="A72" s="302" t="s">
        <v>929</v>
      </c>
      <c r="B72" s="18" t="s">
        <v>3</v>
      </c>
      <c r="C72" s="18" t="s">
        <v>1303</v>
      </c>
      <c r="D72" s="18" t="s">
        <v>3</v>
      </c>
      <c r="E72" s="18" t="s">
        <v>3</v>
      </c>
      <c r="F72" s="18" t="s">
        <v>1304</v>
      </c>
      <c r="G72" s="18">
        <v>2</v>
      </c>
      <c r="H72" s="18">
        <v>1</v>
      </c>
      <c r="I72" s="18">
        <f t="shared" si="8"/>
        <v>2</v>
      </c>
      <c r="J72" s="18" t="s">
        <v>1151</v>
      </c>
      <c r="K72" s="299"/>
      <c r="L72" s="294"/>
      <c r="M72" s="70">
        <f t="shared" si="1"/>
        <v>11</v>
      </c>
      <c r="N72" s="70">
        <f t="shared" si="9"/>
        <v>22</v>
      </c>
      <c r="O72" s="18" t="s">
        <v>1151</v>
      </c>
    </row>
    <row r="73" spans="1:15" ht="15.95" customHeight="1">
      <c r="A73" s="302" t="s">
        <v>931</v>
      </c>
      <c r="B73" s="18" t="s">
        <v>3</v>
      </c>
      <c r="C73" s="18" t="s">
        <v>1305</v>
      </c>
      <c r="D73" s="18" t="s">
        <v>3</v>
      </c>
      <c r="E73" s="18" t="s">
        <v>3</v>
      </c>
      <c r="F73" s="18" t="s">
        <v>1304</v>
      </c>
      <c r="G73" s="18">
        <v>0.75</v>
      </c>
      <c r="H73" s="18">
        <v>1</v>
      </c>
      <c r="I73" s="18">
        <f t="shared" si="8"/>
        <v>0.75</v>
      </c>
      <c r="J73" s="18" t="s">
        <v>1151</v>
      </c>
      <c r="K73" s="299"/>
      <c r="L73" s="294"/>
      <c r="M73" s="70">
        <f t="shared" si="1"/>
        <v>11</v>
      </c>
      <c r="N73" s="70">
        <f t="shared" si="9"/>
        <v>8.25</v>
      </c>
      <c r="O73" s="18" t="s">
        <v>1151</v>
      </c>
    </row>
    <row r="74" spans="1:15" ht="15.95" customHeight="1">
      <c r="A74" s="302" t="s">
        <v>932</v>
      </c>
      <c r="B74" s="18" t="s">
        <v>3</v>
      </c>
      <c r="C74" s="18" t="s">
        <v>1306</v>
      </c>
      <c r="D74" s="18" t="s">
        <v>3</v>
      </c>
      <c r="E74" s="18" t="s">
        <v>3</v>
      </c>
      <c r="F74" s="18" t="s">
        <v>1304</v>
      </c>
      <c r="G74" s="18">
        <v>0.75</v>
      </c>
      <c r="H74" s="18">
        <v>1</v>
      </c>
      <c r="I74" s="18">
        <f t="shared" si="8"/>
        <v>0.75</v>
      </c>
      <c r="J74" s="18" t="s">
        <v>1151</v>
      </c>
      <c r="K74" s="299"/>
      <c r="L74" s="294"/>
      <c r="M74" s="70">
        <f t="shared" si="1"/>
        <v>11</v>
      </c>
      <c r="N74" s="70">
        <f t="shared" si="9"/>
        <v>8.25</v>
      </c>
      <c r="O74" s="18" t="s">
        <v>1151</v>
      </c>
    </row>
    <row r="75" spans="1:15" ht="15.95" customHeight="1">
      <c r="A75" s="302" t="s">
        <v>933</v>
      </c>
      <c r="B75" s="18" t="s">
        <v>3</v>
      </c>
      <c r="C75" s="18" t="s">
        <v>1307</v>
      </c>
      <c r="D75" s="18" t="s">
        <v>3</v>
      </c>
      <c r="E75" s="18" t="s">
        <v>3</v>
      </c>
      <c r="F75" s="18" t="s">
        <v>1308</v>
      </c>
      <c r="G75" s="18">
        <v>0.45</v>
      </c>
      <c r="H75" s="18">
        <v>1</v>
      </c>
      <c r="I75" s="18">
        <f t="shared" si="8"/>
        <v>0.45</v>
      </c>
      <c r="J75" s="18" t="s">
        <v>1151</v>
      </c>
      <c r="K75" s="299"/>
      <c r="L75" s="294"/>
      <c r="M75" s="70">
        <f t="shared" si="1"/>
        <v>11</v>
      </c>
      <c r="N75" s="70">
        <f t="shared" si="9"/>
        <v>4.95</v>
      </c>
      <c r="O75" s="18" t="s">
        <v>1151</v>
      </c>
    </row>
    <row r="76" spans="1:15" ht="15.95" customHeight="1">
      <c r="A76" s="302" t="s">
        <v>934</v>
      </c>
      <c r="B76" s="18" t="s">
        <v>3</v>
      </c>
      <c r="C76" s="18" t="s">
        <v>1309</v>
      </c>
      <c r="D76" s="18" t="s">
        <v>3</v>
      </c>
      <c r="E76" s="18" t="s">
        <v>3</v>
      </c>
      <c r="F76" s="18" t="s">
        <v>3</v>
      </c>
      <c r="G76" s="18">
        <v>0.05</v>
      </c>
      <c r="H76" s="18">
        <v>1</v>
      </c>
      <c r="I76" s="18">
        <f t="shared" si="8"/>
        <v>0.05</v>
      </c>
      <c r="J76" s="18" t="s">
        <v>841</v>
      </c>
      <c r="K76" s="299"/>
      <c r="L76" s="294"/>
      <c r="M76" s="70">
        <f t="shared" si="1"/>
        <v>11</v>
      </c>
      <c r="N76" s="70">
        <f t="shared" si="9"/>
        <v>0.55000000000000004</v>
      </c>
      <c r="O76" s="18" t="s">
        <v>841</v>
      </c>
    </row>
    <row r="77" spans="1:15" ht="15.95" customHeight="1">
      <c r="A77" s="302" t="s">
        <v>936</v>
      </c>
      <c r="B77" s="18" t="s">
        <v>3</v>
      </c>
      <c r="C77" s="18" t="s">
        <v>1310</v>
      </c>
      <c r="D77" s="18" t="s">
        <v>3</v>
      </c>
      <c r="E77" s="18" t="s">
        <v>3</v>
      </c>
      <c r="F77" s="18" t="s">
        <v>3</v>
      </c>
      <c r="G77" s="18">
        <v>6</v>
      </c>
      <c r="H77" s="18">
        <v>1</v>
      </c>
      <c r="I77" s="18">
        <f t="shared" si="8"/>
        <v>6</v>
      </c>
      <c r="J77" s="18" t="s">
        <v>841</v>
      </c>
      <c r="K77" s="299"/>
      <c r="L77" s="294"/>
      <c r="M77" s="70">
        <f t="shared" si="1"/>
        <v>11</v>
      </c>
      <c r="N77" s="70">
        <f t="shared" si="9"/>
        <v>66</v>
      </c>
      <c r="O77" s="18" t="s">
        <v>841</v>
      </c>
    </row>
    <row r="78" spans="1:15" ht="15.95" customHeight="1">
      <c r="A78" s="302" t="s">
        <v>939</v>
      </c>
      <c r="B78" s="18" t="s">
        <v>3</v>
      </c>
      <c r="C78" s="18" t="s">
        <v>1311</v>
      </c>
      <c r="D78" s="18" t="s">
        <v>3</v>
      </c>
      <c r="E78" s="18" t="s">
        <v>3</v>
      </c>
      <c r="F78" s="18" t="s">
        <v>1312</v>
      </c>
      <c r="G78" s="18">
        <v>1</v>
      </c>
      <c r="H78" s="18">
        <v>1</v>
      </c>
      <c r="I78" s="18">
        <f t="shared" si="8"/>
        <v>1</v>
      </c>
      <c r="J78" s="18" t="s">
        <v>841</v>
      </c>
      <c r="K78" s="299"/>
      <c r="L78" s="294"/>
      <c r="M78" s="70">
        <f t="shared" si="1"/>
        <v>11</v>
      </c>
      <c r="N78" s="70">
        <f t="shared" si="9"/>
        <v>11</v>
      </c>
      <c r="O78" s="18" t="s">
        <v>841</v>
      </c>
    </row>
    <row r="79" spans="1:15" ht="15.95" customHeight="1">
      <c r="A79" s="302" t="s">
        <v>1160</v>
      </c>
      <c r="B79" s="18" t="s">
        <v>3</v>
      </c>
      <c r="C79" s="18" t="s">
        <v>1233</v>
      </c>
      <c r="D79" s="18" t="s">
        <v>3</v>
      </c>
      <c r="E79" s="18" t="s">
        <v>3</v>
      </c>
      <c r="F79" s="18" t="s">
        <v>120</v>
      </c>
      <c r="G79" s="18">
        <v>1</v>
      </c>
      <c r="H79" s="18">
        <v>1</v>
      </c>
      <c r="I79" s="18">
        <f t="shared" si="8"/>
        <v>1</v>
      </c>
      <c r="J79" s="18" t="s">
        <v>841</v>
      </c>
      <c r="K79" s="299"/>
      <c r="L79" s="294"/>
      <c r="M79" s="70">
        <f t="shared" si="1"/>
        <v>11</v>
      </c>
      <c r="N79" s="70">
        <f t="shared" si="9"/>
        <v>11</v>
      </c>
      <c r="O79" s="18" t="s">
        <v>841</v>
      </c>
    </row>
    <row r="80" spans="1:15" ht="15.95" customHeight="1">
      <c r="A80" s="302" t="s">
        <v>940</v>
      </c>
      <c r="B80" s="18" t="s">
        <v>3</v>
      </c>
      <c r="C80" s="18" t="s">
        <v>1313</v>
      </c>
      <c r="D80" s="18" t="s">
        <v>3</v>
      </c>
      <c r="E80" s="18" t="s">
        <v>3</v>
      </c>
      <c r="F80" s="18" t="s">
        <v>1122</v>
      </c>
      <c r="G80" s="18">
        <v>1</v>
      </c>
      <c r="H80" s="18">
        <v>1</v>
      </c>
      <c r="I80" s="18">
        <f t="shared" si="8"/>
        <v>1</v>
      </c>
      <c r="J80" s="18" t="s">
        <v>841</v>
      </c>
      <c r="K80" s="299"/>
      <c r="L80" s="294"/>
      <c r="M80" s="70">
        <f t="shared" si="1"/>
        <v>11</v>
      </c>
      <c r="N80" s="70">
        <f t="shared" si="9"/>
        <v>11</v>
      </c>
      <c r="O80" s="18" t="s">
        <v>841</v>
      </c>
    </row>
    <row r="81" spans="1:15" ht="15.95" customHeight="1">
      <c r="A81" s="302" t="s">
        <v>941</v>
      </c>
      <c r="B81" s="18" t="s">
        <v>3</v>
      </c>
      <c r="C81" s="18" t="s">
        <v>1314</v>
      </c>
      <c r="D81" s="18" t="s">
        <v>3</v>
      </c>
      <c r="E81" s="18" t="s">
        <v>3</v>
      </c>
      <c r="F81" s="18" t="s">
        <v>3</v>
      </c>
      <c r="G81" s="18">
        <v>1</v>
      </c>
      <c r="H81" s="18">
        <v>1</v>
      </c>
      <c r="I81" s="18">
        <f t="shared" si="7"/>
        <v>1</v>
      </c>
      <c r="J81" s="241" t="s">
        <v>1177</v>
      </c>
      <c r="K81" s="299"/>
      <c r="L81" s="294"/>
      <c r="M81" s="70">
        <f t="shared" si="1"/>
        <v>11</v>
      </c>
      <c r="N81" s="70">
        <f t="shared" si="2"/>
        <v>11</v>
      </c>
      <c r="O81" s="245" t="s">
        <v>1177</v>
      </c>
    </row>
    <row r="82" spans="1:15" ht="15.95" customHeight="1" thickBot="1">
      <c r="A82" s="350" t="s">
        <v>942</v>
      </c>
      <c r="B82" s="287" t="s">
        <v>3</v>
      </c>
      <c r="C82" s="287" t="s">
        <v>1315</v>
      </c>
      <c r="D82" s="287" t="s">
        <v>3</v>
      </c>
      <c r="E82" s="287" t="s">
        <v>3</v>
      </c>
      <c r="F82" s="287" t="s">
        <v>3</v>
      </c>
      <c r="G82" s="287">
        <v>1</v>
      </c>
      <c r="H82" s="287">
        <v>1</v>
      </c>
      <c r="I82" s="287">
        <f t="shared" si="7"/>
        <v>1</v>
      </c>
      <c r="J82" s="312" t="s">
        <v>1177</v>
      </c>
      <c r="K82" s="303"/>
      <c r="L82" s="294"/>
      <c r="M82" s="70">
        <f t="shared" si="1"/>
        <v>11</v>
      </c>
      <c r="N82" s="70">
        <f t="shared" si="2"/>
        <v>11</v>
      </c>
      <c r="O82" s="245" t="s">
        <v>1177</v>
      </c>
    </row>
    <row r="83" spans="1:15" ht="15.95" customHeight="1" thickBot="1">
      <c r="A83" s="729" t="s">
        <v>1159</v>
      </c>
      <c r="B83" s="730"/>
      <c r="C83" s="730"/>
      <c r="D83" s="730"/>
      <c r="E83" s="730"/>
      <c r="F83" s="730"/>
      <c r="G83" s="730"/>
      <c r="H83" s="730"/>
      <c r="I83" s="730"/>
      <c r="J83" s="730"/>
      <c r="K83" s="731"/>
      <c r="M83" s="719"/>
      <c r="N83" s="686"/>
      <c r="O83" s="720"/>
    </row>
    <row r="84" spans="1:15" ht="15.95" customHeight="1">
      <c r="A84" s="297" t="s">
        <v>943</v>
      </c>
      <c r="B84" s="309" t="s">
        <v>3</v>
      </c>
      <c r="C84" s="309" t="s">
        <v>1316</v>
      </c>
      <c r="D84" s="309" t="s">
        <v>3</v>
      </c>
      <c r="E84" s="309" t="s">
        <v>3</v>
      </c>
      <c r="F84" s="309" t="s">
        <v>3</v>
      </c>
      <c r="G84" s="309">
        <v>1</v>
      </c>
      <c r="H84" s="309">
        <v>1</v>
      </c>
      <c r="I84" s="309">
        <f t="shared" ref="I84:I86" si="10">G84*H84</f>
        <v>1</v>
      </c>
      <c r="J84" s="309" t="s">
        <v>841</v>
      </c>
      <c r="K84" s="310"/>
      <c r="M84" s="70">
        <f t="shared" si="1"/>
        <v>11</v>
      </c>
      <c r="N84" s="70">
        <f t="shared" si="2"/>
        <v>11</v>
      </c>
      <c r="O84" s="18" t="s">
        <v>841</v>
      </c>
    </row>
    <row r="85" spans="1:15" ht="15.95" customHeight="1">
      <c r="A85" s="298" t="s">
        <v>944</v>
      </c>
      <c r="B85" s="18" t="s">
        <v>3</v>
      </c>
      <c r="C85" s="18" t="s">
        <v>1161</v>
      </c>
      <c r="D85" s="18" t="s">
        <v>3</v>
      </c>
      <c r="E85" s="18" t="s">
        <v>3</v>
      </c>
      <c r="F85" s="18" t="s">
        <v>1162</v>
      </c>
      <c r="G85" s="18">
        <v>1</v>
      </c>
      <c r="H85" s="18">
        <v>1</v>
      </c>
      <c r="I85" s="18">
        <f t="shared" si="10"/>
        <v>1</v>
      </c>
      <c r="J85" s="18" t="s">
        <v>841</v>
      </c>
      <c r="K85" s="299" t="s">
        <v>1163</v>
      </c>
      <c r="M85" s="70">
        <f t="shared" si="1"/>
        <v>11</v>
      </c>
      <c r="N85" s="70">
        <f t="shared" si="2"/>
        <v>11</v>
      </c>
      <c r="O85" s="18" t="s">
        <v>841</v>
      </c>
    </row>
    <row r="86" spans="1:15" ht="15.95" customHeight="1" thickBot="1">
      <c r="A86" s="300" t="s">
        <v>945</v>
      </c>
      <c r="B86" s="287" t="s">
        <v>3</v>
      </c>
      <c r="C86" s="287" t="s">
        <v>1317</v>
      </c>
      <c r="D86" s="287" t="s">
        <v>3</v>
      </c>
      <c r="E86" s="287" t="s">
        <v>3</v>
      </c>
      <c r="F86" s="287" t="s">
        <v>3</v>
      </c>
      <c r="G86" s="287">
        <v>1</v>
      </c>
      <c r="H86" s="287">
        <v>1</v>
      </c>
      <c r="I86" s="287">
        <f t="shared" si="10"/>
        <v>1</v>
      </c>
      <c r="J86" s="287" t="s">
        <v>841</v>
      </c>
      <c r="K86" s="303"/>
      <c r="M86" s="70">
        <f t="shared" si="1"/>
        <v>11</v>
      </c>
      <c r="N86" s="70">
        <f t="shared" si="2"/>
        <v>11</v>
      </c>
      <c r="O86" s="18" t="s">
        <v>841</v>
      </c>
    </row>
    <row r="87" spans="1:15" ht="15.95" customHeight="1" thickBot="1">
      <c r="A87" s="716" t="s">
        <v>1153</v>
      </c>
      <c r="B87" s="717"/>
      <c r="C87" s="717"/>
      <c r="D87" s="717"/>
      <c r="E87" s="717"/>
      <c r="F87" s="717"/>
      <c r="G87" s="717"/>
      <c r="H87" s="717"/>
      <c r="I87" s="717"/>
      <c r="J87" s="717"/>
      <c r="K87" s="718"/>
      <c r="L87" s="294"/>
      <c r="M87" s="719"/>
      <c r="N87" s="686"/>
      <c r="O87" s="720"/>
    </row>
    <row r="88" spans="1:15" ht="15.95" customHeight="1">
      <c r="A88" s="297" t="s">
        <v>946</v>
      </c>
      <c r="B88" s="309"/>
      <c r="C88" s="309" t="s">
        <v>1318</v>
      </c>
      <c r="D88" s="309" t="s">
        <v>3</v>
      </c>
      <c r="E88" s="309" t="s">
        <v>3</v>
      </c>
      <c r="F88" s="309" t="s">
        <v>1155</v>
      </c>
      <c r="G88" s="352">
        <v>0</v>
      </c>
      <c r="H88" s="309">
        <v>1</v>
      </c>
      <c r="I88" s="309">
        <f>G88*H88</f>
        <v>0</v>
      </c>
      <c r="J88" s="309" t="s">
        <v>807</v>
      </c>
      <c r="K88" s="721" t="s">
        <v>1156</v>
      </c>
      <c r="L88" s="294"/>
      <c r="M88" s="354">
        <f>N2</f>
        <v>11</v>
      </c>
      <c r="N88" s="354">
        <f t="shared" si="2"/>
        <v>0</v>
      </c>
      <c r="O88" s="376" t="s">
        <v>807</v>
      </c>
    </row>
    <row r="89" spans="1:15" ht="15.95" customHeight="1" thickBot="1">
      <c r="A89" s="300" t="s">
        <v>948</v>
      </c>
      <c r="B89" s="287" t="s">
        <v>3</v>
      </c>
      <c r="C89" s="287" t="s">
        <v>1239</v>
      </c>
      <c r="D89" s="287" t="s">
        <v>3</v>
      </c>
      <c r="E89" s="287" t="s">
        <v>3</v>
      </c>
      <c r="F89" s="287" t="s">
        <v>1158</v>
      </c>
      <c r="G89" s="356">
        <v>0</v>
      </c>
      <c r="H89" s="287">
        <v>1</v>
      </c>
      <c r="I89" s="287">
        <f>G89*H89</f>
        <v>0</v>
      </c>
      <c r="J89" s="287" t="s">
        <v>807</v>
      </c>
      <c r="K89" s="722"/>
      <c r="L89" s="294"/>
      <c r="M89" s="354">
        <f>N2</f>
        <v>11</v>
      </c>
      <c r="N89" s="354">
        <f t="shared" si="2"/>
        <v>0</v>
      </c>
      <c r="O89" s="376" t="s">
        <v>807</v>
      </c>
    </row>
    <row r="90" spans="1:15" ht="15.95" customHeight="1" thickBot="1">
      <c r="A90" s="676" t="s">
        <v>56</v>
      </c>
      <c r="B90" s="677"/>
      <c r="C90" s="677"/>
      <c r="D90" s="677"/>
      <c r="E90" s="677"/>
      <c r="F90" s="677"/>
      <c r="G90" s="677"/>
      <c r="H90" s="677"/>
      <c r="I90" s="677"/>
      <c r="J90" s="677"/>
      <c r="K90" s="678"/>
      <c r="L90" s="294"/>
      <c r="M90" s="719"/>
      <c r="N90" s="686"/>
      <c r="O90" s="720"/>
    </row>
    <row r="91" spans="1:15" ht="15.95" customHeight="1">
      <c r="A91" s="297" t="s">
        <v>950</v>
      </c>
      <c r="B91" s="309" t="s">
        <v>3</v>
      </c>
      <c r="C91" s="309" t="s">
        <v>1167</v>
      </c>
      <c r="D91" s="309" t="s">
        <v>3</v>
      </c>
      <c r="E91" s="309" t="s">
        <v>3</v>
      </c>
      <c r="F91" s="309" t="s">
        <v>3</v>
      </c>
      <c r="G91" s="311">
        <v>0.04</v>
      </c>
      <c r="H91" s="309">
        <v>1</v>
      </c>
      <c r="I91" s="309">
        <f>G91*H91</f>
        <v>0.04</v>
      </c>
      <c r="J91" s="309" t="s">
        <v>841</v>
      </c>
      <c r="K91" s="310"/>
      <c r="L91" s="294"/>
      <c r="M91" s="70">
        <f t="shared" si="1"/>
        <v>11</v>
      </c>
      <c r="N91" s="70">
        <f t="shared" si="2"/>
        <v>0.44</v>
      </c>
      <c r="O91" s="18" t="s">
        <v>841</v>
      </c>
    </row>
    <row r="92" spans="1:15" ht="15.95" customHeight="1">
      <c r="A92" s="298" t="s">
        <v>951</v>
      </c>
      <c r="B92" s="18" t="s">
        <v>3</v>
      </c>
      <c r="C92" s="18" t="s">
        <v>1319</v>
      </c>
      <c r="D92" s="18" t="s">
        <v>3</v>
      </c>
      <c r="E92" s="18" t="s">
        <v>3</v>
      </c>
      <c r="F92" s="18" t="s">
        <v>63</v>
      </c>
      <c r="G92" s="245">
        <v>1</v>
      </c>
      <c r="H92" s="245">
        <v>1</v>
      </c>
      <c r="I92" s="18">
        <f t="shared" ref="I92:I96" si="11">G92*H92</f>
        <v>1</v>
      </c>
      <c r="J92" s="18" t="s">
        <v>841</v>
      </c>
      <c r="K92" s="299"/>
      <c r="L92" s="294"/>
      <c r="M92" s="70">
        <f t="shared" si="1"/>
        <v>11</v>
      </c>
      <c r="N92" s="70">
        <f t="shared" si="2"/>
        <v>11</v>
      </c>
      <c r="O92" s="18" t="s">
        <v>841</v>
      </c>
    </row>
    <row r="93" spans="1:15" ht="15.95" customHeight="1">
      <c r="A93" s="298" t="s">
        <v>953</v>
      </c>
      <c r="B93" s="18" t="s">
        <v>1320</v>
      </c>
      <c r="C93" s="18" t="s">
        <v>1321</v>
      </c>
      <c r="D93" s="18" t="s">
        <v>3</v>
      </c>
      <c r="E93" s="18" t="s">
        <v>1322</v>
      </c>
      <c r="F93" s="18" t="s">
        <v>1176</v>
      </c>
      <c r="G93" s="245">
        <v>2</v>
      </c>
      <c r="H93" s="245">
        <v>1</v>
      </c>
      <c r="I93" s="18">
        <f t="shared" si="11"/>
        <v>2</v>
      </c>
      <c r="J93" s="245" t="s">
        <v>841</v>
      </c>
      <c r="K93" s="299" t="s">
        <v>1272</v>
      </c>
      <c r="L93" s="294"/>
      <c r="M93" s="70">
        <f t="shared" si="1"/>
        <v>11</v>
      </c>
      <c r="N93" s="70">
        <f t="shared" si="2"/>
        <v>22</v>
      </c>
      <c r="O93" s="18" t="s">
        <v>841</v>
      </c>
    </row>
    <row r="94" spans="1:15" ht="15.95" customHeight="1">
      <c r="A94" s="298" t="s">
        <v>954</v>
      </c>
      <c r="B94" s="18" t="s">
        <v>1320</v>
      </c>
      <c r="C94" s="18" t="s">
        <v>1323</v>
      </c>
      <c r="D94" s="18" t="s">
        <v>3</v>
      </c>
      <c r="E94" s="18" t="s">
        <v>1322</v>
      </c>
      <c r="F94" s="18" t="s">
        <v>1176</v>
      </c>
      <c r="G94" s="245">
        <v>2</v>
      </c>
      <c r="H94" s="245">
        <v>1</v>
      </c>
      <c r="I94" s="18">
        <f t="shared" si="11"/>
        <v>2</v>
      </c>
      <c r="J94" s="245" t="s">
        <v>841</v>
      </c>
      <c r="K94" s="299" t="s">
        <v>1272</v>
      </c>
      <c r="L94" s="294"/>
      <c r="M94" s="70">
        <f t="shared" si="1"/>
        <v>11</v>
      </c>
      <c r="N94" s="70">
        <f t="shared" si="2"/>
        <v>22</v>
      </c>
      <c r="O94" s="18" t="s">
        <v>841</v>
      </c>
    </row>
    <row r="95" spans="1:15" ht="15.95" customHeight="1">
      <c r="A95" s="298" t="s">
        <v>955</v>
      </c>
      <c r="B95" s="18" t="s">
        <v>1320</v>
      </c>
      <c r="C95" s="18" t="s">
        <v>1324</v>
      </c>
      <c r="D95" s="18" t="s">
        <v>3</v>
      </c>
      <c r="E95" s="18" t="s">
        <v>1322</v>
      </c>
      <c r="F95" s="18" t="s">
        <v>1176</v>
      </c>
      <c r="G95" s="245">
        <v>1</v>
      </c>
      <c r="H95" s="245">
        <v>1</v>
      </c>
      <c r="I95" s="18">
        <f t="shared" si="11"/>
        <v>1</v>
      </c>
      <c r="J95" s="245" t="s">
        <v>841</v>
      </c>
      <c r="K95" s="299" t="s">
        <v>1272</v>
      </c>
      <c r="L95" s="294"/>
      <c r="M95" s="70">
        <f t="shared" si="1"/>
        <v>11</v>
      </c>
      <c r="N95" s="70">
        <f t="shared" si="2"/>
        <v>11</v>
      </c>
      <c r="O95" s="18" t="s">
        <v>841</v>
      </c>
    </row>
    <row r="96" spans="1:15" ht="15.95" customHeight="1">
      <c r="A96" s="298" t="s">
        <v>956</v>
      </c>
      <c r="B96" s="18" t="s">
        <v>1320</v>
      </c>
      <c r="C96" s="18" t="s">
        <v>1325</v>
      </c>
      <c r="D96" s="18" t="s">
        <v>3</v>
      </c>
      <c r="E96" s="18" t="s">
        <v>1322</v>
      </c>
      <c r="F96" s="18" t="s">
        <v>1176</v>
      </c>
      <c r="G96" s="245">
        <v>1</v>
      </c>
      <c r="H96" s="245">
        <v>1</v>
      </c>
      <c r="I96" s="18">
        <f t="shared" si="11"/>
        <v>1</v>
      </c>
      <c r="J96" s="245" t="s">
        <v>841</v>
      </c>
      <c r="K96" s="299" t="s">
        <v>1272</v>
      </c>
      <c r="L96" s="294"/>
      <c r="M96" s="70">
        <f t="shared" si="1"/>
        <v>11</v>
      </c>
      <c r="N96" s="70">
        <f t="shared" si="2"/>
        <v>11</v>
      </c>
      <c r="O96" s="18" t="s">
        <v>841</v>
      </c>
    </row>
    <row r="97" spans="1:15" ht="15.95" customHeight="1">
      <c r="A97" s="298" t="s">
        <v>957</v>
      </c>
      <c r="B97" s="18" t="s">
        <v>3</v>
      </c>
      <c r="C97" s="18" t="s">
        <v>1178</v>
      </c>
      <c r="D97" s="18" t="s">
        <v>3</v>
      </c>
      <c r="E97" s="18" t="s">
        <v>3</v>
      </c>
      <c r="F97" s="18" t="s">
        <v>3</v>
      </c>
      <c r="G97" s="18">
        <v>1</v>
      </c>
      <c r="H97" s="18">
        <v>1</v>
      </c>
      <c r="I97" s="18">
        <f t="shared" si="6"/>
        <v>1</v>
      </c>
      <c r="J97" s="18" t="s">
        <v>841</v>
      </c>
      <c r="K97" s="299"/>
      <c r="L97" s="294"/>
      <c r="M97" s="70">
        <f t="shared" si="1"/>
        <v>11</v>
      </c>
      <c r="N97" s="70">
        <f t="shared" si="2"/>
        <v>11</v>
      </c>
      <c r="O97" s="18" t="s">
        <v>841</v>
      </c>
    </row>
    <row r="98" spans="1:15" ht="15.95" customHeight="1">
      <c r="A98" s="298" t="s">
        <v>959</v>
      </c>
      <c r="B98" s="18" t="s">
        <v>3</v>
      </c>
      <c r="C98" s="245" t="s">
        <v>1179</v>
      </c>
      <c r="D98" s="18" t="s">
        <v>3</v>
      </c>
      <c r="E98" s="18" t="s">
        <v>3</v>
      </c>
      <c r="F98" s="18" t="s">
        <v>3</v>
      </c>
      <c r="G98" s="18">
        <v>2</v>
      </c>
      <c r="H98" s="18">
        <v>1</v>
      </c>
      <c r="I98" s="18">
        <f t="shared" si="6"/>
        <v>2</v>
      </c>
      <c r="J98" s="18" t="s">
        <v>841</v>
      </c>
      <c r="K98" s="299"/>
      <c r="L98" s="294"/>
      <c r="M98" s="70">
        <f t="shared" si="1"/>
        <v>11</v>
      </c>
      <c r="N98" s="70">
        <f t="shared" si="2"/>
        <v>22</v>
      </c>
      <c r="O98" s="18" t="s">
        <v>841</v>
      </c>
    </row>
    <row r="99" spans="1:15" ht="15.95" customHeight="1">
      <c r="A99" s="298" t="s">
        <v>960</v>
      </c>
      <c r="B99" s="18" t="s">
        <v>3</v>
      </c>
      <c r="C99" s="245" t="s">
        <v>113</v>
      </c>
      <c r="D99" s="18" t="s">
        <v>3</v>
      </c>
      <c r="E99" s="18" t="s">
        <v>3</v>
      </c>
      <c r="F99" s="18" t="s">
        <v>3</v>
      </c>
      <c r="G99" s="18">
        <v>1</v>
      </c>
      <c r="H99" s="18">
        <v>1</v>
      </c>
      <c r="I99" s="18">
        <f t="shared" si="6"/>
        <v>1</v>
      </c>
      <c r="J99" s="18" t="s">
        <v>841</v>
      </c>
      <c r="K99" s="299"/>
      <c r="L99" s="294"/>
      <c r="M99" s="70">
        <f t="shared" si="1"/>
        <v>11</v>
      </c>
      <c r="N99" s="70">
        <f t="shared" si="2"/>
        <v>11</v>
      </c>
      <c r="O99" s="18" t="s">
        <v>841</v>
      </c>
    </row>
    <row r="100" spans="1:15" ht="15.95" customHeight="1" thickBot="1">
      <c r="A100" s="300" t="s">
        <v>961</v>
      </c>
      <c r="B100" s="287" t="s">
        <v>3</v>
      </c>
      <c r="C100" s="312" t="s">
        <v>1183</v>
      </c>
      <c r="D100" s="287" t="s">
        <v>3</v>
      </c>
      <c r="E100" s="287" t="s">
        <v>3</v>
      </c>
      <c r="F100" s="287" t="s">
        <v>1184</v>
      </c>
      <c r="G100" s="356">
        <v>0</v>
      </c>
      <c r="H100" s="287">
        <v>1</v>
      </c>
      <c r="I100" s="287">
        <f>G100*H100</f>
        <v>0</v>
      </c>
      <c r="J100" s="287" t="s">
        <v>935</v>
      </c>
      <c r="K100" s="303" t="s">
        <v>1326</v>
      </c>
      <c r="L100" s="294"/>
      <c r="M100" s="354">
        <f>N2</f>
        <v>11</v>
      </c>
      <c r="N100" s="354">
        <f t="shared" si="2"/>
        <v>0</v>
      </c>
      <c r="O100" s="376" t="s">
        <v>935</v>
      </c>
    </row>
  </sheetData>
  <mergeCells count="47">
    <mergeCell ref="A1:K1"/>
    <mergeCell ref="M1:O1"/>
    <mergeCell ref="A2:A3"/>
    <mergeCell ref="B2:B3"/>
    <mergeCell ref="C2:C3"/>
    <mergeCell ref="D2:F2"/>
    <mergeCell ref="G2:G3"/>
    <mergeCell ref="H2:I2"/>
    <mergeCell ref="J2:J3"/>
    <mergeCell ref="K2:K3"/>
    <mergeCell ref="B24:K24"/>
    <mergeCell ref="M24:O24"/>
    <mergeCell ref="M2:M3"/>
    <mergeCell ref="N2:N3"/>
    <mergeCell ref="O2:O3"/>
    <mergeCell ref="A4:K4"/>
    <mergeCell ref="M4:O6"/>
    <mergeCell ref="B5:K5"/>
    <mergeCell ref="B6:K6"/>
    <mergeCell ref="B12:K12"/>
    <mergeCell ref="M12:O12"/>
    <mergeCell ref="B19:K19"/>
    <mergeCell ref="M19:O20"/>
    <mergeCell ref="B20:K20"/>
    <mergeCell ref="B26:K26"/>
    <mergeCell ref="M26:O27"/>
    <mergeCell ref="B27:K27"/>
    <mergeCell ref="B36:K36"/>
    <mergeCell ref="M36:O37"/>
    <mergeCell ref="B37:K37"/>
    <mergeCell ref="B41:K41"/>
    <mergeCell ref="M41:O41"/>
    <mergeCell ref="A44:K44"/>
    <mergeCell ref="M44:O44"/>
    <mergeCell ref="A46:K46"/>
    <mergeCell ref="M46:O46"/>
    <mergeCell ref="B53:K53"/>
    <mergeCell ref="M53:O53"/>
    <mergeCell ref="B65:K65"/>
    <mergeCell ref="M65:O65"/>
    <mergeCell ref="A83:K83"/>
    <mergeCell ref="M83:O83"/>
    <mergeCell ref="A87:K87"/>
    <mergeCell ref="M87:O87"/>
    <mergeCell ref="K88:K89"/>
    <mergeCell ref="A90:K90"/>
    <mergeCell ref="M90:O90"/>
  </mergeCells>
  <conditionalFormatting sqref="B29">
    <cfRule type="duplicateValues" dxfId="174" priority="8"/>
  </conditionalFormatting>
  <conditionalFormatting sqref="B32:C32">
    <cfRule type="duplicateValues" dxfId="173" priority="7"/>
  </conditionalFormatting>
  <conditionalFormatting sqref="B35:C35">
    <cfRule type="duplicateValues" dxfId="172" priority="6"/>
  </conditionalFormatting>
  <conditionalFormatting sqref="B33:C33">
    <cfRule type="duplicateValues" dxfId="171" priority="5"/>
  </conditionalFormatting>
  <conditionalFormatting sqref="B34:C34">
    <cfRule type="duplicateValues" dxfId="170" priority="4"/>
  </conditionalFormatting>
  <conditionalFormatting sqref="B30:B31">
    <cfRule type="duplicateValues" dxfId="169" priority="9"/>
  </conditionalFormatting>
  <conditionalFormatting sqref="B45:C45">
    <cfRule type="duplicateValues" dxfId="168" priority="3"/>
  </conditionalFormatting>
  <conditionalFormatting sqref="C39">
    <cfRule type="duplicateValues" dxfId="167" priority="2"/>
  </conditionalFormatting>
  <conditionalFormatting sqref="C40">
    <cfRule type="duplicateValues" dxfId="166" priority="1"/>
  </conditionalFormatting>
  <hyperlinks>
    <hyperlink ref="F52" r:id="rId1"/>
    <hyperlink ref="F66" r:id="rId2"/>
    <hyperlink ref="F67" r:id="rId3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opLeftCell="A50" zoomScale="85" zoomScaleNormal="85" workbookViewId="0">
      <selection activeCell="O95" sqref="O95"/>
    </sheetView>
  </sheetViews>
  <sheetFormatPr defaultRowHeight="15"/>
  <cols>
    <col min="1" max="6" width="38.7109375" customWidth="1"/>
  </cols>
  <sheetData>
    <row r="1" spans="1:6" ht="20.25">
      <c r="A1" s="749" t="s">
        <v>436</v>
      </c>
      <c r="B1" s="749"/>
      <c r="C1" s="749"/>
      <c r="D1" s="749"/>
      <c r="E1" s="749"/>
      <c r="F1" s="749"/>
    </row>
    <row r="2" spans="1:6" ht="14.45">
      <c r="F2" s="130"/>
    </row>
    <row r="3" spans="1:6" ht="14.45">
      <c r="F3" s="130"/>
    </row>
    <row r="4" spans="1:6" ht="14.45">
      <c r="F4" s="130"/>
    </row>
    <row r="5" spans="1:6" thickBot="1">
      <c r="F5" s="130"/>
    </row>
    <row r="6" spans="1:6">
      <c r="A6" s="750" t="s">
        <v>437</v>
      </c>
      <c r="B6" s="131" t="s">
        <v>438</v>
      </c>
      <c r="C6" s="132" t="s">
        <v>439</v>
      </c>
      <c r="D6" s="133" t="s">
        <v>440</v>
      </c>
      <c r="E6" s="133" t="s">
        <v>29</v>
      </c>
      <c r="F6" s="133">
        <v>0.56999999999999995</v>
      </c>
    </row>
    <row r="7" spans="1:6">
      <c r="A7" s="751"/>
      <c r="B7" s="134"/>
      <c r="C7" s="135" t="s">
        <v>441</v>
      </c>
      <c r="D7" s="136"/>
      <c r="E7" s="136" t="s">
        <v>44</v>
      </c>
      <c r="F7" s="136">
        <v>2</v>
      </c>
    </row>
    <row r="8" spans="1:6">
      <c r="A8" s="751"/>
      <c r="B8" s="134"/>
      <c r="C8" s="135" t="s">
        <v>119</v>
      </c>
      <c r="D8" s="136"/>
      <c r="E8" s="136" t="s">
        <v>44</v>
      </c>
      <c r="F8" s="136">
        <v>2</v>
      </c>
    </row>
    <row r="9" spans="1:6">
      <c r="A9" s="751"/>
      <c r="B9" s="134"/>
      <c r="C9" s="135" t="s">
        <v>442</v>
      </c>
      <c r="D9" s="136"/>
      <c r="E9" s="136" t="s">
        <v>29</v>
      </c>
      <c r="F9" s="136">
        <v>4.4999999999999997E-3</v>
      </c>
    </row>
    <row r="10" spans="1:6" ht="15.75" thickBot="1">
      <c r="A10" s="751"/>
      <c r="B10" s="134"/>
      <c r="C10" s="135" t="s">
        <v>311</v>
      </c>
      <c r="D10" s="136" t="s">
        <v>82</v>
      </c>
      <c r="E10" s="136" t="s">
        <v>29</v>
      </c>
      <c r="F10" s="136">
        <v>6.2E-2</v>
      </c>
    </row>
    <row r="11" spans="1:6">
      <c r="A11" s="750" t="s">
        <v>443</v>
      </c>
      <c r="B11" s="137" t="s">
        <v>181</v>
      </c>
      <c r="C11" s="131" t="s">
        <v>444</v>
      </c>
      <c r="D11" s="133" t="s">
        <v>445</v>
      </c>
      <c r="E11" s="133" t="s">
        <v>29</v>
      </c>
      <c r="F11" s="133">
        <v>0.35</v>
      </c>
    </row>
    <row r="12" spans="1:6">
      <c r="A12" s="751"/>
      <c r="B12" s="138"/>
      <c r="C12" s="134" t="s">
        <v>119</v>
      </c>
      <c r="D12" s="139"/>
      <c r="E12" s="136" t="s">
        <v>44</v>
      </c>
      <c r="F12" s="136">
        <v>2</v>
      </c>
    </row>
    <row r="13" spans="1:6">
      <c r="A13" s="751"/>
      <c r="B13" s="138"/>
      <c r="C13" s="135" t="s">
        <v>441</v>
      </c>
      <c r="D13" s="41"/>
      <c r="E13" s="136" t="s">
        <v>44</v>
      </c>
      <c r="F13" s="136">
        <v>2</v>
      </c>
    </row>
    <row r="14" spans="1:6">
      <c r="A14" s="751"/>
      <c r="B14" s="138"/>
      <c r="C14" s="135" t="s">
        <v>446</v>
      </c>
      <c r="D14" s="41"/>
      <c r="E14" s="136" t="s">
        <v>44</v>
      </c>
      <c r="F14" s="136">
        <v>2</v>
      </c>
    </row>
    <row r="15" spans="1:6" ht="30">
      <c r="A15" s="751"/>
      <c r="B15" s="140"/>
      <c r="C15" s="140" t="s">
        <v>447</v>
      </c>
      <c r="D15" s="136" t="s">
        <v>88</v>
      </c>
      <c r="E15" s="141" t="s">
        <v>123</v>
      </c>
      <c r="F15" s="141">
        <v>0.02</v>
      </c>
    </row>
    <row r="16" spans="1:6">
      <c r="A16" s="751"/>
      <c r="B16" s="140"/>
      <c r="C16" s="140" t="s">
        <v>448</v>
      </c>
      <c r="D16" s="136" t="s">
        <v>90</v>
      </c>
      <c r="E16" s="141" t="s">
        <v>29</v>
      </c>
      <c r="F16" s="141">
        <v>0.02</v>
      </c>
    </row>
    <row r="17" spans="1:7">
      <c r="A17" s="751"/>
      <c r="B17" s="140"/>
      <c r="C17" s="140" t="s">
        <v>91</v>
      </c>
      <c r="D17" s="136" t="s">
        <v>92</v>
      </c>
      <c r="E17" s="141" t="s">
        <v>44</v>
      </c>
      <c r="F17" s="141">
        <v>0.01</v>
      </c>
    </row>
    <row r="18" spans="1:7">
      <c r="A18" s="751"/>
      <c r="B18" s="141"/>
      <c r="C18" s="140" t="s">
        <v>449</v>
      </c>
      <c r="D18" s="136"/>
      <c r="E18" s="141" t="s">
        <v>67</v>
      </c>
      <c r="F18" s="141">
        <v>2E-3</v>
      </c>
    </row>
    <row r="19" spans="1:7">
      <c r="A19" s="751"/>
      <c r="B19" s="141"/>
      <c r="C19" s="140" t="s">
        <v>81</v>
      </c>
      <c r="D19" s="136" t="s">
        <v>82</v>
      </c>
      <c r="E19" s="141" t="s">
        <v>29</v>
      </c>
      <c r="F19" s="141">
        <v>0.01</v>
      </c>
    </row>
    <row r="20" spans="1:7">
      <c r="A20" s="751"/>
      <c r="B20" s="140"/>
      <c r="C20" s="140" t="s">
        <v>75</v>
      </c>
      <c r="D20" s="141" t="s">
        <v>76</v>
      </c>
      <c r="E20" s="141" t="s">
        <v>29</v>
      </c>
      <c r="F20" s="141">
        <v>0.01</v>
      </c>
    </row>
    <row r="21" spans="1:7">
      <c r="A21" s="751"/>
      <c r="B21" s="140" t="s">
        <v>6</v>
      </c>
      <c r="C21" s="141"/>
      <c r="D21" s="136"/>
      <c r="E21" s="141" t="s">
        <v>44</v>
      </c>
      <c r="F21" s="141">
        <v>0.05</v>
      </c>
    </row>
    <row r="22" spans="1:7" ht="15.75" thickBot="1">
      <c r="A22" s="752"/>
      <c r="B22" s="142" t="s">
        <v>64</v>
      </c>
      <c r="C22" s="143"/>
      <c r="D22" s="144"/>
      <c r="E22" s="143" t="s">
        <v>44</v>
      </c>
      <c r="F22" s="143">
        <v>0.1</v>
      </c>
    </row>
    <row r="23" spans="1:7">
      <c r="A23" s="753" t="s">
        <v>450</v>
      </c>
      <c r="B23" s="145" t="s">
        <v>451</v>
      </c>
      <c r="C23" s="146" t="s">
        <v>452</v>
      </c>
      <c r="D23" s="133" t="s">
        <v>453</v>
      </c>
      <c r="E23" s="147" t="s">
        <v>29</v>
      </c>
      <c r="F23" s="147">
        <v>0.7</v>
      </c>
    </row>
    <row r="24" spans="1:7">
      <c r="A24" s="754"/>
      <c r="B24" s="148" t="s">
        <v>454</v>
      </c>
      <c r="C24" s="140" t="s">
        <v>452</v>
      </c>
      <c r="D24" s="136" t="s">
        <v>453</v>
      </c>
      <c r="E24" s="141" t="s">
        <v>29</v>
      </c>
      <c r="F24" s="141">
        <v>0.55000000000000004</v>
      </c>
      <c r="G24">
        <f>F24+F23</f>
        <v>1.25</v>
      </c>
    </row>
    <row r="25" spans="1:7">
      <c r="A25" s="754"/>
      <c r="B25" s="148"/>
      <c r="C25" s="140" t="s">
        <v>441</v>
      </c>
      <c r="D25" s="136"/>
      <c r="E25" s="141" t="s">
        <v>44</v>
      </c>
      <c r="F25" s="141">
        <v>2</v>
      </c>
    </row>
    <row r="26" spans="1:7">
      <c r="A26" s="754"/>
      <c r="B26" s="141"/>
      <c r="C26" s="140" t="s">
        <v>119</v>
      </c>
      <c r="D26" s="136"/>
      <c r="E26" s="141" t="s">
        <v>44</v>
      </c>
      <c r="F26" s="141">
        <v>2</v>
      </c>
    </row>
    <row r="27" spans="1:7">
      <c r="A27" s="754"/>
      <c r="B27" s="141"/>
      <c r="C27" s="140" t="s">
        <v>455</v>
      </c>
      <c r="D27" s="136"/>
      <c r="E27" s="141" t="s">
        <v>44</v>
      </c>
      <c r="F27" s="141">
        <v>0.01</v>
      </c>
    </row>
    <row r="28" spans="1:7">
      <c r="A28" s="754"/>
      <c r="B28" s="141"/>
      <c r="C28" s="140" t="s">
        <v>87</v>
      </c>
      <c r="D28" s="136" t="s">
        <v>88</v>
      </c>
      <c r="E28" s="141" t="s">
        <v>123</v>
      </c>
      <c r="F28" s="141">
        <v>0.02</v>
      </c>
    </row>
    <row r="29" spans="1:7">
      <c r="A29" s="754"/>
      <c r="B29" s="141"/>
      <c r="C29" s="140" t="s">
        <v>448</v>
      </c>
      <c r="D29" s="136" t="s">
        <v>90</v>
      </c>
      <c r="E29" s="141" t="s">
        <v>29</v>
      </c>
      <c r="F29" s="141">
        <v>0.02</v>
      </c>
    </row>
    <row r="30" spans="1:7">
      <c r="A30" s="754"/>
      <c r="B30" s="141"/>
      <c r="C30" s="140" t="s">
        <v>91</v>
      </c>
      <c r="D30" s="136" t="s">
        <v>92</v>
      </c>
      <c r="E30" s="141" t="s">
        <v>44</v>
      </c>
      <c r="F30" s="141">
        <v>0.01</v>
      </c>
    </row>
    <row r="31" spans="1:7">
      <c r="A31" s="754"/>
      <c r="B31" s="141"/>
      <c r="C31" s="140" t="s">
        <v>449</v>
      </c>
      <c r="D31" s="136"/>
      <c r="E31" s="141" t="s">
        <v>67</v>
      </c>
      <c r="F31" s="141">
        <v>2E-3</v>
      </c>
    </row>
    <row r="32" spans="1:7">
      <c r="A32" s="754"/>
      <c r="B32" s="141"/>
      <c r="C32" s="140" t="s">
        <v>81</v>
      </c>
      <c r="D32" s="136" t="s">
        <v>82</v>
      </c>
      <c r="E32" s="141" t="s">
        <v>29</v>
      </c>
      <c r="F32" s="141">
        <v>0.01</v>
      </c>
    </row>
    <row r="33" spans="1:7">
      <c r="A33" s="754"/>
      <c r="B33" s="140"/>
      <c r="C33" s="140" t="s">
        <v>75</v>
      </c>
      <c r="D33" s="141" t="s">
        <v>76</v>
      </c>
      <c r="E33" s="141" t="s">
        <v>29</v>
      </c>
      <c r="F33" s="141">
        <v>0.01</v>
      </c>
    </row>
    <row r="34" spans="1:7">
      <c r="A34" s="754"/>
      <c r="B34" s="140" t="s">
        <v>6</v>
      </c>
      <c r="C34" s="141"/>
      <c r="D34" s="136"/>
      <c r="E34" s="141" t="s">
        <v>44</v>
      </c>
      <c r="F34" s="141">
        <v>0.1</v>
      </c>
    </row>
    <row r="35" spans="1:7" ht="15.75" thickBot="1">
      <c r="A35" s="755"/>
      <c r="B35" s="142" t="s">
        <v>64</v>
      </c>
      <c r="C35" s="143"/>
      <c r="D35" s="144"/>
      <c r="E35" s="143" t="s">
        <v>44</v>
      </c>
      <c r="F35" s="143">
        <v>0.5</v>
      </c>
    </row>
    <row r="36" spans="1:7">
      <c r="A36" s="756" t="s">
        <v>456</v>
      </c>
      <c r="B36" s="145" t="s">
        <v>451</v>
      </c>
      <c r="C36" s="146" t="s">
        <v>452</v>
      </c>
      <c r="D36" s="133" t="s">
        <v>453</v>
      </c>
      <c r="E36" s="147" t="s">
        <v>29</v>
      </c>
      <c r="F36" s="147">
        <v>0.7</v>
      </c>
    </row>
    <row r="37" spans="1:7">
      <c r="A37" s="757"/>
      <c r="B37" s="148" t="s">
        <v>457</v>
      </c>
      <c r="C37" s="140" t="s">
        <v>452</v>
      </c>
      <c r="D37" s="136" t="s">
        <v>453</v>
      </c>
      <c r="E37" s="141" t="s">
        <v>29</v>
      </c>
      <c r="F37" s="141">
        <v>0.41</v>
      </c>
      <c r="G37">
        <f>F37+F36</f>
        <v>1.1099999999999999</v>
      </c>
    </row>
    <row r="38" spans="1:7">
      <c r="A38" s="757"/>
      <c r="B38" s="148"/>
      <c r="C38" s="140" t="s">
        <v>441</v>
      </c>
      <c r="D38" s="136"/>
      <c r="E38" s="141" t="s">
        <v>44</v>
      </c>
      <c r="F38" s="141">
        <v>2</v>
      </c>
    </row>
    <row r="39" spans="1:7">
      <c r="A39" s="757"/>
      <c r="B39" s="141"/>
      <c r="C39" s="140" t="s">
        <v>119</v>
      </c>
      <c r="D39" s="136"/>
      <c r="E39" s="141" t="s">
        <v>44</v>
      </c>
      <c r="F39" s="141">
        <v>2</v>
      </c>
    </row>
    <row r="40" spans="1:7">
      <c r="A40" s="757"/>
      <c r="B40" s="141"/>
      <c r="C40" s="140" t="s">
        <v>455</v>
      </c>
      <c r="D40" s="136"/>
      <c r="E40" s="141" t="s">
        <v>44</v>
      </c>
      <c r="F40" s="141">
        <v>0.01</v>
      </c>
    </row>
    <row r="41" spans="1:7">
      <c r="A41" s="757"/>
      <c r="B41" s="141"/>
      <c r="C41" s="140" t="s">
        <v>87</v>
      </c>
      <c r="D41" s="136" t="s">
        <v>88</v>
      </c>
      <c r="E41" s="141" t="s">
        <v>123</v>
      </c>
      <c r="F41" s="141">
        <v>0.02</v>
      </c>
    </row>
    <row r="42" spans="1:7">
      <c r="A42" s="757"/>
      <c r="B42" s="141"/>
      <c r="C42" s="140" t="s">
        <v>448</v>
      </c>
      <c r="D42" s="136" t="s">
        <v>90</v>
      </c>
      <c r="E42" s="141" t="s">
        <v>29</v>
      </c>
      <c r="F42" s="141">
        <v>0.02</v>
      </c>
    </row>
    <row r="43" spans="1:7">
      <c r="A43" s="757"/>
      <c r="B43" s="141"/>
      <c r="C43" s="140" t="s">
        <v>91</v>
      </c>
      <c r="D43" s="136" t="s">
        <v>92</v>
      </c>
      <c r="E43" s="141" t="s">
        <v>44</v>
      </c>
      <c r="F43" s="141">
        <v>0.01</v>
      </c>
    </row>
    <row r="44" spans="1:7">
      <c r="A44" s="757"/>
      <c r="B44" s="141"/>
      <c r="C44" s="140" t="s">
        <v>449</v>
      </c>
      <c r="D44" s="136"/>
      <c r="E44" s="141" t="s">
        <v>67</v>
      </c>
      <c r="F44" s="141">
        <v>2E-3</v>
      </c>
    </row>
    <row r="45" spans="1:7">
      <c r="A45" s="757"/>
      <c r="B45" s="141"/>
      <c r="C45" s="140" t="s">
        <v>81</v>
      </c>
      <c r="D45" s="136" t="s">
        <v>82</v>
      </c>
      <c r="E45" s="141" t="s">
        <v>29</v>
      </c>
      <c r="F45" s="141">
        <v>0.01</v>
      </c>
    </row>
    <row r="46" spans="1:7">
      <c r="A46" s="757"/>
      <c r="B46" s="140"/>
      <c r="C46" s="140" t="s">
        <v>75</v>
      </c>
      <c r="D46" s="141" t="s">
        <v>76</v>
      </c>
      <c r="E46" s="141" t="s">
        <v>29</v>
      </c>
      <c r="F46" s="141">
        <v>0.01</v>
      </c>
    </row>
    <row r="47" spans="1:7">
      <c r="A47" s="757"/>
      <c r="B47" s="140" t="s">
        <v>6</v>
      </c>
      <c r="C47" s="141"/>
      <c r="D47" s="136"/>
      <c r="E47" s="141" t="s">
        <v>44</v>
      </c>
      <c r="F47" s="141">
        <v>0.1</v>
      </c>
    </row>
    <row r="48" spans="1:7" ht="15.75" thickBot="1">
      <c r="A48" s="758"/>
      <c r="B48" s="142" t="s">
        <v>64</v>
      </c>
      <c r="C48" s="143"/>
      <c r="D48" s="144"/>
      <c r="E48" s="143" t="s">
        <v>44</v>
      </c>
      <c r="F48" s="143">
        <v>0.5</v>
      </c>
    </row>
    <row r="49" spans="1:7">
      <c r="A49" s="759" t="s">
        <v>458</v>
      </c>
      <c r="B49" s="131" t="s">
        <v>744</v>
      </c>
      <c r="C49" s="744" t="s">
        <v>467</v>
      </c>
      <c r="D49" s="744" t="s">
        <v>440</v>
      </c>
      <c r="E49" s="149" t="s">
        <v>29</v>
      </c>
      <c r="F49" s="133">
        <v>0.21</v>
      </c>
      <c r="G49">
        <f>SUM(F49:F50)</f>
        <v>0.32999999999999996</v>
      </c>
    </row>
    <row r="50" spans="1:7">
      <c r="A50" s="760"/>
      <c r="B50" s="150" t="s">
        <v>745</v>
      </c>
      <c r="C50" s="745"/>
      <c r="D50" s="745"/>
      <c r="E50" s="136" t="s">
        <v>29</v>
      </c>
      <c r="F50" s="151">
        <v>0.12</v>
      </c>
    </row>
    <row r="51" spans="1:7">
      <c r="A51" s="761"/>
      <c r="B51" s="134" t="s">
        <v>38</v>
      </c>
      <c r="C51" s="135" t="s">
        <v>459</v>
      </c>
      <c r="D51" s="152" t="s">
        <v>460</v>
      </c>
      <c r="E51" s="136" t="s">
        <v>44</v>
      </c>
      <c r="F51" s="136">
        <v>2</v>
      </c>
    </row>
    <row r="52" spans="1:7">
      <c r="A52" s="761"/>
      <c r="B52" s="134"/>
      <c r="C52" s="153" t="s">
        <v>442</v>
      </c>
      <c r="D52" s="151"/>
      <c r="E52" s="151" t="s">
        <v>29</v>
      </c>
      <c r="F52" s="141">
        <v>0.01</v>
      </c>
    </row>
    <row r="53" spans="1:7">
      <c r="A53" s="761"/>
      <c r="B53" s="141"/>
      <c r="C53" s="140" t="s">
        <v>448</v>
      </c>
      <c r="D53" s="136" t="s">
        <v>90</v>
      </c>
      <c r="E53" s="141" t="s">
        <v>29</v>
      </c>
      <c r="F53" s="141">
        <v>0.02</v>
      </c>
    </row>
    <row r="54" spans="1:7">
      <c r="A54" s="761"/>
      <c r="B54" s="141"/>
      <c r="C54" s="140" t="s">
        <v>91</v>
      </c>
      <c r="D54" s="136" t="s">
        <v>92</v>
      </c>
      <c r="E54" s="141" t="s">
        <v>44</v>
      </c>
      <c r="F54" s="141">
        <v>0.01</v>
      </c>
    </row>
    <row r="55" spans="1:7">
      <c r="A55" s="761"/>
      <c r="B55" s="141"/>
      <c r="C55" s="140" t="s">
        <v>449</v>
      </c>
      <c r="D55" s="136"/>
      <c r="E55" s="141" t="s">
        <v>67</v>
      </c>
      <c r="F55" s="141">
        <v>2E-3</v>
      </c>
    </row>
    <row r="56" spans="1:7">
      <c r="A56" s="761"/>
      <c r="B56" s="141"/>
      <c r="C56" s="140" t="s">
        <v>81</v>
      </c>
      <c r="D56" s="136" t="s">
        <v>82</v>
      </c>
      <c r="E56" s="141" t="s">
        <v>29</v>
      </c>
      <c r="F56" s="141">
        <v>0.01</v>
      </c>
    </row>
    <row r="57" spans="1:7">
      <c r="A57" s="761"/>
      <c r="B57" s="140"/>
      <c r="C57" s="140" t="s">
        <v>75</v>
      </c>
      <c r="D57" s="141" t="s">
        <v>76</v>
      </c>
      <c r="E57" s="141" t="s">
        <v>29</v>
      </c>
      <c r="F57" s="141">
        <v>0.01</v>
      </c>
    </row>
    <row r="58" spans="1:7">
      <c r="A58" s="761"/>
      <c r="B58" s="140"/>
      <c r="C58" s="140" t="s">
        <v>461</v>
      </c>
      <c r="D58" s="141"/>
      <c r="E58" s="141" t="s">
        <v>44</v>
      </c>
      <c r="F58" s="141">
        <v>2</v>
      </c>
    </row>
    <row r="59" spans="1:7">
      <c r="A59" s="761"/>
      <c r="B59" s="140"/>
      <c r="C59" s="140" t="s">
        <v>119</v>
      </c>
      <c r="D59" s="141"/>
      <c r="E59" s="141" t="s">
        <v>44</v>
      </c>
      <c r="F59" s="141">
        <v>2</v>
      </c>
    </row>
    <row r="60" spans="1:7">
      <c r="A60" s="761"/>
      <c r="B60" s="140" t="s">
        <v>6</v>
      </c>
      <c r="C60" s="141"/>
      <c r="D60" s="136"/>
      <c r="E60" s="141" t="s">
        <v>44</v>
      </c>
      <c r="F60" s="141">
        <v>0.02</v>
      </c>
    </row>
    <row r="61" spans="1:7" ht="15.75" thickBot="1">
      <c r="A61" s="762"/>
      <c r="B61" s="142" t="s">
        <v>64</v>
      </c>
      <c r="C61" s="143"/>
      <c r="D61" s="144"/>
      <c r="E61" s="143" t="s">
        <v>44</v>
      </c>
      <c r="F61" s="281">
        <v>0.1</v>
      </c>
    </row>
    <row r="62" spans="1:7">
      <c r="A62" s="759" t="s">
        <v>558</v>
      </c>
      <c r="B62" s="131" t="s">
        <v>744</v>
      </c>
      <c r="C62" s="744" t="s">
        <v>452</v>
      </c>
      <c r="D62" s="744" t="s">
        <v>453</v>
      </c>
      <c r="E62" s="744" t="s">
        <v>29</v>
      </c>
      <c r="F62" s="136">
        <v>0.438</v>
      </c>
      <c r="G62">
        <f>SUM(F62:F64)</f>
        <v>0.80600000000000005</v>
      </c>
    </row>
    <row r="63" spans="1:7">
      <c r="A63" s="760"/>
      <c r="B63" s="150" t="s">
        <v>745</v>
      </c>
      <c r="C63" s="763"/>
      <c r="D63" s="763"/>
      <c r="E63" s="763"/>
      <c r="F63" s="151">
        <v>0.184</v>
      </c>
    </row>
    <row r="64" spans="1:7">
      <c r="A64" s="760"/>
      <c r="B64" s="150" t="s">
        <v>746</v>
      </c>
      <c r="C64" s="745"/>
      <c r="D64" s="745"/>
      <c r="E64" s="745"/>
      <c r="F64" s="151">
        <v>0.184</v>
      </c>
    </row>
    <row r="65" spans="1:13">
      <c r="A65" s="761"/>
      <c r="B65" s="134" t="s">
        <v>38</v>
      </c>
      <c r="C65" s="135" t="s">
        <v>459</v>
      </c>
      <c r="D65" s="152" t="s">
        <v>460</v>
      </c>
      <c r="E65" s="136" t="s">
        <v>44</v>
      </c>
      <c r="F65" s="136">
        <v>4</v>
      </c>
      <c r="K65">
        <f>1250/90</f>
        <v>13.888888888888889</v>
      </c>
      <c r="M65">
        <v>73.59</v>
      </c>
    </row>
    <row r="66" spans="1:13">
      <c r="A66" s="761"/>
      <c r="B66" s="134"/>
      <c r="C66" s="153" t="s">
        <v>442</v>
      </c>
      <c r="D66" s="151"/>
      <c r="E66" s="151" t="s">
        <v>29</v>
      </c>
      <c r="F66" s="141">
        <v>0.01</v>
      </c>
      <c r="K66">
        <f>2500/180</f>
        <v>13.888888888888889</v>
      </c>
      <c r="L66">
        <f>13*13</f>
        <v>169</v>
      </c>
      <c r="M66">
        <f>M65/L66</f>
        <v>0.43544378698224856</v>
      </c>
    </row>
    <row r="67" spans="1:13">
      <c r="A67" s="761"/>
      <c r="B67" s="141"/>
      <c r="C67" s="140" t="s">
        <v>448</v>
      </c>
      <c r="D67" s="136" t="s">
        <v>90</v>
      </c>
      <c r="E67" s="141" t="s">
        <v>29</v>
      </c>
      <c r="F67" s="141">
        <v>0.02</v>
      </c>
    </row>
    <row r="68" spans="1:13">
      <c r="A68" s="761"/>
      <c r="B68" s="141"/>
      <c r="C68" s="140" t="s">
        <v>91</v>
      </c>
      <c r="D68" s="136" t="s">
        <v>92</v>
      </c>
      <c r="E68" s="141" t="s">
        <v>44</v>
      </c>
      <c r="F68" s="141">
        <v>0.01</v>
      </c>
    </row>
    <row r="69" spans="1:13">
      <c r="A69" s="761"/>
      <c r="B69" s="141"/>
      <c r="C69" s="140" t="s">
        <v>449</v>
      </c>
      <c r="D69" s="136"/>
      <c r="E69" s="141" t="s">
        <v>67</v>
      </c>
      <c r="F69" s="141">
        <v>2E-3</v>
      </c>
    </row>
    <row r="70" spans="1:13">
      <c r="A70" s="761"/>
      <c r="B70" s="141"/>
      <c r="C70" s="140" t="s">
        <v>81</v>
      </c>
      <c r="D70" s="136" t="s">
        <v>82</v>
      </c>
      <c r="E70" s="141" t="s">
        <v>29</v>
      </c>
      <c r="F70" s="141">
        <v>0.01</v>
      </c>
    </row>
    <row r="71" spans="1:13">
      <c r="A71" s="761"/>
      <c r="B71" s="140"/>
      <c r="C71" s="140" t="s">
        <v>75</v>
      </c>
      <c r="D71" s="141" t="s">
        <v>76</v>
      </c>
      <c r="E71" s="141" t="s">
        <v>29</v>
      </c>
      <c r="F71" s="141">
        <v>0.01</v>
      </c>
    </row>
    <row r="72" spans="1:13">
      <c r="A72" s="761"/>
      <c r="B72" s="140"/>
      <c r="C72" s="140" t="s">
        <v>461</v>
      </c>
      <c r="D72" s="141"/>
      <c r="E72" s="141" t="s">
        <v>44</v>
      </c>
      <c r="F72" s="141">
        <v>2</v>
      </c>
    </row>
    <row r="73" spans="1:13">
      <c r="A73" s="761"/>
      <c r="B73" s="140"/>
      <c r="C73" s="140" t="s">
        <v>119</v>
      </c>
      <c r="D73" s="141"/>
      <c r="E73" s="141" t="s">
        <v>44</v>
      </c>
      <c r="F73" s="141">
        <v>2</v>
      </c>
    </row>
    <row r="74" spans="1:13">
      <c r="A74" s="761"/>
      <c r="B74" s="140" t="s">
        <v>6</v>
      </c>
      <c r="C74" s="141"/>
      <c r="D74" s="136"/>
      <c r="E74" s="141" t="s">
        <v>44</v>
      </c>
      <c r="F74" s="141">
        <v>0.02</v>
      </c>
    </row>
    <row r="75" spans="1:13" ht="15.75" thickBot="1">
      <c r="A75" s="762"/>
      <c r="B75" s="142" t="s">
        <v>64</v>
      </c>
      <c r="C75" s="143"/>
      <c r="D75" s="144"/>
      <c r="E75" s="143" t="s">
        <v>44</v>
      </c>
      <c r="F75" s="143">
        <v>0.1</v>
      </c>
    </row>
    <row r="76" spans="1:13">
      <c r="A76" s="746" t="s">
        <v>462</v>
      </c>
      <c r="B76" s="154"/>
      <c r="C76" s="131" t="s">
        <v>444</v>
      </c>
      <c r="D76" s="133" t="s">
        <v>445</v>
      </c>
      <c r="E76" s="133" t="s">
        <v>29</v>
      </c>
      <c r="F76" s="155">
        <v>0.26</v>
      </c>
    </row>
    <row r="77" spans="1:13">
      <c r="A77" s="747"/>
      <c r="B77" s="41"/>
      <c r="C77" s="134" t="s">
        <v>463</v>
      </c>
      <c r="D77" s="41"/>
      <c r="E77" s="136" t="s">
        <v>29</v>
      </c>
      <c r="F77" s="156">
        <v>0.18</v>
      </c>
    </row>
    <row r="78" spans="1:13">
      <c r="A78" s="747"/>
      <c r="B78" s="41"/>
      <c r="C78" s="134" t="s">
        <v>119</v>
      </c>
      <c r="D78" s="139"/>
      <c r="E78" s="136" t="s">
        <v>44</v>
      </c>
      <c r="F78" s="157">
        <v>2</v>
      </c>
    </row>
    <row r="79" spans="1:13">
      <c r="A79" s="747"/>
      <c r="B79" s="41"/>
      <c r="C79" s="135" t="s">
        <v>441</v>
      </c>
      <c r="D79" s="41"/>
      <c r="E79" s="136" t="s">
        <v>44</v>
      </c>
      <c r="F79" s="157">
        <v>2</v>
      </c>
    </row>
    <row r="80" spans="1:13">
      <c r="A80" s="747"/>
      <c r="B80" s="41"/>
      <c r="C80" s="135" t="s">
        <v>464</v>
      </c>
      <c r="D80" s="41"/>
      <c r="E80" s="136" t="s">
        <v>44</v>
      </c>
      <c r="F80" s="157">
        <v>1</v>
      </c>
    </row>
    <row r="81" spans="1:6">
      <c r="A81" s="747"/>
      <c r="B81" s="134"/>
      <c r="C81" s="135" t="s">
        <v>442</v>
      </c>
      <c r="D81" s="136"/>
      <c r="E81" s="136" t="s">
        <v>29</v>
      </c>
      <c r="F81" s="156">
        <v>0.01</v>
      </c>
    </row>
    <row r="82" spans="1:6">
      <c r="A82" s="747"/>
      <c r="B82" s="141"/>
      <c r="C82" s="140" t="s">
        <v>448</v>
      </c>
      <c r="D82" s="136" t="s">
        <v>90</v>
      </c>
      <c r="E82" s="141" t="s">
        <v>29</v>
      </c>
      <c r="F82" s="156">
        <v>0.02</v>
      </c>
    </row>
    <row r="83" spans="1:6">
      <c r="A83" s="747"/>
      <c r="B83" s="141"/>
      <c r="C83" s="140" t="s">
        <v>91</v>
      </c>
      <c r="D83" s="136" t="s">
        <v>92</v>
      </c>
      <c r="E83" s="141" t="s">
        <v>44</v>
      </c>
      <c r="F83" s="156">
        <v>0.01</v>
      </c>
    </row>
    <row r="84" spans="1:6">
      <c r="A84" s="747"/>
      <c r="B84" s="141"/>
      <c r="C84" s="140" t="s">
        <v>449</v>
      </c>
      <c r="D84" s="136"/>
      <c r="E84" s="141" t="s">
        <v>67</v>
      </c>
      <c r="F84" s="156">
        <v>2E-3</v>
      </c>
    </row>
    <row r="85" spans="1:6">
      <c r="A85" s="747"/>
      <c r="B85" s="141"/>
      <c r="C85" s="140" t="s">
        <v>81</v>
      </c>
      <c r="D85" s="136" t="s">
        <v>82</v>
      </c>
      <c r="E85" s="141" t="s">
        <v>29</v>
      </c>
      <c r="F85" s="156">
        <v>0.01</v>
      </c>
    </row>
    <row r="86" spans="1:6">
      <c r="A86" s="747"/>
      <c r="B86" s="140"/>
      <c r="C86" s="140" t="s">
        <v>75</v>
      </c>
      <c r="D86" s="141" t="s">
        <v>76</v>
      </c>
      <c r="E86" s="141" t="s">
        <v>29</v>
      </c>
      <c r="F86" s="156">
        <v>0.01</v>
      </c>
    </row>
    <row r="87" spans="1:6">
      <c r="A87" s="747"/>
      <c r="B87" s="140" t="s">
        <v>6</v>
      </c>
      <c r="C87" s="141"/>
      <c r="D87" s="136"/>
      <c r="E87" s="141" t="s">
        <v>44</v>
      </c>
      <c r="F87" s="156">
        <v>0.02</v>
      </c>
    </row>
    <row r="88" spans="1:6">
      <c r="A88" s="748"/>
      <c r="B88" s="466" t="s">
        <v>64</v>
      </c>
      <c r="C88" s="281"/>
      <c r="D88" s="467"/>
      <c r="E88" s="281" t="s">
        <v>44</v>
      </c>
      <c r="F88" s="468">
        <v>0.1</v>
      </c>
    </row>
    <row r="89" spans="1:6">
      <c r="A89" s="741" t="s">
        <v>1636</v>
      </c>
      <c r="B89" s="41" t="s">
        <v>1621</v>
      </c>
      <c r="C89" s="140" t="s">
        <v>1622</v>
      </c>
      <c r="D89" s="41" t="s">
        <v>444</v>
      </c>
      <c r="E89" s="141" t="s">
        <v>29</v>
      </c>
      <c r="F89" s="141">
        <v>0.20599999999999999</v>
      </c>
    </row>
    <row r="90" spans="1:6">
      <c r="A90" s="742"/>
      <c r="B90" s="41" t="s">
        <v>1623</v>
      </c>
      <c r="C90" s="140" t="s">
        <v>1624</v>
      </c>
      <c r="D90" s="41" t="s">
        <v>444</v>
      </c>
      <c r="E90" s="141" t="s">
        <v>29</v>
      </c>
      <c r="F90" s="141">
        <v>0.46300000000000002</v>
      </c>
    </row>
    <row r="91" spans="1:6">
      <c r="A91" s="742"/>
      <c r="B91" s="41" t="s">
        <v>1625</v>
      </c>
      <c r="C91" s="140" t="s">
        <v>1626</v>
      </c>
      <c r="D91" s="41" t="s">
        <v>444</v>
      </c>
      <c r="E91" s="141" t="s">
        <v>29</v>
      </c>
      <c r="F91" s="141">
        <v>0.221</v>
      </c>
    </row>
    <row r="92" spans="1:6">
      <c r="A92" s="742"/>
      <c r="B92" s="41"/>
      <c r="C92" s="41" t="s">
        <v>1627</v>
      </c>
      <c r="D92" s="140" t="s">
        <v>1628</v>
      </c>
      <c r="E92" s="141" t="s">
        <v>44</v>
      </c>
      <c r="F92" s="141">
        <v>2</v>
      </c>
    </row>
    <row r="93" spans="1:6">
      <c r="A93" s="742"/>
      <c r="B93" s="41"/>
      <c r="C93" s="140" t="s">
        <v>1629</v>
      </c>
      <c r="D93" s="41" t="s">
        <v>761</v>
      </c>
      <c r="E93" s="141" t="s">
        <v>44</v>
      </c>
      <c r="F93" s="141">
        <v>2</v>
      </c>
    </row>
    <row r="94" spans="1:6">
      <c r="A94" s="742"/>
      <c r="B94" s="41"/>
      <c r="C94" s="140" t="s">
        <v>1630</v>
      </c>
      <c r="D94" s="41" t="s">
        <v>760</v>
      </c>
      <c r="E94" s="141" t="s">
        <v>44</v>
      </c>
      <c r="F94" s="141">
        <v>2</v>
      </c>
    </row>
    <row r="95" spans="1:6">
      <c r="A95" s="742"/>
      <c r="B95" s="41"/>
      <c r="C95" s="140" t="s">
        <v>1631</v>
      </c>
      <c r="D95" s="41" t="s">
        <v>1632</v>
      </c>
      <c r="E95" s="141" t="s">
        <v>44</v>
      </c>
      <c r="F95" s="141">
        <v>4</v>
      </c>
    </row>
    <row r="96" spans="1:6">
      <c r="A96" s="742"/>
      <c r="B96" s="41"/>
      <c r="C96" s="140" t="s">
        <v>1633</v>
      </c>
      <c r="D96" s="41" t="s">
        <v>1634</v>
      </c>
      <c r="E96" s="141" t="s">
        <v>29</v>
      </c>
      <c r="F96" s="141">
        <v>0.06</v>
      </c>
    </row>
    <row r="97" spans="1:6">
      <c r="A97" s="743"/>
      <c r="B97" s="41"/>
      <c r="C97" s="140" t="s">
        <v>442</v>
      </c>
      <c r="D97" s="41" t="s">
        <v>1635</v>
      </c>
      <c r="E97" s="141" t="s">
        <v>29</v>
      </c>
      <c r="F97" s="141">
        <v>0.05</v>
      </c>
    </row>
  </sheetData>
  <mergeCells count="14">
    <mergeCell ref="A89:A97"/>
    <mergeCell ref="D49:D50"/>
    <mergeCell ref="A76:A88"/>
    <mergeCell ref="A1:F1"/>
    <mergeCell ref="A6:A10"/>
    <mergeCell ref="A11:A22"/>
    <mergeCell ref="A23:A35"/>
    <mergeCell ref="A36:A48"/>
    <mergeCell ref="A49:A61"/>
    <mergeCell ref="A62:A75"/>
    <mergeCell ref="C62:C64"/>
    <mergeCell ref="D62:D64"/>
    <mergeCell ref="E62:E64"/>
    <mergeCell ref="C49:C50"/>
  </mergeCells>
  <phoneticPr fontId="4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opLeftCell="A19" workbookViewId="0">
      <selection activeCell="E94" sqref="E94"/>
    </sheetView>
  </sheetViews>
  <sheetFormatPr defaultRowHeight="15"/>
  <cols>
    <col min="1" max="1" width="6.85546875" bestFit="1" customWidth="1"/>
    <col min="2" max="2" width="30" customWidth="1"/>
    <col min="3" max="3" width="47.85546875" customWidth="1"/>
    <col min="4" max="4" width="8.28515625" bestFit="1" customWidth="1"/>
    <col min="5" max="5" width="30" customWidth="1"/>
    <col min="6" max="6" width="34" customWidth="1"/>
    <col min="7" max="7" width="10.85546875" customWidth="1"/>
    <col min="8" max="8" width="7.28515625" bestFit="1" customWidth="1"/>
    <col min="9" max="9" width="8.7109375" bestFit="1" customWidth="1"/>
    <col min="10" max="10" width="6.42578125" bestFit="1" customWidth="1"/>
    <col min="11" max="11" width="29.85546875" customWidth="1"/>
    <col min="13" max="13" width="16.85546875" bestFit="1" customWidth="1"/>
    <col min="14" max="14" width="7" bestFit="1" customWidth="1"/>
    <col min="15" max="15" width="6.42578125" bestFit="1" customWidth="1"/>
  </cols>
  <sheetData>
    <row r="1" spans="1:15" ht="21" thickBot="1">
      <c r="A1" s="655" t="s">
        <v>1327</v>
      </c>
      <c r="B1" s="656"/>
      <c r="C1" s="656"/>
      <c r="D1" s="656"/>
      <c r="E1" s="656"/>
      <c r="F1" s="656"/>
      <c r="G1" s="656"/>
      <c r="H1" s="657"/>
      <c r="I1" s="657"/>
      <c r="J1" s="657"/>
      <c r="K1" s="658"/>
      <c r="L1" s="294"/>
      <c r="M1" s="778" t="s">
        <v>1037</v>
      </c>
      <c r="N1" s="779"/>
      <c r="O1" s="780"/>
    </row>
    <row r="2" spans="1:15" ht="15.75">
      <c r="A2" s="659" t="s">
        <v>17</v>
      </c>
      <c r="B2" s="661" t="s">
        <v>789</v>
      </c>
      <c r="C2" s="661" t="s">
        <v>790</v>
      </c>
      <c r="D2" s="661" t="s">
        <v>791</v>
      </c>
      <c r="E2" s="661"/>
      <c r="F2" s="661"/>
      <c r="G2" s="661" t="s">
        <v>792</v>
      </c>
      <c r="H2" s="663" t="s">
        <v>367</v>
      </c>
      <c r="I2" s="664"/>
      <c r="J2" s="665" t="s">
        <v>793</v>
      </c>
      <c r="K2" s="667" t="s">
        <v>794</v>
      </c>
      <c r="L2" s="294"/>
      <c r="M2" s="767" t="s">
        <v>1038</v>
      </c>
      <c r="N2" s="769">
        <v>11</v>
      </c>
      <c r="O2" s="667" t="s">
        <v>793</v>
      </c>
    </row>
    <row r="3" spans="1:15" ht="32.25" thickBot="1">
      <c r="A3" s="660"/>
      <c r="B3" s="662"/>
      <c r="C3" s="662"/>
      <c r="D3" s="287" t="s">
        <v>795</v>
      </c>
      <c r="E3" s="287" t="s">
        <v>796</v>
      </c>
      <c r="F3" s="287" t="s">
        <v>797</v>
      </c>
      <c r="G3" s="662"/>
      <c r="H3" s="296" t="s">
        <v>25</v>
      </c>
      <c r="I3" s="296" t="s">
        <v>798</v>
      </c>
      <c r="J3" s="666"/>
      <c r="K3" s="668"/>
      <c r="L3" s="294"/>
      <c r="M3" s="768"/>
      <c r="N3" s="770"/>
      <c r="O3" s="771"/>
    </row>
    <row r="4" spans="1:15" ht="16.5" thickBot="1">
      <c r="A4" s="705" t="s">
        <v>799</v>
      </c>
      <c r="B4" s="706"/>
      <c r="C4" s="706"/>
      <c r="D4" s="706"/>
      <c r="E4" s="706"/>
      <c r="F4" s="706"/>
      <c r="G4" s="706"/>
      <c r="H4" s="706"/>
      <c r="I4" s="706"/>
      <c r="J4" s="706"/>
      <c r="K4" s="707"/>
      <c r="L4" s="294"/>
      <c r="M4" s="772" t="s">
        <v>1039</v>
      </c>
      <c r="N4" s="773"/>
      <c r="O4" s="774"/>
    </row>
    <row r="5" spans="1:15" ht="15.75">
      <c r="A5" s="297">
        <v>1</v>
      </c>
      <c r="B5" s="672" t="s">
        <v>1040</v>
      </c>
      <c r="C5" s="672"/>
      <c r="D5" s="672"/>
      <c r="E5" s="672"/>
      <c r="F5" s="672"/>
      <c r="G5" s="672"/>
      <c r="H5" s="672"/>
      <c r="I5" s="672"/>
      <c r="J5" s="672"/>
      <c r="K5" s="673"/>
      <c r="L5" s="294"/>
      <c r="M5" s="691"/>
      <c r="N5" s="692"/>
      <c r="O5" s="693"/>
    </row>
    <row r="6" spans="1:15" ht="16.5" thickBot="1">
      <c r="A6" s="298" t="s">
        <v>801</v>
      </c>
      <c r="B6" s="651" t="s">
        <v>2</v>
      </c>
      <c r="C6" s="651"/>
      <c r="D6" s="651"/>
      <c r="E6" s="651"/>
      <c r="F6" s="651"/>
      <c r="G6" s="651"/>
      <c r="H6" s="651"/>
      <c r="I6" s="651"/>
      <c r="J6" s="651"/>
      <c r="K6" s="652"/>
      <c r="L6" s="294"/>
      <c r="M6" s="775"/>
      <c r="N6" s="776"/>
      <c r="O6" s="777"/>
    </row>
    <row r="7" spans="1:15" ht="15.75">
      <c r="A7" s="298" t="s">
        <v>802</v>
      </c>
      <c r="B7" s="369" t="s">
        <v>1253</v>
      </c>
      <c r="C7" s="369" t="s">
        <v>38</v>
      </c>
      <c r="D7" s="18" t="s">
        <v>771</v>
      </c>
      <c r="E7" s="18" t="s">
        <v>1117</v>
      </c>
      <c r="F7" s="18" t="s">
        <v>821</v>
      </c>
      <c r="G7" s="18">
        <v>1</v>
      </c>
      <c r="H7" s="18">
        <v>0.20200000000000001</v>
      </c>
      <c r="I7" s="18">
        <f>G7*H7</f>
        <v>0.20200000000000001</v>
      </c>
      <c r="J7" s="18" t="s">
        <v>807</v>
      </c>
      <c r="K7" s="299"/>
      <c r="L7" s="294"/>
      <c r="M7" s="377">
        <f>$N$2</f>
        <v>11</v>
      </c>
      <c r="N7" s="339">
        <f>M7*I7</f>
        <v>2.222</v>
      </c>
      <c r="O7" s="337" t="s">
        <v>807</v>
      </c>
    </row>
    <row r="8" spans="1:15" ht="15.75">
      <c r="A8" s="298" t="s">
        <v>808</v>
      </c>
      <c r="B8" s="18" t="s">
        <v>1043</v>
      </c>
      <c r="C8" s="18" t="s">
        <v>124</v>
      </c>
      <c r="D8" s="18" t="s">
        <v>771</v>
      </c>
      <c r="E8" s="18" t="s">
        <v>773</v>
      </c>
      <c r="F8" s="18" t="s">
        <v>37</v>
      </c>
      <c r="G8" s="18">
        <v>1</v>
      </c>
      <c r="H8" s="18">
        <v>8.7999999999999995E-2</v>
      </c>
      <c r="I8" s="18">
        <f t="shared" ref="I8:I18" si="0">G8*H8</f>
        <v>8.7999999999999995E-2</v>
      </c>
      <c r="J8" s="18" t="s">
        <v>807</v>
      </c>
      <c r="K8" s="299"/>
      <c r="L8" s="294"/>
      <c r="M8" s="340">
        <f>$N$2</f>
        <v>11</v>
      </c>
      <c r="N8" s="70">
        <f>M8*I8</f>
        <v>0.96799999999999997</v>
      </c>
      <c r="O8" s="299" t="s">
        <v>807</v>
      </c>
    </row>
    <row r="9" spans="1:15" ht="15.75">
      <c r="A9" s="298" t="s">
        <v>811</v>
      </c>
      <c r="B9" s="18" t="s">
        <v>1044</v>
      </c>
      <c r="C9" s="18" t="s">
        <v>1045</v>
      </c>
      <c r="D9" s="18" t="s">
        <v>771</v>
      </c>
      <c r="E9" s="18" t="s">
        <v>1046</v>
      </c>
      <c r="F9" s="18" t="s">
        <v>821</v>
      </c>
      <c r="G9" s="18">
        <v>1</v>
      </c>
      <c r="H9" s="18">
        <v>7.4999999999999997E-2</v>
      </c>
      <c r="I9" s="18">
        <f t="shared" si="0"/>
        <v>7.4999999999999997E-2</v>
      </c>
      <c r="J9" s="18" t="s">
        <v>807</v>
      </c>
      <c r="K9" s="299"/>
      <c r="L9" s="294"/>
      <c r="M9" s="340">
        <f>$N$2</f>
        <v>11</v>
      </c>
      <c r="N9" s="70">
        <f>M9*I9</f>
        <v>0.82499999999999996</v>
      </c>
      <c r="O9" s="299" t="s">
        <v>807</v>
      </c>
    </row>
    <row r="10" spans="1:15" ht="15.75">
      <c r="A10" s="298" t="s">
        <v>815</v>
      </c>
      <c r="B10" s="369" t="s">
        <v>1254</v>
      </c>
      <c r="C10" s="369" t="s">
        <v>853</v>
      </c>
      <c r="D10" s="18" t="s">
        <v>771</v>
      </c>
      <c r="E10" s="18" t="s">
        <v>820</v>
      </c>
      <c r="F10" s="18" t="s">
        <v>821</v>
      </c>
      <c r="G10" s="18">
        <v>1</v>
      </c>
      <c r="H10" s="18">
        <v>0.18</v>
      </c>
      <c r="I10" s="18">
        <f t="shared" si="0"/>
        <v>0.18</v>
      </c>
      <c r="J10" s="18" t="s">
        <v>807</v>
      </c>
      <c r="K10" s="299"/>
      <c r="L10" s="294"/>
      <c r="M10" s="340">
        <f>$N$2</f>
        <v>11</v>
      </c>
      <c r="N10" s="70">
        <f>M10*I10</f>
        <v>1.98</v>
      </c>
      <c r="O10" s="299" t="s">
        <v>807</v>
      </c>
    </row>
    <row r="11" spans="1:15" ht="17.25" customHeight="1">
      <c r="A11" s="298" t="s">
        <v>818</v>
      </c>
      <c r="B11" s="18" t="s">
        <v>1047</v>
      </c>
      <c r="C11" s="18" t="s">
        <v>1048</v>
      </c>
      <c r="D11" s="18" t="s">
        <v>772</v>
      </c>
      <c r="E11" s="18" t="s">
        <v>774</v>
      </c>
      <c r="F11" s="18" t="s">
        <v>806</v>
      </c>
      <c r="G11" s="18">
        <v>1</v>
      </c>
      <c r="H11" s="18">
        <v>2.6000000000000002E-2</v>
      </c>
      <c r="I11" s="18">
        <f t="shared" si="0"/>
        <v>2.6000000000000002E-2</v>
      </c>
      <c r="J11" s="18" t="s">
        <v>807</v>
      </c>
      <c r="K11" s="299"/>
      <c r="L11" s="294"/>
      <c r="M11" s="340">
        <f>$N$2</f>
        <v>11</v>
      </c>
      <c r="N11" s="70">
        <f>M11*I11</f>
        <v>0.28600000000000003</v>
      </c>
      <c r="O11" s="299" t="s">
        <v>807</v>
      </c>
    </row>
    <row r="12" spans="1:15" ht="15.75">
      <c r="A12" s="298" t="s">
        <v>1057</v>
      </c>
      <c r="B12" s="651" t="s">
        <v>839</v>
      </c>
      <c r="C12" s="651"/>
      <c r="D12" s="651"/>
      <c r="E12" s="651"/>
      <c r="F12" s="651"/>
      <c r="G12" s="651"/>
      <c r="H12" s="651"/>
      <c r="I12" s="651"/>
      <c r="J12" s="651"/>
      <c r="K12" s="652"/>
      <c r="L12" s="294"/>
      <c r="M12" s="685"/>
      <c r="N12" s="686"/>
      <c r="O12" s="687"/>
    </row>
    <row r="13" spans="1:15" ht="15.75">
      <c r="A13" s="298" t="s">
        <v>1058</v>
      </c>
      <c r="B13" s="18" t="s">
        <v>3</v>
      </c>
      <c r="C13" s="18" t="s">
        <v>1059</v>
      </c>
      <c r="D13" s="18" t="s">
        <v>3</v>
      </c>
      <c r="E13" s="18" t="s">
        <v>3</v>
      </c>
      <c r="F13" s="18" t="s">
        <v>762</v>
      </c>
      <c r="G13" s="18">
        <v>1</v>
      </c>
      <c r="H13" s="18">
        <v>1</v>
      </c>
      <c r="I13" s="18">
        <f t="shared" si="0"/>
        <v>1</v>
      </c>
      <c r="J13" s="18" t="s">
        <v>841</v>
      </c>
      <c r="K13" s="299"/>
      <c r="L13" s="294"/>
      <c r="M13" s="340">
        <f t="shared" ref="M13:M99" si="1">$N$2</f>
        <v>11</v>
      </c>
      <c r="N13" s="70">
        <f t="shared" ref="N13:N100" si="2">M13*I13</f>
        <v>11</v>
      </c>
      <c r="O13" s="299" t="s">
        <v>841</v>
      </c>
    </row>
    <row r="14" spans="1:15" ht="15.75">
      <c r="A14" s="298" t="s">
        <v>1061</v>
      </c>
      <c r="B14" s="18" t="s">
        <v>3</v>
      </c>
      <c r="C14" s="18" t="s">
        <v>1255</v>
      </c>
      <c r="D14" s="18" t="s">
        <v>3</v>
      </c>
      <c r="E14" s="18" t="s">
        <v>3</v>
      </c>
      <c r="F14" s="18" t="s">
        <v>1209</v>
      </c>
      <c r="G14" s="18">
        <v>1</v>
      </c>
      <c r="H14" s="18">
        <v>1</v>
      </c>
      <c r="I14" s="18">
        <f t="shared" si="0"/>
        <v>1</v>
      </c>
      <c r="J14" s="18" t="s">
        <v>841</v>
      </c>
      <c r="K14" s="299"/>
      <c r="L14" s="294"/>
      <c r="M14" s="340">
        <f t="shared" si="1"/>
        <v>11</v>
      </c>
      <c r="N14" s="70">
        <f t="shared" si="2"/>
        <v>11</v>
      </c>
      <c r="O14" s="299" t="s">
        <v>841</v>
      </c>
    </row>
    <row r="15" spans="1:15" ht="15.75">
      <c r="A15" s="298" t="s">
        <v>1064</v>
      </c>
      <c r="B15" s="18" t="s">
        <v>3</v>
      </c>
      <c r="C15" s="18" t="s">
        <v>1256</v>
      </c>
      <c r="D15" s="18" t="s">
        <v>3</v>
      </c>
      <c r="E15" s="18" t="s">
        <v>3</v>
      </c>
      <c r="F15" s="18" t="s">
        <v>3</v>
      </c>
      <c r="G15" s="18">
        <v>1</v>
      </c>
      <c r="H15" s="18">
        <v>1</v>
      </c>
      <c r="I15" s="18">
        <f t="shared" si="0"/>
        <v>1</v>
      </c>
      <c r="J15" s="18" t="s">
        <v>841</v>
      </c>
      <c r="K15" s="299"/>
      <c r="L15" s="294"/>
      <c r="M15" s="340">
        <f t="shared" si="1"/>
        <v>11</v>
      </c>
      <c r="N15" s="70">
        <f t="shared" si="2"/>
        <v>11</v>
      </c>
      <c r="O15" s="299" t="s">
        <v>841</v>
      </c>
    </row>
    <row r="16" spans="1:15" ht="15.75">
      <c r="A16" s="298" t="s">
        <v>1067</v>
      </c>
      <c r="B16" s="18" t="s">
        <v>3</v>
      </c>
      <c r="C16" s="18" t="s">
        <v>1079</v>
      </c>
      <c r="D16" s="18" t="s">
        <v>3</v>
      </c>
      <c r="E16" s="18" t="s">
        <v>3</v>
      </c>
      <c r="F16" s="18" t="s">
        <v>3</v>
      </c>
      <c r="G16" s="18">
        <v>1</v>
      </c>
      <c r="H16" s="18">
        <v>1</v>
      </c>
      <c r="I16" s="18">
        <f t="shared" si="0"/>
        <v>1</v>
      </c>
      <c r="J16" s="18" t="s">
        <v>841</v>
      </c>
      <c r="K16" s="299"/>
      <c r="L16" s="294"/>
      <c r="M16" s="340">
        <f t="shared" si="1"/>
        <v>11</v>
      </c>
      <c r="N16" s="70">
        <f t="shared" si="2"/>
        <v>11</v>
      </c>
      <c r="O16" s="299" t="s">
        <v>841</v>
      </c>
    </row>
    <row r="17" spans="1:15" ht="15.75">
      <c r="A17" s="298" t="s">
        <v>1070</v>
      </c>
      <c r="B17" s="18" t="s">
        <v>3</v>
      </c>
      <c r="C17" s="18" t="s">
        <v>1081</v>
      </c>
      <c r="D17" s="18" t="s">
        <v>3</v>
      </c>
      <c r="E17" s="18" t="s">
        <v>3</v>
      </c>
      <c r="F17" s="18" t="s">
        <v>3</v>
      </c>
      <c r="G17" s="18">
        <v>1</v>
      </c>
      <c r="H17" s="18">
        <v>1</v>
      </c>
      <c r="I17" s="18">
        <f t="shared" si="0"/>
        <v>1</v>
      </c>
      <c r="J17" s="18" t="s">
        <v>841</v>
      </c>
      <c r="K17" s="299"/>
      <c r="L17" s="294"/>
      <c r="M17" s="340">
        <f t="shared" si="1"/>
        <v>11</v>
      </c>
      <c r="N17" s="70">
        <f t="shared" si="2"/>
        <v>11</v>
      </c>
      <c r="O17" s="299" t="s">
        <v>841</v>
      </c>
    </row>
    <row r="18" spans="1:15" ht="16.5" thickBot="1">
      <c r="A18" s="298" t="s">
        <v>1072</v>
      </c>
      <c r="B18" s="34" t="s">
        <v>3</v>
      </c>
      <c r="C18" s="34" t="s">
        <v>1085</v>
      </c>
      <c r="D18" s="34" t="s">
        <v>3</v>
      </c>
      <c r="E18" s="34" t="s">
        <v>3</v>
      </c>
      <c r="F18" s="34" t="s">
        <v>3</v>
      </c>
      <c r="G18" s="34">
        <v>1</v>
      </c>
      <c r="H18" s="34">
        <v>1</v>
      </c>
      <c r="I18" s="34">
        <f t="shared" si="0"/>
        <v>1</v>
      </c>
      <c r="J18" s="34" t="s">
        <v>841</v>
      </c>
      <c r="K18" s="315"/>
      <c r="L18" s="294"/>
      <c r="M18" s="340">
        <f t="shared" si="1"/>
        <v>11</v>
      </c>
      <c r="N18" s="70">
        <f t="shared" si="2"/>
        <v>11</v>
      </c>
      <c r="O18" s="299" t="s">
        <v>841</v>
      </c>
    </row>
    <row r="19" spans="1:15" ht="15.75">
      <c r="A19" s="297" t="s">
        <v>822</v>
      </c>
      <c r="B19" s="672" t="s">
        <v>823</v>
      </c>
      <c r="C19" s="672"/>
      <c r="D19" s="672"/>
      <c r="E19" s="672"/>
      <c r="F19" s="672"/>
      <c r="G19" s="672"/>
      <c r="H19" s="672"/>
      <c r="I19" s="672"/>
      <c r="J19" s="672"/>
      <c r="K19" s="673"/>
      <c r="L19" s="294"/>
      <c r="M19" s="696"/>
      <c r="N19" s="697"/>
      <c r="O19" s="698"/>
    </row>
    <row r="20" spans="1:15" ht="15.75">
      <c r="A20" s="298" t="s">
        <v>824</v>
      </c>
      <c r="B20" s="651" t="s">
        <v>2</v>
      </c>
      <c r="C20" s="651"/>
      <c r="D20" s="651"/>
      <c r="E20" s="651"/>
      <c r="F20" s="651"/>
      <c r="G20" s="651"/>
      <c r="H20" s="651"/>
      <c r="I20" s="651"/>
      <c r="J20" s="651"/>
      <c r="K20" s="652"/>
      <c r="L20" s="294"/>
      <c r="M20" s="699"/>
      <c r="N20" s="700"/>
      <c r="O20" s="701"/>
    </row>
    <row r="21" spans="1:15" ht="31.5">
      <c r="A21" s="298" t="s">
        <v>825</v>
      </c>
      <c r="B21" s="18" t="s">
        <v>826</v>
      </c>
      <c r="C21" s="18" t="s">
        <v>827</v>
      </c>
      <c r="D21" s="18" t="s">
        <v>777</v>
      </c>
      <c r="E21" s="18" t="s">
        <v>775</v>
      </c>
      <c r="F21" s="18" t="s">
        <v>828</v>
      </c>
      <c r="G21" s="18">
        <v>1</v>
      </c>
      <c r="H21" s="18">
        <v>0.28699999999999998</v>
      </c>
      <c r="I21" s="18">
        <f t="shared" ref="I21:I25" si="3">G21*H21</f>
        <v>0.28699999999999998</v>
      </c>
      <c r="J21" s="18" t="s">
        <v>807</v>
      </c>
      <c r="K21" s="299"/>
      <c r="L21" s="294"/>
      <c r="M21" s="340">
        <f t="shared" si="1"/>
        <v>11</v>
      </c>
      <c r="N21" s="70">
        <f t="shared" si="2"/>
        <v>3.1569999999999996</v>
      </c>
      <c r="O21" s="299" t="s">
        <v>807</v>
      </c>
    </row>
    <row r="22" spans="1:15" ht="31.5">
      <c r="A22" s="298" t="s">
        <v>829</v>
      </c>
      <c r="B22" s="18" t="s">
        <v>830</v>
      </c>
      <c r="C22" s="18" t="s">
        <v>5</v>
      </c>
      <c r="D22" s="18" t="s">
        <v>772</v>
      </c>
      <c r="E22" s="18" t="s">
        <v>779</v>
      </c>
      <c r="F22" s="18" t="s">
        <v>831</v>
      </c>
      <c r="G22" s="18">
        <v>1</v>
      </c>
      <c r="H22" s="18">
        <v>1.3999999999999999E-2</v>
      </c>
      <c r="I22" s="18">
        <f t="shared" si="3"/>
        <v>1.3999999999999999E-2</v>
      </c>
      <c r="J22" s="18" t="s">
        <v>807</v>
      </c>
      <c r="K22" s="299"/>
      <c r="L22" s="294"/>
      <c r="M22" s="340">
        <f t="shared" si="1"/>
        <v>11</v>
      </c>
      <c r="N22" s="70">
        <f t="shared" si="2"/>
        <v>0.15399999999999997</v>
      </c>
      <c r="O22" s="299" t="s">
        <v>807</v>
      </c>
    </row>
    <row r="23" spans="1:15" ht="15.75">
      <c r="A23" s="298" t="s">
        <v>832</v>
      </c>
      <c r="B23" s="18" t="s">
        <v>833</v>
      </c>
      <c r="C23" s="18" t="s">
        <v>7</v>
      </c>
      <c r="D23" s="18" t="s">
        <v>778</v>
      </c>
      <c r="E23" s="18" t="s">
        <v>776</v>
      </c>
      <c r="F23" s="18" t="s">
        <v>834</v>
      </c>
      <c r="G23" s="18">
        <v>1</v>
      </c>
      <c r="H23" s="18">
        <v>2E-3</v>
      </c>
      <c r="I23" s="18">
        <f t="shared" si="3"/>
        <v>2E-3</v>
      </c>
      <c r="J23" s="18" t="s">
        <v>807</v>
      </c>
      <c r="K23" s="299"/>
      <c r="L23" s="294"/>
      <c r="M23" s="340">
        <f t="shared" si="1"/>
        <v>11</v>
      </c>
      <c r="N23" s="70">
        <f t="shared" si="2"/>
        <v>2.1999999999999999E-2</v>
      </c>
      <c r="O23" s="299" t="s">
        <v>807</v>
      </c>
    </row>
    <row r="24" spans="1:15" ht="15.75">
      <c r="A24" s="298" t="s">
        <v>838</v>
      </c>
      <c r="B24" s="651" t="s">
        <v>839</v>
      </c>
      <c r="C24" s="651"/>
      <c r="D24" s="651"/>
      <c r="E24" s="651"/>
      <c r="F24" s="651"/>
      <c r="G24" s="651"/>
      <c r="H24" s="651"/>
      <c r="I24" s="651"/>
      <c r="J24" s="651"/>
      <c r="K24" s="652"/>
      <c r="L24" s="294"/>
      <c r="M24" s="685"/>
      <c r="N24" s="686"/>
      <c r="O24" s="687"/>
    </row>
    <row r="25" spans="1:15" ht="16.5" thickBot="1">
      <c r="A25" s="305" t="s">
        <v>840</v>
      </c>
      <c r="B25" s="34" t="s">
        <v>3</v>
      </c>
      <c r="C25" s="34" t="s">
        <v>780</v>
      </c>
      <c r="D25" s="34" t="s">
        <v>3</v>
      </c>
      <c r="E25" s="34" t="s">
        <v>3</v>
      </c>
      <c r="F25" s="18" t="s">
        <v>36</v>
      </c>
      <c r="G25" s="34">
        <v>1</v>
      </c>
      <c r="H25" s="34">
        <v>1</v>
      </c>
      <c r="I25" s="34">
        <f t="shared" si="3"/>
        <v>1</v>
      </c>
      <c r="J25" s="34" t="s">
        <v>841</v>
      </c>
      <c r="K25" s="315"/>
      <c r="L25" s="294"/>
      <c r="M25" s="340">
        <f t="shared" si="1"/>
        <v>11</v>
      </c>
      <c r="N25" s="70">
        <f t="shared" si="2"/>
        <v>11</v>
      </c>
      <c r="O25" s="299" t="s">
        <v>841</v>
      </c>
    </row>
    <row r="26" spans="1:15" ht="15.75">
      <c r="A26" s="297">
        <v>3</v>
      </c>
      <c r="B26" s="672" t="s">
        <v>1257</v>
      </c>
      <c r="C26" s="672"/>
      <c r="D26" s="672"/>
      <c r="E26" s="672"/>
      <c r="F26" s="672"/>
      <c r="G26" s="672"/>
      <c r="H26" s="672"/>
      <c r="I26" s="672"/>
      <c r="J26" s="672"/>
      <c r="K26" s="673"/>
      <c r="L26" s="294"/>
      <c r="M26" s="696"/>
      <c r="N26" s="697"/>
      <c r="O26" s="698"/>
    </row>
    <row r="27" spans="1:15" ht="15.75">
      <c r="A27" s="298" t="s">
        <v>843</v>
      </c>
      <c r="B27" s="651" t="s">
        <v>2</v>
      </c>
      <c r="C27" s="651"/>
      <c r="D27" s="651"/>
      <c r="E27" s="651"/>
      <c r="F27" s="651"/>
      <c r="G27" s="651"/>
      <c r="H27" s="651"/>
      <c r="I27" s="651"/>
      <c r="J27" s="651"/>
      <c r="K27" s="652"/>
      <c r="L27" s="294"/>
      <c r="M27" s="699"/>
      <c r="N27" s="700"/>
      <c r="O27" s="701"/>
    </row>
    <row r="28" spans="1:15" ht="15.75">
      <c r="A28" s="298" t="s">
        <v>844</v>
      </c>
      <c r="B28" s="369" t="s">
        <v>1258</v>
      </c>
      <c r="C28" s="369" t="s">
        <v>770</v>
      </c>
      <c r="D28" s="369" t="s">
        <v>770</v>
      </c>
      <c r="E28" s="18" t="s">
        <v>1259</v>
      </c>
      <c r="F28" s="18" t="s">
        <v>1097</v>
      </c>
      <c r="G28" s="18">
        <v>1</v>
      </c>
      <c r="H28" s="18">
        <v>1.1439999999999999</v>
      </c>
      <c r="I28" s="18">
        <f t="shared" ref="I28:I35" si="4">G28*H28</f>
        <v>1.1439999999999999</v>
      </c>
      <c r="J28" s="18" t="s">
        <v>807</v>
      </c>
      <c r="K28" s="299"/>
      <c r="L28" s="294"/>
      <c r="M28" s="340">
        <f t="shared" si="1"/>
        <v>11</v>
      </c>
      <c r="N28" s="70">
        <f t="shared" si="2"/>
        <v>12.584</v>
      </c>
      <c r="O28" s="299" t="s">
        <v>807</v>
      </c>
    </row>
    <row r="29" spans="1:15" ht="15.75">
      <c r="A29" s="298" t="s">
        <v>848</v>
      </c>
      <c r="B29" s="369" t="s">
        <v>1328</v>
      </c>
      <c r="C29" s="369" t="s">
        <v>770</v>
      </c>
      <c r="D29" s="369" t="s">
        <v>770</v>
      </c>
      <c r="E29" s="18" t="s">
        <v>1259</v>
      </c>
      <c r="F29" s="18" t="s">
        <v>1097</v>
      </c>
      <c r="G29" s="31">
        <v>1</v>
      </c>
      <c r="H29" s="18">
        <v>1.3339999999999999</v>
      </c>
      <c r="I29" s="18">
        <f t="shared" si="4"/>
        <v>1.3339999999999999</v>
      </c>
      <c r="J29" s="18" t="s">
        <v>807</v>
      </c>
      <c r="K29" s="308"/>
      <c r="L29" s="294"/>
      <c r="M29" s="340">
        <f t="shared" si="1"/>
        <v>11</v>
      </c>
      <c r="N29" s="70">
        <f t="shared" si="2"/>
        <v>14.673999999999998</v>
      </c>
      <c r="O29" s="299" t="s">
        <v>807</v>
      </c>
    </row>
    <row r="30" spans="1:15" ht="15.75">
      <c r="A30" s="298" t="s">
        <v>851</v>
      </c>
      <c r="B30" s="369" t="s">
        <v>1329</v>
      </c>
      <c r="C30" s="369" t="s">
        <v>770</v>
      </c>
      <c r="D30" s="369" t="s">
        <v>770</v>
      </c>
      <c r="E30" s="18" t="s">
        <v>1259</v>
      </c>
      <c r="F30" s="18" t="s">
        <v>1097</v>
      </c>
      <c r="G30" s="31">
        <v>1</v>
      </c>
      <c r="H30" s="18">
        <v>1.1439999999999999</v>
      </c>
      <c r="I30" s="18">
        <f t="shared" si="4"/>
        <v>1.1439999999999999</v>
      </c>
      <c r="J30" s="18" t="s">
        <v>807</v>
      </c>
      <c r="K30" s="308"/>
      <c r="L30" s="294"/>
      <c r="M30" s="340">
        <f t="shared" si="1"/>
        <v>11</v>
      </c>
      <c r="N30" s="70">
        <f t="shared" si="2"/>
        <v>12.584</v>
      </c>
      <c r="O30" s="299" t="s">
        <v>807</v>
      </c>
    </row>
    <row r="31" spans="1:15" ht="15.75">
      <c r="A31" s="298" t="s">
        <v>854</v>
      </c>
      <c r="B31" s="369" t="s">
        <v>1330</v>
      </c>
      <c r="C31" s="369" t="s">
        <v>770</v>
      </c>
      <c r="D31" s="369" t="s">
        <v>770</v>
      </c>
      <c r="E31" s="18" t="s">
        <v>1259</v>
      </c>
      <c r="F31" s="18" t="s">
        <v>1097</v>
      </c>
      <c r="G31" s="31">
        <v>1</v>
      </c>
      <c r="H31" s="18">
        <v>1.0009999999999999</v>
      </c>
      <c r="I31" s="18">
        <f t="shared" si="4"/>
        <v>1.0009999999999999</v>
      </c>
      <c r="J31" s="18" t="s">
        <v>807</v>
      </c>
      <c r="K31" s="304"/>
      <c r="L31" s="294"/>
      <c r="M31" s="340">
        <f t="shared" si="1"/>
        <v>11</v>
      </c>
      <c r="N31" s="70">
        <f t="shared" si="2"/>
        <v>11.010999999999999</v>
      </c>
      <c r="O31" s="299" t="s">
        <v>807</v>
      </c>
    </row>
    <row r="32" spans="1:15" ht="15.75">
      <c r="A32" s="298" t="s">
        <v>857</v>
      </c>
      <c r="B32" s="369" t="s">
        <v>1263</v>
      </c>
      <c r="C32" s="369" t="s">
        <v>1264</v>
      </c>
      <c r="D32" s="18" t="s">
        <v>771</v>
      </c>
      <c r="E32" s="18" t="s">
        <v>1117</v>
      </c>
      <c r="F32" s="18" t="s">
        <v>821</v>
      </c>
      <c r="G32" s="31">
        <v>1</v>
      </c>
      <c r="H32" s="18">
        <v>0.40400000000000003</v>
      </c>
      <c r="I32" s="18">
        <f t="shared" si="4"/>
        <v>0.40400000000000003</v>
      </c>
      <c r="J32" s="18" t="s">
        <v>807</v>
      </c>
      <c r="K32" s="304"/>
      <c r="L32" s="294"/>
      <c r="M32" s="340">
        <f t="shared" si="1"/>
        <v>11</v>
      </c>
      <c r="N32" s="70">
        <f t="shared" si="2"/>
        <v>4.444</v>
      </c>
      <c r="O32" s="299" t="s">
        <v>807</v>
      </c>
    </row>
    <row r="33" spans="1:15" ht="15.75">
      <c r="A33" s="298" t="s">
        <v>860</v>
      </c>
      <c r="B33" s="369" t="s">
        <v>1265</v>
      </c>
      <c r="C33" s="369" t="s">
        <v>134</v>
      </c>
      <c r="D33" s="18" t="s">
        <v>771</v>
      </c>
      <c r="E33" s="18" t="s">
        <v>1117</v>
      </c>
      <c r="F33" s="18" t="s">
        <v>821</v>
      </c>
      <c r="G33" s="31">
        <v>1</v>
      </c>
      <c r="H33" s="18">
        <v>0.60599999999999998</v>
      </c>
      <c r="I33" s="18">
        <f t="shared" si="4"/>
        <v>0.60599999999999998</v>
      </c>
      <c r="J33" s="18" t="s">
        <v>807</v>
      </c>
      <c r="K33" s="304"/>
      <c r="L33" s="294"/>
      <c r="M33" s="340">
        <f t="shared" si="1"/>
        <v>11</v>
      </c>
      <c r="N33" s="70">
        <f t="shared" si="2"/>
        <v>6.6659999999999995</v>
      </c>
      <c r="O33" s="299" t="s">
        <v>807</v>
      </c>
    </row>
    <row r="34" spans="1:15" ht="15.75">
      <c r="A34" s="298" t="s">
        <v>864</v>
      </c>
      <c r="B34" s="369" t="s">
        <v>1266</v>
      </c>
      <c r="C34" s="369" t="s">
        <v>1267</v>
      </c>
      <c r="D34" s="18" t="s">
        <v>771</v>
      </c>
      <c r="E34" s="18" t="s">
        <v>1117</v>
      </c>
      <c r="F34" s="18" t="s">
        <v>821</v>
      </c>
      <c r="G34" s="31">
        <v>1</v>
      </c>
      <c r="H34" s="18">
        <v>0.505</v>
      </c>
      <c r="I34" s="18">
        <f t="shared" si="4"/>
        <v>0.505</v>
      </c>
      <c r="J34" s="18" t="s">
        <v>807</v>
      </c>
      <c r="K34" s="304"/>
      <c r="L34" s="294"/>
      <c r="M34" s="340">
        <f t="shared" si="1"/>
        <v>11</v>
      </c>
      <c r="N34" s="70">
        <f t="shared" si="2"/>
        <v>5.5549999999999997</v>
      </c>
      <c r="O34" s="299" t="s">
        <v>807</v>
      </c>
    </row>
    <row r="35" spans="1:15" ht="32.25" thickBot="1">
      <c r="A35" s="305" t="s">
        <v>871</v>
      </c>
      <c r="B35" s="34" t="s">
        <v>1268</v>
      </c>
      <c r="C35" s="34" t="s">
        <v>875</v>
      </c>
      <c r="D35" s="34" t="s">
        <v>772</v>
      </c>
      <c r="E35" s="34" t="s">
        <v>779</v>
      </c>
      <c r="F35" s="34" t="s">
        <v>831</v>
      </c>
      <c r="G35" s="343">
        <v>2</v>
      </c>
      <c r="H35" s="34">
        <v>0.158</v>
      </c>
      <c r="I35" s="34">
        <f t="shared" si="4"/>
        <v>0.316</v>
      </c>
      <c r="J35" s="34" t="s">
        <v>807</v>
      </c>
      <c r="K35" s="370"/>
      <c r="L35" s="294"/>
      <c r="M35" s="340">
        <f t="shared" si="1"/>
        <v>11</v>
      </c>
      <c r="N35" s="70">
        <f t="shared" si="2"/>
        <v>3.476</v>
      </c>
      <c r="O35" s="299" t="s">
        <v>807</v>
      </c>
    </row>
    <row r="36" spans="1:15" ht="15.75">
      <c r="A36" s="297" t="s">
        <v>881</v>
      </c>
      <c r="B36" s="672" t="s">
        <v>1099</v>
      </c>
      <c r="C36" s="672"/>
      <c r="D36" s="672"/>
      <c r="E36" s="672"/>
      <c r="F36" s="672"/>
      <c r="G36" s="672"/>
      <c r="H36" s="672"/>
      <c r="I36" s="672"/>
      <c r="J36" s="672"/>
      <c r="K36" s="673"/>
      <c r="M36" s="696"/>
      <c r="N36" s="697"/>
      <c r="O36" s="698"/>
    </row>
    <row r="37" spans="1:15" ht="15.75">
      <c r="A37" s="298" t="s">
        <v>882</v>
      </c>
      <c r="B37" s="651" t="s">
        <v>2</v>
      </c>
      <c r="C37" s="651"/>
      <c r="D37" s="651"/>
      <c r="E37" s="651"/>
      <c r="F37" s="651"/>
      <c r="G37" s="651"/>
      <c r="H37" s="651"/>
      <c r="I37" s="651"/>
      <c r="J37" s="651"/>
      <c r="K37" s="652"/>
      <c r="M37" s="699"/>
      <c r="N37" s="700"/>
      <c r="O37" s="701"/>
    </row>
    <row r="38" spans="1:15" ht="15.75">
      <c r="A38" s="298" t="s">
        <v>883</v>
      </c>
      <c r="B38" s="18" t="s">
        <v>1100</v>
      </c>
      <c r="C38" s="18" t="s">
        <v>800</v>
      </c>
      <c r="D38" s="18" t="s">
        <v>771</v>
      </c>
      <c r="E38" s="18" t="s">
        <v>1101</v>
      </c>
      <c r="F38" s="18" t="s">
        <v>821</v>
      </c>
      <c r="G38" s="18">
        <v>1</v>
      </c>
      <c r="H38" s="18">
        <v>4.2000000000000003E-2</v>
      </c>
      <c r="I38" s="18">
        <f>G38*H38</f>
        <v>4.2000000000000003E-2</v>
      </c>
      <c r="J38" s="18" t="s">
        <v>807</v>
      </c>
      <c r="K38" s="299"/>
      <c r="M38" s="340">
        <f t="shared" si="1"/>
        <v>11</v>
      </c>
      <c r="N38" s="70">
        <f t="shared" si="2"/>
        <v>0.46200000000000002</v>
      </c>
      <c r="O38" s="299" t="s">
        <v>807</v>
      </c>
    </row>
    <row r="39" spans="1:15" ht="15.75">
      <c r="A39" s="298" t="s">
        <v>885</v>
      </c>
      <c r="B39" s="18" t="s">
        <v>1102</v>
      </c>
      <c r="C39" s="18" t="s">
        <v>1103</v>
      </c>
      <c r="D39" s="18" t="s">
        <v>771</v>
      </c>
      <c r="E39" s="18" t="s">
        <v>1104</v>
      </c>
      <c r="F39" s="18" t="s">
        <v>1105</v>
      </c>
      <c r="G39" s="31">
        <v>1</v>
      </c>
      <c r="H39" s="18">
        <v>2.1000000000000001E-2</v>
      </c>
      <c r="I39" s="18">
        <f t="shared" ref="I39:I40" si="5">G39*H39</f>
        <v>2.1000000000000001E-2</v>
      </c>
      <c r="J39" s="18" t="s">
        <v>807</v>
      </c>
      <c r="K39" s="308"/>
      <c r="M39" s="340">
        <f t="shared" si="1"/>
        <v>11</v>
      </c>
      <c r="N39" s="70">
        <f t="shared" si="2"/>
        <v>0.23100000000000001</v>
      </c>
      <c r="O39" s="299" t="s">
        <v>807</v>
      </c>
    </row>
    <row r="40" spans="1:15" ht="15.75">
      <c r="A40" s="298" t="s">
        <v>887</v>
      </c>
      <c r="B40" s="18" t="s">
        <v>1106</v>
      </c>
      <c r="C40" s="18" t="s">
        <v>1107</v>
      </c>
      <c r="D40" s="18" t="s">
        <v>771</v>
      </c>
      <c r="E40" s="18" t="s">
        <v>1101</v>
      </c>
      <c r="F40" s="18" t="s">
        <v>821</v>
      </c>
      <c r="G40" s="31">
        <v>1</v>
      </c>
      <c r="H40" s="18">
        <v>4.2000000000000003E-2</v>
      </c>
      <c r="I40" s="18">
        <f t="shared" si="5"/>
        <v>4.2000000000000003E-2</v>
      </c>
      <c r="J40" s="18" t="s">
        <v>807</v>
      </c>
      <c r="K40" s="308"/>
      <c r="M40" s="340">
        <f t="shared" si="1"/>
        <v>11</v>
      </c>
      <c r="N40" s="70">
        <f t="shared" si="2"/>
        <v>0.46200000000000002</v>
      </c>
      <c r="O40" s="299" t="s">
        <v>807</v>
      </c>
    </row>
    <row r="41" spans="1:15" ht="15.75">
      <c r="A41" s="298" t="s">
        <v>1108</v>
      </c>
      <c r="B41" s="651" t="s">
        <v>839</v>
      </c>
      <c r="C41" s="651"/>
      <c r="D41" s="651"/>
      <c r="E41" s="651"/>
      <c r="F41" s="651"/>
      <c r="G41" s="651"/>
      <c r="H41" s="651"/>
      <c r="I41" s="651"/>
      <c r="J41" s="651"/>
      <c r="K41" s="652"/>
      <c r="M41" s="685"/>
      <c r="N41" s="686"/>
      <c r="O41" s="687"/>
    </row>
    <row r="42" spans="1:15" ht="15.75">
      <c r="A42" s="298" t="s">
        <v>1109</v>
      </c>
      <c r="B42" s="334" t="s">
        <v>3</v>
      </c>
      <c r="C42" s="18" t="s">
        <v>236</v>
      </c>
      <c r="D42" s="18" t="s">
        <v>3</v>
      </c>
      <c r="E42" s="18" t="s">
        <v>3</v>
      </c>
      <c r="F42" s="18" t="s">
        <v>53</v>
      </c>
      <c r="G42" s="31">
        <v>1</v>
      </c>
      <c r="H42" s="31">
        <v>1</v>
      </c>
      <c r="I42" s="18">
        <f>G42*H42</f>
        <v>1</v>
      </c>
      <c r="J42" s="18" t="s">
        <v>841</v>
      </c>
      <c r="K42" s="335"/>
      <c r="M42" s="340">
        <f t="shared" si="1"/>
        <v>11</v>
      </c>
      <c r="N42" s="70">
        <f t="shared" si="2"/>
        <v>11</v>
      </c>
      <c r="O42" s="299" t="s">
        <v>841</v>
      </c>
    </row>
    <row r="43" spans="1:15" ht="16.5" thickBot="1">
      <c r="A43" s="300" t="s">
        <v>1110</v>
      </c>
      <c r="B43" s="344" t="s">
        <v>3</v>
      </c>
      <c r="C43" s="287" t="s">
        <v>1083</v>
      </c>
      <c r="D43" s="287" t="s">
        <v>3</v>
      </c>
      <c r="E43" s="287" t="s">
        <v>3</v>
      </c>
      <c r="F43" s="287" t="s">
        <v>3</v>
      </c>
      <c r="G43" s="345">
        <v>1</v>
      </c>
      <c r="H43" s="345">
        <v>1</v>
      </c>
      <c r="I43" s="287">
        <f>G43*H43</f>
        <v>1</v>
      </c>
      <c r="J43" s="287" t="s">
        <v>841</v>
      </c>
      <c r="K43" s="346"/>
      <c r="M43" s="340">
        <f t="shared" si="1"/>
        <v>11</v>
      </c>
      <c r="N43" s="70">
        <f t="shared" si="2"/>
        <v>11</v>
      </c>
      <c r="O43" s="299" t="s">
        <v>841</v>
      </c>
    </row>
    <row r="44" spans="1:15" ht="16.5" thickBot="1">
      <c r="A44" s="732" t="s">
        <v>2</v>
      </c>
      <c r="B44" s="733"/>
      <c r="C44" s="733"/>
      <c r="D44" s="733"/>
      <c r="E44" s="733"/>
      <c r="F44" s="733"/>
      <c r="G44" s="733"/>
      <c r="H44" s="733"/>
      <c r="I44" s="733"/>
      <c r="J44" s="733"/>
      <c r="K44" s="734"/>
      <c r="L44" s="294"/>
      <c r="M44" s="685"/>
      <c r="N44" s="686"/>
      <c r="O44" s="687"/>
    </row>
    <row r="45" spans="1:15" ht="32.25" thickBot="1">
      <c r="A45" s="371">
        <v>5</v>
      </c>
      <c r="B45" s="314" t="s">
        <v>1128</v>
      </c>
      <c r="C45" s="314" t="s">
        <v>1129</v>
      </c>
      <c r="D45" s="287" t="s">
        <v>777</v>
      </c>
      <c r="E45" s="287" t="s">
        <v>1056</v>
      </c>
      <c r="F45" s="287" t="s">
        <v>828</v>
      </c>
      <c r="G45" s="287">
        <v>1</v>
      </c>
      <c r="H45" s="287">
        <v>8.1000000000000003E-2</v>
      </c>
      <c r="I45" s="287">
        <f>G45*H45</f>
        <v>8.1000000000000003E-2</v>
      </c>
      <c r="J45" s="287" t="s">
        <v>807</v>
      </c>
      <c r="K45" s="349"/>
      <c r="L45" s="294"/>
      <c r="M45" s="340">
        <f t="shared" si="1"/>
        <v>11</v>
      </c>
      <c r="N45" s="70">
        <f t="shared" si="2"/>
        <v>0.89100000000000001</v>
      </c>
      <c r="O45" s="299" t="s">
        <v>807</v>
      </c>
    </row>
    <row r="46" spans="1:15" ht="16.5" thickBot="1">
      <c r="A46" s="669" t="s">
        <v>839</v>
      </c>
      <c r="B46" s="670"/>
      <c r="C46" s="670"/>
      <c r="D46" s="670"/>
      <c r="E46" s="670"/>
      <c r="F46" s="670"/>
      <c r="G46" s="670"/>
      <c r="H46" s="670"/>
      <c r="I46" s="670"/>
      <c r="J46" s="670"/>
      <c r="K46" s="671"/>
      <c r="L46" s="294"/>
      <c r="M46" s="685"/>
      <c r="N46" s="686"/>
      <c r="O46" s="687"/>
    </row>
    <row r="47" spans="1:15" ht="18.75" customHeight="1">
      <c r="A47" s="297" t="s">
        <v>902</v>
      </c>
      <c r="B47" s="309" t="s">
        <v>3</v>
      </c>
      <c r="C47" s="309" t="s">
        <v>1071</v>
      </c>
      <c r="D47" s="309" t="s">
        <v>3</v>
      </c>
      <c r="E47" s="309" t="s">
        <v>3</v>
      </c>
      <c r="F47" s="309" t="s">
        <v>3</v>
      </c>
      <c r="G47" s="309">
        <v>1</v>
      </c>
      <c r="H47" s="309">
        <v>1</v>
      </c>
      <c r="I47" s="309">
        <f t="shared" ref="I47:I99" si="6">G47*H47</f>
        <v>1</v>
      </c>
      <c r="J47" s="309" t="s">
        <v>841</v>
      </c>
      <c r="K47" s="310"/>
      <c r="L47" s="294"/>
      <c r="M47" s="340">
        <f t="shared" si="1"/>
        <v>11</v>
      </c>
      <c r="N47" s="70">
        <f t="shared" si="2"/>
        <v>11</v>
      </c>
      <c r="O47" s="299" t="s">
        <v>841</v>
      </c>
    </row>
    <row r="48" spans="1:15" ht="15.75">
      <c r="A48" s="298" t="s">
        <v>907</v>
      </c>
      <c r="B48" s="18" t="s">
        <v>3</v>
      </c>
      <c r="C48" s="18" t="s">
        <v>1073</v>
      </c>
      <c r="D48" s="18" t="s">
        <v>3</v>
      </c>
      <c r="E48" s="18" t="s">
        <v>3</v>
      </c>
      <c r="F48" s="18" t="s">
        <v>1074</v>
      </c>
      <c r="G48" s="18">
        <v>1</v>
      </c>
      <c r="H48" s="18">
        <v>1</v>
      </c>
      <c r="I48" s="18">
        <f t="shared" si="6"/>
        <v>1</v>
      </c>
      <c r="J48" s="18" t="s">
        <v>841</v>
      </c>
      <c r="K48" s="299"/>
      <c r="L48" s="294"/>
      <c r="M48" s="340">
        <f t="shared" si="1"/>
        <v>11</v>
      </c>
      <c r="N48" s="70">
        <f t="shared" si="2"/>
        <v>11</v>
      </c>
      <c r="O48" s="299" t="s">
        <v>841</v>
      </c>
    </row>
    <row r="49" spans="1:15" ht="15.75">
      <c r="A49" s="298" t="s">
        <v>912</v>
      </c>
      <c r="B49" s="18" t="s">
        <v>3</v>
      </c>
      <c r="C49" s="18" t="s">
        <v>780</v>
      </c>
      <c r="D49" s="18" t="s">
        <v>3</v>
      </c>
      <c r="E49" s="18" t="s">
        <v>3</v>
      </c>
      <c r="F49" s="18" t="s">
        <v>36</v>
      </c>
      <c r="G49" s="18">
        <v>1</v>
      </c>
      <c r="H49" s="18">
        <v>1</v>
      </c>
      <c r="I49" s="18">
        <f t="shared" si="6"/>
        <v>1</v>
      </c>
      <c r="J49" s="18" t="s">
        <v>841</v>
      </c>
      <c r="K49" s="299"/>
      <c r="L49" s="294"/>
      <c r="M49" s="340">
        <f t="shared" si="1"/>
        <v>11</v>
      </c>
      <c r="N49" s="70">
        <f t="shared" si="2"/>
        <v>11</v>
      </c>
      <c r="O49" s="299" t="s">
        <v>841</v>
      </c>
    </row>
    <row r="50" spans="1:15" ht="15.75">
      <c r="A50" s="298" t="s">
        <v>913</v>
      </c>
      <c r="B50" s="18" t="s">
        <v>3</v>
      </c>
      <c r="C50" s="18" t="s">
        <v>1087</v>
      </c>
      <c r="D50" s="18" t="s">
        <v>3</v>
      </c>
      <c r="E50" s="18" t="s">
        <v>3</v>
      </c>
      <c r="F50" s="18" t="s">
        <v>1088</v>
      </c>
      <c r="G50" s="18">
        <v>2</v>
      </c>
      <c r="H50" s="18">
        <v>1</v>
      </c>
      <c r="I50" s="18">
        <f t="shared" si="6"/>
        <v>2</v>
      </c>
      <c r="J50" s="18" t="s">
        <v>841</v>
      </c>
      <c r="K50" s="299"/>
      <c r="L50" s="294"/>
      <c r="M50" s="340">
        <f t="shared" si="1"/>
        <v>11</v>
      </c>
      <c r="N50" s="70">
        <f t="shared" si="2"/>
        <v>22</v>
      </c>
      <c r="O50" s="299" t="s">
        <v>841</v>
      </c>
    </row>
    <row r="51" spans="1:15" ht="15.75">
      <c r="A51" s="298" t="s">
        <v>914</v>
      </c>
      <c r="B51" s="18" t="s">
        <v>3</v>
      </c>
      <c r="C51" s="18" t="s">
        <v>1076</v>
      </c>
      <c r="D51" s="18" t="s">
        <v>3</v>
      </c>
      <c r="E51" s="18" t="s">
        <v>3</v>
      </c>
      <c r="F51" s="18" t="s">
        <v>1077</v>
      </c>
      <c r="G51" s="18">
        <v>1</v>
      </c>
      <c r="H51" s="18">
        <v>1</v>
      </c>
      <c r="I51" s="18">
        <f t="shared" si="6"/>
        <v>1</v>
      </c>
      <c r="J51" s="18" t="s">
        <v>841</v>
      </c>
      <c r="K51" s="299"/>
      <c r="L51" s="294"/>
      <c r="M51" s="340">
        <f t="shared" si="1"/>
        <v>11</v>
      </c>
      <c r="N51" s="70">
        <f t="shared" si="2"/>
        <v>11</v>
      </c>
      <c r="O51" s="299" t="s">
        <v>841</v>
      </c>
    </row>
    <row r="52" spans="1:15" ht="32.25" thickBot="1">
      <c r="A52" s="298" t="s">
        <v>916</v>
      </c>
      <c r="B52" s="18" t="s">
        <v>3</v>
      </c>
      <c r="C52" s="18" t="s">
        <v>1091</v>
      </c>
      <c r="D52" s="18" t="s">
        <v>3</v>
      </c>
      <c r="E52" s="18" t="s">
        <v>3</v>
      </c>
      <c r="F52" s="375" t="s">
        <v>1092</v>
      </c>
      <c r="G52" s="18">
        <v>1</v>
      </c>
      <c r="H52" s="18">
        <v>1</v>
      </c>
      <c r="I52" s="18">
        <f t="shared" si="6"/>
        <v>1</v>
      </c>
      <c r="J52" s="18" t="s">
        <v>841</v>
      </c>
      <c r="K52" s="299"/>
      <c r="L52" s="294"/>
      <c r="M52" s="340">
        <f t="shared" si="1"/>
        <v>11</v>
      </c>
      <c r="N52" s="70">
        <f t="shared" si="2"/>
        <v>11</v>
      </c>
      <c r="O52" s="299" t="s">
        <v>841</v>
      </c>
    </row>
    <row r="53" spans="1:15" ht="15.75">
      <c r="A53" s="298" t="s">
        <v>918</v>
      </c>
      <c r="B53" s="764" t="s">
        <v>800</v>
      </c>
      <c r="C53" s="765"/>
      <c r="D53" s="765"/>
      <c r="E53" s="765"/>
      <c r="F53" s="765"/>
      <c r="G53" s="765"/>
      <c r="H53" s="765"/>
      <c r="I53" s="765"/>
      <c r="J53" s="765"/>
      <c r="K53" s="766"/>
      <c r="L53" s="294"/>
      <c r="M53" s="685"/>
      <c r="N53" s="686"/>
      <c r="O53" s="687"/>
    </row>
    <row r="54" spans="1:15" ht="21.75" customHeight="1">
      <c r="A54" s="298" t="s">
        <v>1269</v>
      </c>
      <c r="B54" s="18" t="s">
        <v>1331</v>
      </c>
      <c r="C54" s="18" t="s">
        <v>1271</v>
      </c>
      <c r="D54" s="18" t="s">
        <v>3</v>
      </c>
      <c r="E54" s="18" t="s">
        <v>3</v>
      </c>
      <c r="F54" s="18" t="s">
        <v>3</v>
      </c>
      <c r="G54" s="18">
        <v>1</v>
      </c>
      <c r="H54" s="18">
        <v>1</v>
      </c>
      <c r="I54" s="18">
        <f t="shared" ref="I54:I82" si="7">G54*H54</f>
        <v>1</v>
      </c>
      <c r="J54" s="18" t="s">
        <v>841</v>
      </c>
      <c r="K54" s="299" t="s">
        <v>1272</v>
      </c>
      <c r="L54" s="294"/>
      <c r="M54" s="340">
        <f t="shared" si="1"/>
        <v>11</v>
      </c>
      <c r="N54" s="70">
        <f t="shared" si="2"/>
        <v>11</v>
      </c>
      <c r="O54" s="299" t="s">
        <v>841</v>
      </c>
    </row>
    <row r="55" spans="1:15" ht="21.75" customHeight="1">
      <c r="A55" s="298" t="s">
        <v>1273</v>
      </c>
      <c r="B55" s="18" t="s">
        <v>1332</v>
      </c>
      <c r="C55" s="18" t="s">
        <v>1275</v>
      </c>
      <c r="D55" s="18" t="s">
        <v>3</v>
      </c>
      <c r="E55" s="18" t="s">
        <v>3</v>
      </c>
      <c r="F55" s="18" t="s">
        <v>3</v>
      </c>
      <c r="G55" s="18">
        <v>1</v>
      </c>
      <c r="H55" s="18">
        <v>1</v>
      </c>
      <c r="I55" s="18">
        <f t="shared" si="7"/>
        <v>1</v>
      </c>
      <c r="J55" s="18" t="s">
        <v>841</v>
      </c>
      <c r="K55" s="299" t="s">
        <v>1272</v>
      </c>
      <c r="L55" s="294"/>
      <c r="M55" s="340">
        <f t="shared" si="1"/>
        <v>11</v>
      </c>
      <c r="N55" s="70">
        <f t="shared" si="2"/>
        <v>11</v>
      </c>
      <c r="O55" s="299" t="s">
        <v>841</v>
      </c>
    </row>
    <row r="56" spans="1:15" ht="21.75" customHeight="1">
      <c r="A56" s="298" t="s">
        <v>1276</v>
      </c>
      <c r="B56" s="18" t="s">
        <v>1333</v>
      </c>
      <c r="C56" s="18" t="s">
        <v>1111</v>
      </c>
      <c r="D56" s="18" t="s">
        <v>3</v>
      </c>
      <c r="E56" s="18" t="s">
        <v>3</v>
      </c>
      <c r="F56" s="18" t="s">
        <v>3</v>
      </c>
      <c r="G56" s="18">
        <v>1</v>
      </c>
      <c r="H56" s="18">
        <v>1</v>
      </c>
      <c r="I56" s="18">
        <f t="shared" si="7"/>
        <v>1</v>
      </c>
      <c r="J56" s="18" t="s">
        <v>841</v>
      </c>
      <c r="K56" s="299" t="s">
        <v>1272</v>
      </c>
      <c r="L56" s="294"/>
      <c r="M56" s="340">
        <f t="shared" si="1"/>
        <v>11</v>
      </c>
      <c r="N56" s="70">
        <f t="shared" si="2"/>
        <v>11</v>
      </c>
      <c r="O56" s="299" t="s">
        <v>841</v>
      </c>
    </row>
    <row r="57" spans="1:15" ht="21.75" customHeight="1">
      <c r="A57" s="298" t="s">
        <v>1278</v>
      </c>
      <c r="B57" s="18" t="s">
        <v>1334</v>
      </c>
      <c r="C57" s="18" t="s">
        <v>1111</v>
      </c>
      <c r="D57" s="18" t="s">
        <v>3</v>
      </c>
      <c r="E57" s="18" t="s">
        <v>3</v>
      </c>
      <c r="F57" s="18" t="s">
        <v>3</v>
      </c>
      <c r="G57" s="18">
        <v>1</v>
      </c>
      <c r="H57" s="18">
        <v>1</v>
      </c>
      <c r="I57" s="18">
        <f t="shared" si="7"/>
        <v>1</v>
      </c>
      <c r="J57" s="18" t="s">
        <v>841</v>
      </c>
      <c r="K57" s="299" t="s">
        <v>1272</v>
      </c>
      <c r="L57" s="294"/>
      <c r="M57" s="340">
        <f t="shared" si="1"/>
        <v>11</v>
      </c>
      <c r="N57" s="70">
        <f t="shared" si="2"/>
        <v>11</v>
      </c>
      <c r="O57" s="299" t="s">
        <v>841</v>
      </c>
    </row>
    <row r="58" spans="1:15" ht="21.75" customHeight="1">
      <c r="A58" s="298" t="s">
        <v>1280</v>
      </c>
      <c r="B58" s="18" t="s">
        <v>1281</v>
      </c>
      <c r="C58" s="18" t="s">
        <v>1048</v>
      </c>
      <c r="D58" s="18" t="s">
        <v>3</v>
      </c>
      <c r="E58" s="18" t="s">
        <v>3</v>
      </c>
      <c r="F58" s="18" t="s">
        <v>3</v>
      </c>
      <c r="G58" s="18">
        <v>1</v>
      </c>
      <c r="H58" s="18">
        <v>1</v>
      </c>
      <c r="I58" s="18">
        <f t="shared" si="7"/>
        <v>1</v>
      </c>
      <c r="J58" s="18" t="s">
        <v>841</v>
      </c>
      <c r="K58" s="299" t="s">
        <v>1272</v>
      </c>
      <c r="L58" s="294"/>
      <c r="M58" s="340">
        <f t="shared" si="1"/>
        <v>11</v>
      </c>
      <c r="N58" s="70">
        <f t="shared" si="2"/>
        <v>11</v>
      </c>
      <c r="O58" s="299" t="s">
        <v>841</v>
      </c>
    </row>
    <row r="59" spans="1:15" ht="15.75">
      <c r="A59" s="298" t="s">
        <v>1282</v>
      </c>
      <c r="B59" s="18" t="s">
        <v>3</v>
      </c>
      <c r="C59" s="18" t="s">
        <v>1283</v>
      </c>
      <c r="D59" s="18" t="s">
        <v>3</v>
      </c>
      <c r="E59" s="18" t="s">
        <v>3</v>
      </c>
      <c r="F59" s="18" t="s">
        <v>1143</v>
      </c>
      <c r="G59" s="18">
        <v>2</v>
      </c>
      <c r="H59" s="18">
        <v>1</v>
      </c>
      <c r="I59" s="18">
        <f t="shared" si="7"/>
        <v>2</v>
      </c>
      <c r="J59" s="18" t="s">
        <v>841</v>
      </c>
      <c r="K59" s="299"/>
      <c r="L59" s="294"/>
      <c r="M59" s="340">
        <f t="shared" si="1"/>
        <v>11</v>
      </c>
      <c r="N59" s="70">
        <f t="shared" si="2"/>
        <v>22</v>
      </c>
      <c r="O59" s="299" t="s">
        <v>841</v>
      </c>
    </row>
    <row r="60" spans="1:15" ht="15.75">
      <c r="A60" s="298" t="s">
        <v>1284</v>
      </c>
      <c r="B60" s="18" t="s">
        <v>3</v>
      </c>
      <c r="C60" s="34" t="s">
        <v>1285</v>
      </c>
      <c r="D60" s="18" t="s">
        <v>3</v>
      </c>
      <c r="E60" s="18" t="s">
        <v>3</v>
      </c>
      <c r="F60" s="18" t="s">
        <v>1143</v>
      </c>
      <c r="G60" s="18">
        <v>2</v>
      </c>
      <c r="H60" s="18">
        <v>1</v>
      </c>
      <c r="I60" s="18">
        <f t="shared" si="7"/>
        <v>2</v>
      </c>
      <c r="J60" s="18" t="s">
        <v>841</v>
      </c>
      <c r="K60" s="315"/>
      <c r="L60" s="294"/>
      <c r="M60" s="340">
        <f t="shared" si="1"/>
        <v>11</v>
      </c>
      <c r="N60" s="70">
        <f t="shared" si="2"/>
        <v>22</v>
      </c>
      <c r="O60" s="299" t="s">
        <v>841</v>
      </c>
    </row>
    <row r="61" spans="1:15" ht="15.75">
      <c r="A61" s="298" t="s">
        <v>1286</v>
      </c>
      <c r="B61" s="18" t="s">
        <v>3</v>
      </c>
      <c r="C61" s="18" t="s">
        <v>1287</v>
      </c>
      <c r="D61" s="34" t="s">
        <v>3</v>
      </c>
      <c r="E61" s="34" t="s">
        <v>3</v>
      </c>
      <c r="F61" s="18" t="s">
        <v>1143</v>
      </c>
      <c r="G61" s="34">
        <v>2</v>
      </c>
      <c r="H61" s="34">
        <v>1</v>
      </c>
      <c r="I61" s="34">
        <f t="shared" si="7"/>
        <v>2</v>
      </c>
      <c r="J61" s="18" t="s">
        <v>841</v>
      </c>
      <c r="K61" s="299"/>
      <c r="L61" s="294"/>
      <c r="M61" s="340">
        <f t="shared" si="1"/>
        <v>11</v>
      </c>
      <c r="N61" s="70">
        <f t="shared" si="2"/>
        <v>22</v>
      </c>
      <c r="O61" s="299" t="s">
        <v>841</v>
      </c>
    </row>
    <row r="62" spans="1:15" ht="15.75">
      <c r="A62" s="298" t="s">
        <v>1288</v>
      </c>
      <c r="B62" s="18" t="s">
        <v>3</v>
      </c>
      <c r="C62" s="18" t="s">
        <v>1289</v>
      </c>
      <c r="D62" s="34" t="s">
        <v>3</v>
      </c>
      <c r="E62" s="34" t="s">
        <v>3</v>
      </c>
      <c r="F62" s="18" t="s">
        <v>1290</v>
      </c>
      <c r="G62" s="34">
        <v>10</v>
      </c>
      <c r="H62" s="34">
        <v>1</v>
      </c>
      <c r="I62" s="34">
        <f t="shared" si="7"/>
        <v>10</v>
      </c>
      <c r="J62" s="18" t="s">
        <v>841</v>
      </c>
      <c r="K62" s="299"/>
      <c r="L62" s="294"/>
      <c r="M62" s="340">
        <f t="shared" si="1"/>
        <v>11</v>
      </c>
      <c r="N62" s="70">
        <f t="shared" si="2"/>
        <v>110</v>
      </c>
      <c r="O62" s="299" t="s">
        <v>841</v>
      </c>
    </row>
    <row r="63" spans="1:15" ht="15.75">
      <c r="A63" s="298" t="s">
        <v>1291</v>
      </c>
      <c r="B63" s="18" t="s">
        <v>3</v>
      </c>
      <c r="C63" s="18" t="s">
        <v>1292</v>
      </c>
      <c r="D63" s="34" t="s">
        <v>3</v>
      </c>
      <c r="E63" s="34" t="s">
        <v>3</v>
      </c>
      <c r="F63" s="18" t="s">
        <v>120</v>
      </c>
      <c r="G63" s="34">
        <v>4</v>
      </c>
      <c r="H63" s="34">
        <v>1</v>
      </c>
      <c r="I63" s="34">
        <f t="shared" si="7"/>
        <v>4</v>
      </c>
      <c r="J63" s="18" t="s">
        <v>841</v>
      </c>
      <c r="K63" s="299"/>
      <c r="L63" s="294"/>
      <c r="M63" s="340">
        <f t="shared" si="1"/>
        <v>11</v>
      </c>
      <c r="N63" s="70">
        <f t="shared" si="2"/>
        <v>44</v>
      </c>
      <c r="O63" s="299" t="s">
        <v>841</v>
      </c>
    </row>
    <row r="64" spans="1:15" ht="16.5" thickBot="1">
      <c r="A64" s="298" t="s">
        <v>1293</v>
      </c>
      <c r="B64" s="18" t="s">
        <v>3</v>
      </c>
      <c r="C64" s="18" t="s">
        <v>1294</v>
      </c>
      <c r="D64" s="34" t="s">
        <v>3</v>
      </c>
      <c r="E64" s="34" t="s">
        <v>3</v>
      </c>
      <c r="F64" s="18" t="s">
        <v>1290</v>
      </c>
      <c r="G64" s="34">
        <v>8</v>
      </c>
      <c r="H64" s="34">
        <v>1</v>
      </c>
      <c r="I64" s="34">
        <f t="shared" si="7"/>
        <v>8</v>
      </c>
      <c r="J64" s="18" t="s">
        <v>841</v>
      </c>
      <c r="K64" s="299"/>
      <c r="L64" s="294"/>
      <c r="M64" s="340">
        <f t="shared" si="1"/>
        <v>11</v>
      </c>
      <c r="N64" s="70">
        <f t="shared" si="2"/>
        <v>88</v>
      </c>
      <c r="O64" s="299" t="s">
        <v>841</v>
      </c>
    </row>
    <row r="65" spans="1:15" ht="16.5" thickBot="1">
      <c r="A65" s="373"/>
      <c r="B65" s="726" t="s">
        <v>1138</v>
      </c>
      <c r="C65" s="727"/>
      <c r="D65" s="727"/>
      <c r="E65" s="727"/>
      <c r="F65" s="727"/>
      <c r="G65" s="727"/>
      <c r="H65" s="727"/>
      <c r="I65" s="727"/>
      <c r="J65" s="727"/>
      <c r="K65" s="728"/>
      <c r="L65" s="294"/>
      <c r="M65" s="685"/>
      <c r="N65" s="686"/>
      <c r="O65" s="687"/>
    </row>
    <row r="66" spans="1:15" ht="31.5">
      <c r="A66" s="297" t="s">
        <v>920</v>
      </c>
      <c r="B66" s="309" t="s">
        <v>3</v>
      </c>
      <c r="C66" s="309" t="s">
        <v>1152</v>
      </c>
      <c r="D66" s="309" t="s">
        <v>3</v>
      </c>
      <c r="E66" s="309" t="s">
        <v>3</v>
      </c>
      <c r="F66" s="374" t="s">
        <v>1295</v>
      </c>
      <c r="G66" s="309">
        <v>1</v>
      </c>
      <c r="H66" s="309">
        <v>1</v>
      </c>
      <c r="I66" s="309">
        <f t="shared" ref="I66:I80" si="8">G66*H66</f>
        <v>1</v>
      </c>
      <c r="J66" s="309" t="s">
        <v>841</v>
      </c>
      <c r="K66" s="310"/>
      <c r="L66" s="294"/>
      <c r="M66" s="340">
        <f t="shared" si="1"/>
        <v>11</v>
      </c>
      <c r="N66" s="70">
        <f t="shared" ref="N66:N80" si="9">M66*I66</f>
        <v>11</v>
      </c>
      <c r="O66" s="299" t="s">
        <v>841</v>
      </c>
    </row>
    <row r="67" spans="1:15" ht="31.5">
      <c r="A67" s="302" t="s">
        <v>922</v>
      </c>
      <c r="B67" s="18" t="s">
        <v>3</v>
      </c>
      <c r="C67" s="294" t="s">
        <v>1296</v>
      </c>
      <c r="D67" s="18" t="s">
        <v>3</v>
      </c>
      <c r="E67" s="18" t="s">
        <v>3</v>
      </c>
      <c r="F67" s="375" t="s">
        <v>1297</v>
      </c>
      <c r="G67" s="18">
        <v>2</v>
      </c>
      <c r="H67" s="18">
        <v>1</v>
      </c>
      <c r="I67" s="18">
        <f t="shared" si="8"/>
        <v>2</v>
      </c>
      <c r="J67" s="18" t="s">
        <v>841</v>
      </c>
      <c r="K67" s="299"/>
      <c r="L67" s="294"/>
      <c r="M67" s="340">
        <f t="shared" si="1"/>
        <v>11</v>
      </c>
      <c r="N67" s="70">
        <f t="shared" si="9"/>
        <v>22</v>
      </c>
      <c r="O67" s="299" t="s">
        <v>841</v>
      </c>
    </row>
    <row r="68" spans="1:15" ht="15.75">
      <c r="A68" s="302" t="s">
        <v>924</v>
      </c>
      <c r="B68" s="18" t="s">
        <v>3</v>
      </c>
      <c r="C68" s="18" t="s">
        <v>1298</v>
      </c>
      <c r="D68" s="18" t="s">
        <v>3</v>
      </c>
      <c r="E68" s="18" t="s">
        <v>3</v>
      </c>
      <c r="F68" s="18" t="s">
        <v>3</v>
      </c>
      <c r="G68" s="18">
        <v>2</v>
      </c>
      <c r="H68" s="18">
        <v>1</v>
      </c>
      <c r="I68" s="18">
        <f t="shared" si="8"/>
        <v>2</v>
      </c>
      <c r="J68" s="18" t="s">
        <v>841</v>
      </c>
      <c r="K68" s="299"/>
      <c r="L68" s="294"/>
      <c r="M68" s="340">
        <f t="shared" si="1"/>
        <v>11</v>
      </c>
      <c r="N68" s="70">
        <f t="shared" si="9"/>
        <v>22</v>
      </c>
      <c r="O68" s="299" t="s">
        <v>841</v>
      </c>
    </row>
    <row r="69" spans="1:15" ht="15.75">
      <c r="A69" s="302" t="s">
        <v>926</v>
      </c>
      <c r="B69" s="18" t="s">
        <v>3</v>
      </c>
      <c r="C69" s="18" t="s">
        <v>1299</v>
      </c>
      <c r="D69" s="18" t="s">
        <v>3</v>
      </c>
      <c r="E69" s="18" t="s">
        <v>3</v>
      </c>
      <c r="F69" s="18" t="s">
        <v>1300</v>
      </c>
      <c r="G69" s="18">
        <v>6</v>
      </c>
      <c r="H69" s="18">
        <v>1</v>
      </c>
      <c r="I69" s="18">
        <f t="shared" si="8"/>
        <v>6</v>
      </c>
      <c r="J69" s="18" t="s">
        <v>841</v>
      </c>
      <c r="K69" s="299"/>
      <c r="L69" s="294"/>
      <c r="M69" s="340">
        <f t="shared" si="1"/>
        <v>11</v>
      </c>
      <c r="N69" s="70">
        <f t="shared" si="9"/>
        <v>66</v>
      </c>
      <c r="O69" s="299" t="s">
        <v>841</v>
      </c>
    </row>
    <row r="70" spans="1:15" ht="15.75">
      <c r="A70" s="302" t="s">
        <v>927</v>
      </c>
      <c r="B70" s="18" t="s">
        <v>3</v>
      </c>
      <c r="C70" s="18" t="s">
        <v>1301</v>
      </c>
      <c r="D70" s="18" t="s">
        <v>3</v>
      </c>
      <c r="E70" s="18" t="s">
        <v>3</v>
      </c>
      <c r="F70" s="18" t="s">
        <v>3</v>
      </c>
      <c r="G70" s="18">
        <v>1</v>
      </c>
      <c r="H70" s="18">
        <v>1</v>
      </c>
      <c r="I70" s="18">
        <f t="shared" si="8"/>
        <v>1</v>
      </c>
      <c r="J70" s="18" t="s">
        <v>841</v>
      </c>
      <c r="K70" s="299"/>
      <c r="L70" s="294"/>
      <c r="M70" s="340">
        <f t="shared" si="1"/>
        <v>11</v>
      </c>
      <c r="N70" s="70">
        <f t="shared" si="9"/>
        <v>11</v>
      </c>
      <c r="O70" s="299" t="s">
        <v>841</v>
      </c>
    </row>
    <row r="71" spans="1:15" ht="15.75">
      <c r="A71" s="302" t="s">
        <v>928</v>
      </c>
      <c r="B71" s="18" t="s">
        <v>3</v>
      </c>
      <c r="C71" s="18" t="s">
        <v>1302</v>
      </c>
      <c r="D71" s="18" t="s">
        <v>3</v>
      </c>
      <c r="E71" s="18" t="s">
        <v>3</v>
      </c>
      <c r="F71" s="18" t="s">
        <v>3</v>
      </c>
      <c r="G71" s="18">
        <v>2</v>
      </c>
      <c r="H71" s="18">
        <v>1</v>
      </c>
      <c r="I71" s="18">
        <f t="shared" si="8"/>
        <v>2</v>
      </c>
      <c r="J71" s="18" t="s">
        <v>841</v>
      </c>
      <c r="K71" s="299"/>
      <c r="L71" s="294"/>
      <c r="M71" s="340">
        <f t="shared" si="1"/>
        <v>11</v>
      </c>
      <c r="N71" s="70">
        <f t="shared" si="9"/>
        <v>22</v>
      </c>
      <c r="O71" s="299" t="s">
        <v>841</v>
      </c>
    </row>
    <row r="72" spans="1:15" ht="15.75">
      <c r="A72" s="302" t="s">
        <v>929</v>
      </c>
      <c r="B72" s="18" t="s">
        <v>3</v>
      </c>
      <c r="C72" s="18" t="s">
        <v>1303</v>
      </c>
      <c r="D72" s="18" t="s">
        <v>3</v>
      </c>
      <c r="E72" s="18" t="s">
        <v>3</v>
      </c>
      <c r="F72" s="18" t="s">
        <v>1304</v>
      </c>
      <c r="G72" s="18">
        <v>1.6</v>
      </c>
      <c r="H72" s="18">
        <v>1</v>
      </c>
      <c r="I72" s="18">
        <f t="shared" si="8"/>
        <v>1.6</v>
      </c>
      <c r="J72" s="18" t="s">
        <v>1151</v>
      </c>
      <c r="K72" s="299"/>
      <c r="L72" s="294"/>
      <c r="M72" s="340">
        <f t="shared" si="1"/>
        <v>11</v>
      </c>
      <c r="N72" s="70">
        <f t="shared" si="9"/>
        <v>17.600000000000001</v>
      </c>
      <c r="O72" s="299" t="s">
        <v>1151</v>
      </c>
    </row>
    <row r="73" spans="1:15" ht="15.75">
      <c r="A73" s="302" t="s">
        <v>931</v>
      </c>
      <c r="B73" s="18" t="s">
        <v>3</v>
      </c>
      <c r="C73" s="18" t="s">
        <v>1305</v>
      </c>
      <c r="D73" s="18" t="s">
        <v>3</v>
      </c>
      <c r="E73" s="18" t="s">
        <v>3</v>
      </c>
      <c r="F73" s="18" t="s">
        <v>1304</v>
      </c>
      <c r="G73" s="18">
        <v>0.55000000000000004</v>
      </c>
      <c r="H73" s="18">
        <v>1</v>
      </c>
      <c r="I73" s="18">
        <f t="shared" si="8"/>
        <v>0.55000000000000004</v>
      </c>
      <c r="J73" s="18" t="s">
        <v>1151</v>
      </c>
      <c r="K73" s="299"/>
      <c r="L73" s="294"/>
      <c r="M73" s="340">
        <f t="shared" si="1"/>
        <v>11</v>
      </c>
      <c r="N73" s="70">
        <f t="shared" si="9"/>
        <v>6.0500000000000007</v>
      </c>
      <c r="O73" s="299" t="s">
        <v>1151</v>
      </c>
    </row>
    <row r="74" spans="1:15" ht="31.5">
      <c r="A74" s="302" t="s">
        <v>932</v>
      </c>
      <c r="B74" s="18" t="s">
        <v>3</v>
      </c>
      <c r="C74" s="18" t="s">
        <v>1306</v>
      </c>
      <c r="D74" s="18" t="s">
        <v>3</v>
      </c>
      <c r="E74" s="18" t="s">
        <v>3</v>
      </c>
      <c r="F74" s="18" t="s">
        <v>1304</v>
      </c>
      <c r="G74" s="18">
        <v>0.55000000000000004</v>
      </c>
      <c r="H74" s="18">
        <v>1</v>
      </c>
      <c r="I74" s="18">
        <f t="shared" si="8"/>
        <v>0.55000000000000004</v>
      </c>
      <c r="J74" s="18" t="s">
        <v>1151</v>
      </c>
      <c r="K74" s="299"/>
      <c r="L74" s="294"/>
      <c r="M74" s="340">
        <f t="shared" si="1"/>
        <v>11</v>
      </c>
      <c r="N74" s="70">
        <f t="shared" si="9"/>
        <v>6.0500000000000007</v>
      </c>
      <c r="O74" s="299" t="s">
        <v>1151</v>
      </c>
    </row>
    <row r="75" spans="1:15" ht="15.75">
      <c r="A75" s="302" t="s">
        <v>933</v>
      </c>
      <c r="B75" s="18" t="s">
        <v>3</v>
      </c>
      <c r="C75" s="18" t="s">
        <v>1307</v>
      </c>
      <c r="D75" s="18" t="s">
        <v>3</v>
      </c>
      <c r="E75" s="18" t="s">
        <v>3</v>
      </c>
      <c r="F75" s="18" t="s">
        <v>1308</v>
      </c>
      <c r="G75" s="18">
        <v>0.3</v>
      </c>
      <c r="H75" s="18">
        <v>1</v>
      </c>
      <c r="I75" s="18">
        <f t="shared" si="8"/>
        <v>0.3</v>
      </c>
      <c r="J75" s="18" t="s">
        <v>1151</v>
      </c>
      <c r="K75" s="299"/>
      <c r="L75" s="294"/>
      <c r="M75" s="340">
        <f t="shared" si="1"/>
        <v>11</v>
      </c>
      <c r="N75" s="70">
        <f t="shared" si="9"/>
        <v>3.3</v>
      </c>
      <c r="O75" s="299" t="s">
        <v>1151</v>
      </c>
    </row>
    <row r="76" spans="1:15" ht="31.5">
      <c r="A76" s="302" t="s">
        <v>934</v>
      </c>
      <c r="B76" s="18" t="s">
        <v>3</v>
      </c>
      <c r="C76" s="18" t="s">
        <v>1309</v>
      </c>
      <c r="D76" s="18" t="s">
        <v>3</v>
      </c>
      <c r="E76" s="18" t="s">
        <v>3</v>
      </c>
      <c r="F76" s="18" t="s">
        <v>3</v>
      </c>
      <c r="G76" s="18">
        <v>0.05</v>
      </c>
      <c r="H76" s="18">
        <v>1</v>
      </c>
      <c r="I76" s="18">
        <f t="shared" si="8"/>
        <v>0.05</v>
      </c>
      <c r="J76" s="18" t="s">
        <v>841</v>
      </c>
      <c r="K76" s="299"/>
      <c r="L76" s="294"/>
      <c r="M76" s="340">
        <f t="shared" si="1"/>
        <v>11</v>
      </c>
      <c r="N76" s="70">
        <f t="shared" si="9"/>
        <v>0.55000000000000004</v>
      </c>
      <c r="O76" s="299" t="s">
        <v>841</v>
      </c>
    </row>
    <row r="77" spans="1:15" ht="15.75">
      <c r="A77" s="302" t="s">
        <v>936</v>
      </c>
      <c r="B77" s="18" t="s">
        <v>3</v>
      </c>
      <c r="C77" s="18" t="s">
        <v>1310</v>
      </c>
      <c r="D77" s="18" t="s">
        <v>3</v>
      </c>
      <c r="E77" s="18" t="s">
        <v>3</v>
      </c>
      <c r="F77" s="18" t="s">
        <v>3</v>
      </c>
      <c r="G77" s="18">
        <v>5</v>
      </c>
      <c r="H77" s="18">
        <v>1</v>
      </c>
      <c r="I77" s="18">
        <f t="shared" si="8"/>
        <v>5</v>
      </c>
      <c r="J77" s="18" t="s">
        <v>841</v>
      </c>
      <c r="K77" s="299"/>
      <c r="L77" s="294"/>
      <c r="M77" s="340">
        <f t="shared" si="1"/>
        <v>11</v>
      </c>
      <c r="N77" s="70">
        <f t="shared" si="9"/>
        <v>55</v>
      </c>
      <c r="O77" s="299" t="s">
        <v>841</v>
      </c>
    </row>
    <row r="78" spans="1:15" ht="15.75">
      <c r="A78" s="302" t="s">
        <v>939</v>
      </c>
      <c r="B78" s="18" t="s">
        <v>3</v>
      </c>
      <c r="C78" s="18" t="s">
        <v>1311</v>
      </c>
      <c r="D78" s="18" t="s">
        <v>3</v>
      </c>
      <c r="E78" s="18" t="s">
        <v>3</v>
      </c>
      <c r="F78" s="18" t="s">
        <v>1312</v>
      </c>
      <c r="G78" s="18">
        <v>1</v>
      </c>
      <c r="H78" s="18">
        <v>1</v>
      </c>
      <c r="I78" s="18">
        <f t="shared" si="8"/>
        <v>1</v>
      </c>
      <c r="J78" s="18" t="s">
        <v>841</v>
      </c>
      <c r="K78" s="299"/>
      <c r="L78" s="294"/>
      <c r="M78" s="340">
        <f t="shared" si="1"/>
        <v>11</v>
      </c>
      <c r="N78" s="70">
        <f t="shared" si="9"/>
        <v>11</v>
      </c>
      <c r="O78" s="299" t="s">
        <v>841</v>
      </c>
    </row>
    <row r="79" spans="1:15" ht="15.75">
      <c r="A79" s="302" t="s">
        <v>1160</v>
      </c>
      <c r="B79" s="18" t="s">
        <v>3</v>
      </c>
      <c r="C79" s="18" t="s">
        <v>1233</v>
      </c>
      <c r="D79" s="18" t="s">
        <v>3</v>
      </c>
      <c r="E79" s="18" t="s">
        <v>3</v>
      </c>
      <c r="F79" s="18" t="s">
        <v>120</v>
      </c>
      <c r="G79" s="18">
        <v>1</v>
      </c>
      <c r="H79" s="18">
        <v>1</v>
      </c>
      <c r="I79" s="18">
        <f t="shared" si="8"/>
        <v>1</v>
      </c>
      <c r="J79" s="18" t="s">
        <v>841</v>
      </c>
      <c r="K79" s="299"/>
      <c r="L79" s="294"/>
      <c r="M79" s="340">
        <f t="shared" si="1"/>
        <v>11</v>
      </c>
      <c r="N79" s="70">
        <f t="shared" si="9"/>
        <v>11</v>
      </c>
      <c r="O79" s="299" t="s">
        <v>841</v>
      </c>
    </row>
    <row r="80" spans="1:15" ht="15.75">
      <c r="A80" s="302" t="s">
        <v>940</v>
      </c>
      <c r="B80" s="18" t="s">
        <v>3</v>
      </c>
      <c r="C80" s="18" t="s">
        <v>1313</v>
      </c>
      <c r="D80" s="18" t="s">
        <v>3</v>
      </c>
      <c r="E80" s="18" t="s">
        <v>3</v>
      </c>
      <c r="F80" s="18" t="s">
        <v>1122</v>
      </c>
      <c r="G80" s="18">
        <v>1</v>
      </c>
      <c r="H80" s="18">
        <v>1</v>
      </c>
      <c r="I80" s="18">
        <f t="shared" si="8"/>
        <v>1</v>
      </c>
      <c r="J80" s="18" t="s">
        <v>841</v>
      </c>
      <c r="K80" s="299"/>
      <c r="L80" s="294"/>
      <c r="M80" s="340">
        <f t="shared" si="1"/>
        <v>11</v>
      </c>
      <c r="N80" s="70">
        <f t="shared" si="9"/>
        <v>11</v>
      </c>
      <c r="O80" s="299" t="s">
        <v>841</v>
      </c>
    </row>
    <row r="81" spans="1:15" ht="15.75">
      <c r="A81" s="302" t="s">
        <v>941</v>
      </c>
      <c r="B81" s="18" t="s">
        <v>3</v>
      </c>
      <c r="C81" s="18" t="s">
        <v>1314</v>
      </c>
      <c r="D81" s="18" t="s">
        <v>3</v>
      </c>
      <c r="E81" s="18" t="s">
        <v>3</v>
      </c>
      <c r="F81" s="18" t="s">
        <v>3</v>
      </c>
      <c r="G81" s="18">
        <v>1</v>
      </c>
      <c r="H81" s="18">
        <v>1</v>
      </c>
      <c r="I81" s="18">
        <f t="shared" si="7"/>
        <v>1</v>
      </c>
      <c r="J81" s="241" t="s">
        <v>1177</v>
      </c>
      <c r="K81" s="299"/>
      <c r="L81" s="294"/>
      <c r="M81" s="340">
        <f t="shared" si="1"/>
        <v>11</v>
      </c>
      <c r="N81" s="70">
        <f t="shared" si="2"/>
        <v>11</v>
      </c>
      <c r="O81" s="28" t="s">
        <v>1177</v>
      </c>
    </row>
    <row r="82" spans="1:15" ht="16.5" thickBot="1">
      <c r="A82" s="350" t="s">
        <v>942</v>
      </c>
      <c r="B82" s="287" t="s">
        <v>3</v>
      </c>
      <c r="C82" s="287" t="s">
        <v>1315</v>
      </c>
      <c r="D82" s="287" t="s">
        <v>3</v>
      </c>
      <c r="E82" s="287" t="s">
        <v>3</v>
      </c>
      <c r="F82" s="287" t="s">
        <v>3</v>
      </c>
      <c r="G82" s="287">
        <v>1</v>
      </c>
      <c r="H82" s="287">
        <v>1</v>
      </c>
      <c r="I82" s="287">
        <f t="shared" si="7"/>
        <v>1</v>
      </c>
      <c r="J82" s="312" t="s">
        <v>1177</v>
      </c>
      <c r="K82" s="303"/>
      <c r="L82" s="294"/>
      <c r="M82" s="340">
        <f t="shared" si="1"/>
        <v>11</v>
      </c>
      <c r="N82" s="70">
        <f t="shared" si="2"/>
        <v>11</v>
      </c>
      <c r="O82" s="28" t="s">
        <v>1177</v>
      </c>
    </row>
    <row r="83" spans="1:15" ht="16.5" thickBot="1">
      <c r="A83" s="729" t="s">
        <v>1159</v>
      </c>
      <c r="B83" s="730"/>
      <c r="C83" s="730"/>
      <c r="D83" s="730"/>
      <c r="E83" s="730"/>
      <c r="F83" s="730"/>
      <c r="G83" s="730"/>
      <c r="H83" s="730"/>
      <c r="I83" s="730"/>
      <c r="J83" s="730"/>
      <c r="K83" s="731"/>
      <c r="M83" s="685"/>
      <c r="N83" s="686"/>
      <c r="O83" s="687"/>
    </row>
    <row r="84" spans="1:15" ht="15.75">
      <c r="A84" s="297" t="s">
        <v>943</v>
      </c>
      <c r="B84" s="309" t="s">
        <v>3</v>
      </c>
      <c r="C84" s="309" t="s">
        <v>1316</v>
      </c>
      <c r="D84" s="309" t="s">
        <v>3</v>
      </c>
      <c r="E84" s="309" t="s">
        <v>3</v>
      </c>
      <c r="F84" s="309" t="s">
        <v>3</v>
      </c>
      <c r="G84" s="309">
        <v>1</v>
      </c>
      <c r="H84" s="309">
        <v>1</v>
      </c>
      <c r="I84" s="309">
        <f t="shared" ref="I84:I86" si="10">G84*H84</f>
        <v>1</v>
      </c>
      <c r="J84" s="309" t="s">
        <v>841</v>
      </c>
      <c r="K84" s="310"/>
      <c r="M84" s="340">
        <f t="shared" si="1"/>
        <v>11</v>
      </c>
      <c r="N84" s="70">
        <f t="shared" si="2"/>
        <v>11</v>
      </c>
      <c r="O84" s="299" t="s">
        <v>841</v>
      </c>
    </row>
    <row r="85" spans="1:15" ht="15.75">
      <c r="A85" s="298" t="s">
        <v>944</v>
      </c>
      <c r="B85" s="18" t="s">
        <v>3</v>
      </c>
      <c r="C85" s="18" t="s">
        <v>1161</v>
      </c>
      <c r="D85" s="18" t="s">
        <v>3</v>
      </c>
      <c r="E85" s="18" t="s">
        <v>3</v>
      </c>
      <c r="F85" s="18" t="s">
        <v>1162</v>
      </c>
      <c r="G85" s="18">
        <v>1</v>
      </c>
      <c r="H85" s="18">
        <v>1</v>
      </c>
      <c r="I85" s="18">
        <f t="shared" si="10"/>
        <v>1</v>
      </c>
      <c r="J85" s="18" t="s">
        <v>841</v>
      </c>
      <c r="K85" s="299" t="s">
        <v>1163</v>
      </c>
      <c r="M85" s="340">
        <f t="shared" si="1"/>
        <v>11</v>
      </c>
      <c r="N85" s="70">
        <f t="shared" si="2"/>
        <v>11</v>
      </c>
      <c r="O85" s="299" t="s">
        <v>841</v>
      </c>
    </row>
    <row r="86" spans="1:15" ht="16.5" thickBot="1">
      <c r="A86" s="300" t="s">
        <v>945</v>
      </c>
      <c r="B86" s="287" t="s">
        <v>3</v>
      </c>
      <c r="C86" s="287" t="s">
        <v>1317</v>
      </c>
      <c r="D86" s="287" t="s">
        <v>3</v>
      </c>
      <c r="E86" s="287" t="s">
        <v>3</v>
      </c>
      <c r="F86" s="287" t="s">
        <v>3</v>
      </c>
      <c r="G86" s="287">
        <v>1</v>
      </c>
      <c r="H86" s="287">
        <v>1</v>
      </c>
      <c r="I86" s="287">
        <f t="shared" si="10"/>
        <v>1</v>
      </c>
      <c r="J86" s="287" t="s">
        <v>841</v>
      </c>
      <c r="K86" s="303"/>
      <c r="M86" s="340">
        <f t="shared" si="1"/>
        <v>11</v>
      </c>
      <c r="N86" s="70">
        <f t="shared" si="2"/>
        <v>11</v>
      </c>
      <c r="O86" s="299" t="s">
        <v>841</v>
      </c>
    </row>
    <row r="87" spans="1:15" ht="16.5" thickBot="1">
      <c r="A87" s="716" t="s">
        <v>1153</v>
      </c>
      <c r="B87" s="717"/>
      <c r="C87" s="717"/>
      <c r="D87" s="717"/>
      <c r="E87" s="717"/>
      <c r="F87" s="717"/>
      <c r="G87" s="717"/>
      <c r="H87" s="717"/>
      <c r="I87" s="717"/>
      <c r="J87" s="717"/>
      <c r="K87" s="718"/>
      <c r="L87" s="294"/>
      <c r="M87" s="685"/>
      <c r="N87" s="686"/>
      <c r="O87" s="687"/>
    </row>
    <row r="88" spans="1:15" ht="15.75">
      <c r="A88" s="297" t="s">
        <v>946</v>
      </c>
      <c r="B88" s="309"/>
      <c r="C88" s="309" t="s">
        <v>1318</v>
      </c>
      <c r="D88" s="309" t="s">
        <v>3</v>
      </c>
      <c r="E88" s="309" t="s">
        <v>3</v>
      </c>
      <c r="F88" s="309" t="s">
        <v>1155</v>
      </c>
      <c r="G88" s="352">
        <v>1.2</v>
      </c>
      <c r="H88" s="309">
        <v>1</v>
      </c>
      <c r="I88" s="309">
        <f>G88*H88</f>
        <v>1.2</v>
      </c>
      <c r="J88" s="309" t="s">
        <v>807</v>
      </c>
      <c r="K88" s="721" t="s">
        <v>1156</v>
      </c>
      <c r="L88" s="294"/>
      <c r="M88" s="353">
        <f>$N$2</f>
        <v>11</v>
      </c>
      <c r="N88" s="354">
        <f t="shared" si="2"/>
        <v>13.2</v>
      </c>
      <c r="O88" s="355" t="s">
        <v>807</v>
      </c>
    </row>
    <row r="89" spans="1:15" ht="16.5" thickBot="1">
      <c r="A89" s="300" t="s">
        <v>948</v>
      </c>
      <c r="B89" s="287" t="s">
        <v>3</v>
      </c>
      <c r="C89" s="287" t="s">
        <v>1239</v>
      </c>
      <c r="D89" s="287" t="s">
        <v>3</v>
      </c>
      <c r="E89" s="287" t="s">
        <v>3</v>
      </c>
      <c r="F89" s="287" t="s">
        <v>1158</v>
      </c>
      <c r="G89" s="356">
        <v>1.2</v>
      </c>
      <c r="H89" s="287">
        <v>1</v>
      </c>
      <c r="I89" s="287">
        <f>G89*H89</f>
        <v>1.2</v>
      </c>
      <c r="J89" s="287" t="s">
        <v>807</v>
      </c>
      <c r="K89" s="722"/>
      <c r="L89" s="294"/>
      <c r="M89" s="353">
        <f>$N$2</f>
        <v>11</v>
      </c>
      <c r="N89" s="354">
        <f t="shared" si="2"/>
        <v>13.2</v>
      </c>
      <c r="O89" s="355" t="s">
        <v>807</v>
      </c>
    </row>
    <row r="90" spans="1:15" ht="16.5" thickBot="1">
      <c r="A90" s="676" t="s">
        <v>56</v>
      </c>
      <c r="B90" s="677"/>
      <c r="C90" s="677"/>
      <c r="D90" s="677"/>
      <c r="E90" s="677"/>
      <c r="F90" s="677"/>
      <c r="G90" s="677"/>
      <c r="H90" s="677"/>
      <c r="I90" s="677"/>
      <c r="J90" s="677"/>
      <c r="K90" s="678"/>
      <c r="L90" s="294"/>
      <c r="M90" s="685"/>
      <c r="N90" s="686"/>
      <c r="O90" s="687"/>
    </row>
    <row r="91" spans="1:15" ht="17.25" customHeight="1">
      <c r="A91" s="297" t="s">
        <v>950</v>
      </c>
      <c r="B91" s="309" t="s">
        <v>3</v>
      </c>
      <c r="C91" s="309" t="s">
        <v>1167</v>
      </c>
      <c r="D91" s="309" t="s">
        <v>3</v>
      </c>
      <c r="E91" s="309" t="s">
        <v>3</v>
      </c>
      <c r="F91" s="309" t="s">
        <v>3</v>
      </c>
      <c r="G91" s="311">
        <v>0.04</v>
      </c>
      <c r="H91" s="309">
        <v>1</v>
      </c>
      <c r="I91" s="309">
        <f>G91*H91</f>
        <v>0.04</v>
      </c>
      <c r="J91" s="309" t="s">
        <v>841</v>
      </c>
      <c r="K91" s="310"/>
      <c r="L91" s="294"/>
      <c r="M91" s="340">
        <f t="shared" si="1"/>
        <v>11</v>
      </c>
      <c r="N91" s="70">
        <f t="shared" si="2"/>
        <v>0.44</v>
      </c>
      <c r="O91" s="299" t="s">
        <v>841</v>
      </c>
    </row>
    <row r="92" spans="1:15" ht="17.25" customHeight="1">
      <c r="A92" s="298" t="s">
        <v>951</v>
      </c>
      <c r="B92" s="18" t="s">
        <v>3</v>
      </c>
      <c r="C92" s="18" t="s">
        <v>1335</v>
      </c>
      <c r="D92" s="18" t="s">
        <v>3</v>
      </c>
      <c r="E92" s="18" t="s">
        <v>3</v>
      </c>
      <c r="F92" s="18" t="s">
        <v>63</v>
      </c>
      <c r="G92" s="245">
        <v>1</v>
      </c>
      <c r="H92" s="245">
        <v>1</v>
      </c>
      <c r="I92" s="18">
        <f t="shared" ref="I92:I96" si="11">G92*H92</f>
        <v>1</v>
      </c>
      <c r="J92" s="18" t="s">
        <v>841</v>
      </c>
      <c r="K92" s="299"/>
      <c r="L92" s="294"/>
      <c r="M92" s="340">
        <f t="shared" si="1"/>
        <v>11</v>
      </c>
      <c r="N92" s="70">
        <f t="shared" si="2"/>
        <v>11</v>
      </c>
      <c r="O92" s="299" t="s">
        <v>841</v>
      </c>
    </row>
    <row r="93" spans="1:15" ht="17.25" customHeight="1">
      <c r="A93" s="298" t="s">
        <v>953</v>
      </c>
      <c r="B93" s="18" t="s">
        <v>1336</v>
      </c>
      <c r="C93" s="18" t="s">
        <v>1337</v>
      </c>
      <c r="D93" s="18" t="s">
        <v>3</v>
      </c>
      <c r="E93" s="18" t="s">
        <v>1322</v>
      </c>
      <c r="F93" s="18" t="s">
        <v>1176</v>
      </c>
      <c r="G93" s="245">
        <v>2</v>
      </c>
      <c r="H93" s="245">
        <v>1</v>
      </c>
      <c r="I93" s="18">
        <f t="shared" si="11"/>
        <v>2</v>
      </c>
      <c r="J93" s="245" t="s">
        <v>841</v>
      </c>
      <c r="K93" s="299" t="s">
        <v>1272</v>
      </c>
      <c r="L93" s="294"/>
      <c r="M93" s="340">
        <f t="shared" si="1"/>
        <v>11</v>
      </c>
      <c r="N93" s="70">
        <f t="shared" si="2"/>
        <v>22</v>
      </c>
      <c r="O93" s="299" t="s">
        <v>841</v>
      </c>
    </row>
    <row r="94" spans="1:15" ht="17.25" customHeight="1">
      <c r="A94" s="298" t="s">
        <v>954</v>
      </c>
      <c r="B94" s="18" t="s">
        <v>1336</v>
      </c>
      <c r="C94" s="18" t="s">
        <v>1338</v>
      </c>
      <c r="D94" s="18" t="s">
        <v>3</v>
      </c>
      <c r="E94" s="18" t="s">
        <v>1322</v>
      </c>
      <c r="F94" s="18" t="s">
        <v>1176</v>
      </c>
      <c r="G94" s="245">
        <v>2</v>
      </c>
      <c r="H94" s="245">
        <v>1</v>
      </c>
      <c r="I94" s="18">
        <f t="shared" si="11"/>
        <v>2</v>
      </c>
      <c r="J94" s="245" t="s">
        <v>841</v>
      </c>
      <c r="K94" s="299" t="s">
        <v>1272</v>
      </c>
      <c r="L94" s="294"/>
      <c r="M94" s="340">
        <f t="shared" si="1"/>
        <v>11</v>
      </c>
      <c r="N94" s="70">
        <f t="shared" si="2"/>
        <v>22</v>
      </c>
      <c r="O94" s="299" t="s">
        <v>841</v>
      </c>
    </row>
    <row r="95" spans="1:15" ht="17.25" customHeight="1">
      <c r="A95" s="298" t="s">
        <v>955</v>
      </c>
      <c r="B95" s="18" t="s">
        <v>1336</v>
      </c>
      <c r="C95" s="18" t="s">
        <v>1324</v>
      </c>
      <c r="D95" s="18" t="s">
        <v>3</v>
      </c>
      <c r="E95" s="18" t="s">
        <v>1322</v>
      </c>
      <c r="F95" s="18" t="s">
        <v>1176</v>
      </c>
      <c r="G95" s="245">
        <v>1</v>
      </c>
      <c r="H95" s="245">
        <v>1</v>
      </c>
      <c r="I95" s="18">
        <f t="shared" si="11"/>
        <v>1</v>
      </c>
      <c r="J95" s="245" t="s">
        <v>841</v>
      </c>
      <c r="K95" s="299" t="s">
        <v>1272</v>
      </c>
      <c r="L95" s="294"/>
      <c r="M95" s="340">
        <f t="shared" si="1"/>
        <v>11</v>
      </c>
      <c r="N95" s="70">
        <f t="shared" si="2"/>
        <v>11</v>
      </c>
      <c r="O95" s="299" t="s">
        <v>841</v>
      </c>
    </row>
    <row r="96" spans="1:15" ht="17.25" customHeight="1">
      <c r="A96" s="298" t="s">
        <v>956</v>
      </c>
      <c r="B96" s="18" t="s">
        <v>1336</v>
      </c>
      <c r="C96" s="18" t="s">
        <v>1325</v>
      </c>
      <c r="D96" s="18" t="s">
        <v>3</v>
      </c>
      <c r="E96" s="18" t="s">
        <v>1322</v>
      </c>
      <c r="F96" s="18" t="s">
        <v>1176</v>
      </c>
      <c r="G96" s="245">
        <v>1</v>
      </c>
      <c r="H96" s="245">
        <v>1</v>
      </c>
      <c r="I96" s="18">
        <f t="shared" si="11"/>
        <v>1</v>
      </c>
      <c r="J96" s="245" t="s">
        <v>841</v>
      </c>
      <c r="K96" s="299" t="s">
        <v>1272</v>
      </c>
      <c r="L96" s="294"/>
      <c r="M96" s="340">
        <f t="shared" si="1"/>
        <v>11</v>
      </c>
      <c r="N96" s="70">
        <f t="shared" si="2"/>
        <v>11</v>
      </c>
      <c r="O96" s="299" t="s">
        <v>841</v>
      </c>
    </row>
    <row r="97" spans="1:15" ht="15.75">
      <c r="A97" s="298" t="s">
        <v>957</v>
      </c>
      <c r="B97" s="18" t="s">
        <v>3</v>
      </c>
      <c r="C97" s="18" t="s">
        <v>1178</v>
      </c>
      <c r="D97" s="18" t="s">
        <v>3</v>
      </c>
      <c r="E97" s="18" t="s">
        <v>3</v>
      </c>
      <c r="F97" s="18" t="s">
        <v>3</v>
      </c>
      <c r="G97" s="18">
        <v>1</v>
      </c>
      <c r="H97" s="18">
        <v>1</v>
      </c>
      <c r="I97" s="18">
        <f t="shared" si="6"/>
        <v>1</v>
      </c>
      <c r="J97" s="18" t="s">
        <v>841</v>
      </c>
      <c r="K97" s="299"/>
      <c r="L97" s="294"/>
      <c r="M97" s="340">
        <f t="shared" si="1"/>
        <v>11</v>
      </c>
      <c r="N97" s="70">
        <f t="shared" si="2"/>
        <v>11</v>
      </c>
      <c r="O97" s="299" t="s">
        <v>841</v>
      </c>
    </row>
    <row r="98" spans="1:15" ht="15.75">
      <c r="A98" s="298" t="s">
        <v>959</v>
      </c>
      <c r="B98" s="18" t="s">
        <v>3</v>
      </c>
      <c r="C98" s="245" t="s">
        <v>1179</v>
      </c>
      <c r="D98" s="18" t="s">
        <v>3</v>
      </c>
      <c r="E98" s="18" t="s">
        <v>3</v>
      </c>
      <c r="F98" s="18" t="s">
        <v>3</v>
      </c>
      <c r="G98" s="18">
        <v>2</v>
      </c>
      <c r="H98" s="18">
        <v>1</v>
      </c>
      <c r="I98" s="18">
        <f t="shared" si="6"/>
        <v>2</v>
      </c>
      <c r="J98" s="18" t="s">
        <v>841</v>
      </c>
      <c r="K98" s="299"/>
      <c r="L98" s="294"/>
      <c r="M98" s="340">
        <f t="shared" si="1"/>
        <v>11</v>
      </c>
      <c r="N98" s="70">
        <f t="shared" si="2"/>
        <v>22</v>
      </c>
      <c r="O98" s="299" t="s">
        <v>841</v>
      </c>
    </row>
    <row r="99" spans="1:15" ht="15.75">
      <c r="A99" s="298" t="s">
        <v>960</v>
      </c>
      <c r="B99" s="18" t="s">
        <v>3</v>
      </c>
      <c r="C99" s="245" t="s">
        <v>113</v>
      </c>
      <c r="D99" s="18" t="s">
        <v>3</v>
      </c>
      <c r="E99" s="18" t="s">
        <v>3</v>
      </c>
      <c r="F99" s="18" t="s">
        <v>3</v>
      </c>
      <c r="G99" s="18">
        <v>1</v>
      </c>
      <c r="H99" s="18">
        <v>1</v>
      </c>
      <c r="I99" s="18">
        <f t="shared" si="6"/>
        <v>1</v>
      </c>
      <c r="J99" s="18" t="s">
        <v>841</v>
      </c>
      <c r="K99" s="299"/>
      <c r="L99" s="294"/>
      <c r="M99" s="340">
        <f t="shared" si="1"/>
        <v>11</v>
      </c>
      <c r="N99" s="70">
        <f t="shared" si="2"/>
        <v>11</v>
      </c>
      <c r="O99" s="299" t="s">
        <v>841</v>
      </c>
    </row>
    <row r="100" spans="1:15" ht="23.25" customHeight="1" thickBot="1">
      <c r="A100" s="300" t="s">
        <v>961</v>
      </c>
      <c r="B100" s="287" t="s">
        <v>3</v>
      </c>
      <c r="C100" s="312" t="s">
        <v>1183</v>
      </c>
      <c r="D100" s="287" t="s">
        <v>3</v>
      </c>
      <c r="E100" s="287" t="s">
        <v>3</v>
      </c>
      <c r="F100" s="287" t="s">
        <v>1184</v>
      </c>
      <c r="G100" s="356">
        <v>0</v>
      </c>
      <c r="H100" s="287">
        <v>1</v>
      </c>
      <c r="I100" s="287">
        <f>G100*H100</f>
        <v>0</v>
      </c>
      <c r="J100" s="287" t="s">
        <v>935</v>
      </c>
      <c r="K100" s="303" t="s">
        <v>1185</v>
      </c>
      <c r="L100" s="294"/>
      <c r="M100" s="378">
        <v>0</v>
      </c>
      <c r="N100" s="358">
        <f t="shared" si="2"/>
        <v>0</v>
      </c>
      <c r="O100" s="359" t="s">
        <v>935</v>
      </c>
    </row>
  </sheetData>
  <mergeCells count="47">
    <mergeCell ref="A1:K1"/>
    <mergeCell ref="M1:O1"/>
    <mergeCell ref="A2:A3"/>
    <mergeCell ref="B2:B3"/>
    <mergeCell ref="C2:C3"/>
    <mergeCell ref="D2:F2"/>
    <mergeCell ref="G2:G3"/>
    <mergeCell ref="H2:I2"/>
    <mergeCell ref="J2:J3"/>
    <mergeCell ref="K2:K3"/>
    <mergeCell ref="B24:K24"/>
    <mergeCell ref="M24:O24"/>
    <mergeCell ref="M2:M3"/>
    <mergeCell ref="N2:N3"/>
    <mergeCell ref="O2:O3"/>
    <mergeCell ref="A4:K4"/>
    <mergeCell ref="M4:O6"/>
    <mergeCell ref="B5:K5"/>
    <mergeCell ref="B6:K6"/>
    <mergeCell ref="B12:K12"/>
    <mergeCell ref="M12:O12"/>
    <mergeCell ref="B19:K19"/>
    <mergeCell ref="M19:O20"/>
    <mergeCell ref="B20:K20"/>
    <mergeCell ref="B26:K26"/>
    <mergeCell ref="M26:O27"/>
    <mergeCell ref="B27:K27"/>
    <mergeCell ref="B36:K36"/>
    <mergeCell ref="M36:O37"/>
    <mergeCell ref="B37:K37"/>
    <mergeCell ref="B41:K41"/>
    <mergeCell ref="M41:O41"/>
    <mergeCell ref="A44:K44"/>
    <mergeCell ref="M44:O44"/>
    <mergeCell ref="A46:K46"/>
    <mergeCell ref="M46:O46"/>
    <mergeCell ref="B53:K53"/>
    <mergeCell ref="M53:O53"/>
    <mergeCell ref="B65:K65"/>
    <mergeCell ref="M65:O65"/>
    <mergeCell ref="A83:K83"/>
    <mergeCell ref="M83:O83"/>
    <mergeCell ref="A87:K87"/>
    <mergeCell ref="M87:O87"/>
    <mergeCell ref="K88:K89"/>
    <mergeCell ref="A90:K90"/>
    <mergeCell ref="M90:O90"/>
  </mergeCells>
  <conditionalFormatting sqref="B29">
    <cfRule type="duplicateValues" dxfId="165" priority="8"/>
  </conditionalFormatting>
  <conditionalFormatting sqref="B32:C32">
    <cfRule type="duplicateValues" dxfId="164" priority="7"/>
  </conditionalFormatting>
  <conditionalFormatting sqref="B35:C35">
    <cfRule type="duplicateValues" dxfId="163" priority="6"/>
  </conditionalFormatting>
  <conditionalFormatting sqref="B33:C33">
    <cfRule type="duplicateValues" dxfId="162" priority="5"/>
  </conditionalFormatting>
  <conditionalFormatting sqref="B34:C34">
    <cfRule type="duplicateValues" dxfId="161" priority="4"/>
  </conditionalFormatting>
  <conditionalFormatting sqref="B30:B31">
    <cfRule type="duplicateValues" dxfId="160" priority="9"/>
  </conditionalFormatting>
  <conditionalFormatting sqref="B45:C45">
    <cfRule type="duplicateValues" dxfId="159" priority="3"/>
  </conditionalFormatting>
  <conditionalFormatting sqref="C39">
    <cfRule type="duplicateValues" dxfId="158" priority="2"/>
  </conditionalFormatting>
  <conditionalFormatting sqref="C40">
    <cfRule type="duplicateValues" dxfId="157" priority="1"/>
  </conditionalFormatting>
  <hyperlinks>
    <hyperlink ref="F52" r:id="rId1"/>
    <hyperlink ref="F66" r:id="rId2"/>
    <hyperlink ref="F67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6</vt:i4>
      </vt:variant>
    </vt:vector>
  </HeadingPairs>
  <TitlesOfParts>
    <vt:vector size="29" baseType="lpstr">
      <vt:lpstr>Дефицит основной</vt:lpstr>
      <vt:lpstr>П и Ц</vt:lpstr>
      <vt:lpstr>Цены</vt:lpstr>
      <vt:lpstr>ТРВ-15м-2</vt:lpstr>
      <vt:lpstr>МГП ЦОД 10</vt:lpstr>
      <vt:lpstr>МГП ЦОД 20</vt:lpstr>
      <vt:lpstr>МГП СС 1,6</vt:lpstr>
      <vt:lpstr>кроншт</vt:lpstr>
      <vt:lpstr>МГП СС 1,2</vt:lpstr>
      <vt:lpstr>МГП СС 0,8</vt:lpstr>
      <vt:lpstr>МГП СС 0,4</vt:lpstr>
      <vt:lpstr>ТРВ-9м-2</vt:lpstr>
      <vt:lpstr>ТРВ-17м-2</vt:lpstr>
      <vt:lpstr>ТРВ-21м-2</vt:lpstr>
      <vt:lpstr>План закупок</vt:lpstr>
      <vt:lpstr>Отчет по закупкам</vt:lpstr>
      <vt:lpstr>инструмент</vt:lpstr>
      <vt:lpstr>12М</vt:lpstr>
      <vt:lpstr>18М</vt:lpstr>
      <vt:lpstr>24М</vt:lpstr>
      <vt:lpstr>24М-ВС</vt:lpstr>
      <vt:lpstr>36М-ВС</vt:lpstr>
      <vt:lpstr>расход инструмента</vt:lpstr>
      <vt:lpstr>'18М'!Print_Area</vt:lpstr>
      <vt:lpstr>'24М'!Print_Area</vt:lpstr>
      <vt:lpstr>'Дефицит основной'!Print_Area</vt:lpstr>
      <vt:lpstr>'Отчет по закупкам'!Print_Area</vt:lpstr>
      <vt:lpstr>'План закупок'!Print_Area</vt:lpstr>
      <vt:lpstr>Цены!Print_Area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Вячеслав</dc:creator>
  <cp:lastModifiedBy>Соболев Василий</cp:lastModifiedBy>
  <cp:lastPrinted>2023-06-01T03:13:28Z</cp:lastPrinted>
  <dcterms:created xsi:type="dcterms:W3CDTF">2017-04-19T06:02:23Z</dcterms:created>
  <dcterms:modified xsi:type="dcterms:W3CDTF">2023-08-22T11:46:15Z</dcterms:modified>
</cp:coreProperties>
</file>