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ЗагрузкаКомУслугИзExcel-2025\"/>
    </mc:Choice>
  </mc:AlternateContent>
  <xr:revisionPtr revIDLastSave="0" documentId="13_ncr:1_{17232FF3-C017-4581-A800-C6450F3830AD}" xr6:coauthVersionLast="45" xr6:coauthVersionMax="45" xr10:uidLastSave="{00000000-0000-0000-0000-000000000000}"/>
  <bookViews>
    <workbookView xWindow="-120" yWindow="-120" windowWidth="38640" windowHeight="15990" xr2:uid="{00000000-000D-0000-FFFF-FFFF00000000}"/>
  </bookViews>
  <sheets>
    <sheet name="апрель" sheetId="152" r:id="rId1"/>
  </sheets>
  <definedNames>
    <definedName name="КПОТ" localSheetId="0">#REF!</definedName>
    <definedName name="КПОТ">#REF!</definedName>
    <definedName name="НДС" localSheetId="0">#REF!</definedName>
    <definedName name="НДС">#REF!</definedName>
    <definedName name="процКомСбора" localSheetId="0">#REF!</definedName>
    <definedName name="процКомСбора">#REF!</definedName>
    <definedName name="тарифВоды" localSheetId="0">#REF!</definedName>
    <definedName name="тарифВоды">#REF!</definedName>
    <definedName name="тарифОбсл" localSheetId="0">#REF!</definedName>
    <definedName name="тарифОбсл">#REF!</definedName>
    <definedName name="тарифТрансЭл" localSheetId="0">#REF!</definedName>
    <definedName name="тарифТрансЭл">#REF!</definedName>
    <definedName name="тарифЭл" localSheetId="0">#REF!</definedName>
    <definedName name="тарифЭл">#REF!</definedName>
    <definedName name="тарифЭлОбогр" localSheetId="0">#REF!</definedName>
    <definedName name="тарифЭлОбогр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100" i="152" l="1"/>
  <c r="X100" i="152"/>
  <c r="W100" i="152"/>
  <c r="V100" i="152"/>
  <c r="AB100" i="152"/>
  <c r="AA100" i="152"/>
  <c r="AC87" i="152"/>
  <c r="AA87" i="152"/>
  <c r="X87" i="152"/>
  <c r="V87" i="152"/>
  <c r="V86" i="152"/>
  <c r="AB87" i="152"/>
  <c r="X86" i="152"/>
  <c r="AK29" i="152"/>
  <c r="R87" i="152"/>
  <c r="M87" i="152"/>
  <c r="M101" i="152"/>
  <c r="M41" i="152"/>
  <c r="M40" i="152"/>
  <c r="M39" i="152"/>
  <c r="L11" i="152"/>
  <c r="AG62" i="152"/>
  <c r="M11" i="152"/>
  <c r="AL11" i="152"/>
  <c r="M12" i="152"/>
  <c r="M20" i="152"/>
  <c r="AL20" i="152"/>
  <c r="M21" i="152"/>
  <c r="M22" i="152"/>
  <c r="AK22" i="152"/>
  <c r="M23" i="152"/>
  <c r="M24" i="152"/>
  <c r="AK24" i="152"/>
  <c r="M25" i="152"/>
  <c r="M28" i="152"/>
  <c r="M29" i="152"/>
  <c r="M32" i="152"/>
  <c r="AL32" i="152"/>
  <c r="M34" i="152"/>
  <c r="M36" i="152"/>
  <c r="M37" i="152"/>
  <c r="M42" i="152"/>
  <c r="AK42" i="152"/>
  <c r="M43" i="152"/>
  <c r="M44" i="152"/>
  <c r="AK44" i="152"/>
  <c r="M45" i="152"/>
  <c r="M46" i="152"/>
  <c r="M47" i="152"/>
  <c r="M48" i="152"/>
  <c r="M49" i="152"/>
  <c r="AL49" i="152"/>
  <c r="M51" i="152"/>
  <c r="M52" i="152"/>
  <c r="AK52" i="152"/>
  <c r="M53" i="152"/>
  <c r="M54" i="152"/>
  <c r="M55" i="152"/>
  <c r="M56" i="152"/>
  <c r="M57" i="152"/>
  <c r="M58" i="152"/>
  <c r="M60" i="152"/>
  <c r="M61" i="152"/>
  <c r="AL61" i="152"/>
  <c r="M62" i="152"/>
  <c r="M64" i="152"/>
  <c r="M65" i="152"/>
  <c r="AK65" i="152"/>
  <c r="M66" i="152"/>
  <c r="M68" i="152"/>
  <c r="M69" i="152"/>
  <c r="M70" i="152"/>
  <c r="M71" i="152"/>
  <c r="AL71" i="152"/>
  <c r="M72" i="152"/>
  <c r="M73" i="152"/>
  <c r="M77" i="152"/>
  <c r="M78" i="152"/>
  <c r="AL78" i="152"/>
  <c r="M80" i="152"/>
  <c r="M81" i="152"/>
  <c r="M84" i="152"/>
  <c r="AK84" i="152"/>
  <c r="J100" i="152"/>
  <c r="J101" i="152"/>
  <c r="K87" i="152"/>
  <c r="J87" i="152"/>
  <c r="I87" i="152"/>
  <c r="I100" i="152"/>
  <c r="Q101" i="152"/>
  <c r="O101" i="152"/>
  <c r="Q87" i="152"/>
  <c r="P87" i="152"/>
  <c r="Q97" i="152"/>
  <c r="N87" i="152"/>
  <c r="O87" i="152"/>
  <c r="O86" i="152"/>
  <c r="Q100" i="152"/>
  <c r="P100" i="152"/>
  <c r="O100" i="152"/>
  <c r="AC86" i="152"/>
  <c r="Z43" i="152"/>
  <c r="Z14" i="152"/>
  <c r="AA14" i="152"/>
  <c r="H91" i="152"/>
  <c r="H89" i="152"/>
  <c r="O62" i="152"/>
  <c r="P62" i="152"/>
  <c r="R62" i="152"/>
  <c r="AK62" i="152"/>
  <c r="U62" i="152"/>
  <c r="V62" i="152"/>
  <c r="W62" i="152"/>
  <c r="Z62" i="152"/>
  <c r="AA62" i="152"/>
  <c r="AM79" i="152"/>
  <c r="AB79" i="152"/>
  <c r="AA79" i="152"/>
  <c r="Z79" i="152"/>
  <c r="V79" i="152"/>
  <c r="U79" i="152"/>
  <c r="R79" i="152"/>
  <c r="O79" i="152"/>
  <c r="M79" i="152"/>
  <c r="AL79" i="152"/>
  <c r="L79" i="152"/>
  <c r="I79" i="152"/>
  <c r="H79" i="152"/>
  <c r="H62" i="152"/>
  <c r="I62" i="152"/>
  <c r="L62" i="152"/>
  <c r="V91" i="152"/>
  <c r="W91" i="152"/>
  <c r="X91" i="152"/>
  <c r="AG37" i="152"/>
  <c r="AG40" i="152"/>
  <c r="AG53" i="152"/>
  <c r="I89" i="152"/>
  <c r="H81" i="152"/>
  <c r="L81" i="152"/>
  <c r="AM40" i="152"/>
  <c r="Z40" i="152"/>
  <c r="U40" i="152"/>
  <c r="V40" i="152"/>
  <c r="R40" i="152"/>
  <c r="AL40" i="152"/>
  <c r="O40" i="152"/>
  <c r="L40" i="152"/>
  <c r="I40" i="152"/>
  <c r="Z37" i="152"/>
  <c r="AA37" i="152"/>
  <c r="U37" i="152"/>
  <c r="V37" i="152"/>
  <c r="R37" i="152"/>
  <c r="AK37" i="152"/>
  <c r="O37" i="152"/>
  <c r="P37" i="152"/>
  <c r="H37" i="152"/>
  <c r="L37" i="152"/>
  <c r="AG28" i="152"/>
  <c r="O85" i="152"/>
  <c r="P85" i="152"/>
  <c r="Z28" i="152"/>
  <c r="AA28" i="152"/>
  <c r="U28" i="152"/>
  <c r="V28" i="152"/>
  <c r="AI28" i="152"/>
  <c r="AJ28" i="152"/>
  <c r="R28" i="152"/>
  <c r="AK28" i="152"/>
  <c r="O28" i="152"/>
  <c r="P28" i="152"/>
  <c r="H28" i="152"/>
  <c r="L28" i="152"/>
  <c r="Z71" i="152"/>
  <c r="AA71" i="152"/>
  <c r="Z91" i="152"/>
  <c r="AA91" i="152"/>
  <c r="AG33" i="152"/>
  <c r="Y100" i="152"/>
  <c r="AG83" i="152"/>
  <c r="AG82" i="152"/>
  <c r="AG81" i="152"/>
  <c r="AG32" i="152"/>
  <c r="Z32" i="152"/>
  <c r="U32" i="152"/>
  <c r="V32" i="152"/>
  <c r="R32" i="152"/>
  <c r="O32" i="152"/>
  <c r="P32" i="152"/>
  <c r="H32" i="152"/>
  <c r="AM32" i="152"/>
  <c r="Z25" i="152"/>
  <c r="Z26" i="152"/>
  <c r="AA26" i="152"/>
  <c r="Z27" i="152"/>
  <c r="Z29" i="152"/>
  <c r="Z30" i="152"/>
  <c r="Z31" i="152"/>
  <c r="Z33" i="152"/>
  <c r="Z34" i="152"/>
  <c r="Z35" i="152"/>
  <c r="Z36" i="152"/>
  <c r="AA36" i="152"/>
  <c r="Z38" i="152"/>
  <c r="AA38" i="152"/>
  <c r="Z39" i="152"/>
  <c r="V39" i="152"/>
  <c r="AG36" i="152"/>
  <c r="H18" i="152"/>
  <c r="I18" i="152"/>
  <c r="AI18" i="152"/>
  <c r="AJ18" i="152"/>
  <c r="H90" i="152"/>
  <c r="H17" i="152"/>
  <c r="O56" i="152"/>
  <c r="AG69" i="152"/>
  <c r="I91" i="152"/>
  <c r="J91" i="152"/>
  <c r="K91" i="152"/>
  <c r="N100" i="152"/>
  <c r="AG75" i="152"/>
  <c r="AG74" i="152"/>
  <c r="AM75" i="152"/>
  <c r="Z75" i="152"/>
  <c r="AA75" i="152"/>
  <c r="U75" i="152"/>
  <c r="V75" i="152"/>
  <c r="W75" i="152"/>
  <c r="R75" i="152"/>
  <c r="AK75" i="152"/>
  <c r="O75" i="152"/>
  <c r="P75" i="152"/>
  <c r="L75" i="152"/>
  <c r="M75" i="152"/>
  <c r="I75" i="152"/>
  <c r="H69" i="152"/>
  <c r="L69" i="152"/>
  <c r="Z54" i="152"/>
  <c r="U54" i="152"/>
  <c r="V54" i="152"/>
  <c r="AG44" i="152"/>
  <c r="AG45" i="152"/>
  <c r="AG52" i="152"/>
  <c r="AG54" i="152"/>
  <c r="AG77" i="152"/>
  <c r="Z45" i="152"/>
  <c r="Z44" i="152"/>
  <c r="AA44" i="152"/>
  <c r="O97" i="152"/>
  <c r="P97" i="152"/>
  <c r="AM45" i="152"/>
  <c r="AM44" i="152"/>
  <c r="O54" i="152"/>
  <c r="AI54" i="152"/>
  <c r="AJ54" i="152"/>
  <c r="R54" i="152"/>
  <c r="AL54" i="152"/>
  <c r="O45" i="152"/>
  <c r="P45" i="152"/>
  <c r="R45" i="152"/>
  <c r="AK45" i="152"/>
  <c r="O44" i="152"/>
  <c r="P44" i="152"/>
  <c r="R44" i="152"/>
  <c r="I88" i="152"/>
  <c r="V45" i="152"/>
  <c r="V44" i="152"/>
  <c r="W44" i="152"/>
  <c r="AC44" i="152"/>
  <c r="H77" i="152"/>
  <c r="L77" i="152"/>
  <c r="H54" i="152"/>
  <c r="H52" i="152"/>
  <c r="I45" i="152"/>
  <c r="J45" i="152"/>
  <c r="L45" i="152"/>
  <c r="L44" i="152"/>
  <c r="I44" i="152"/>
  <c r="H97" i="152"/>
  <c r="I97" i="152"/>
  <c r="AN97" i="152"/>
  <c r="H10" i="152"/>
  <c r="I10" i="152"/>
  <c r="O10" i="152"/>
  <c r="P10" i="152"/>
  <c r="R10" i="152"/>
  <c r="AK10" i="152"/>
  <c r="U10" i="152"/>
  <c r="V10" i="152"/>
  <c r="W10" i="152"/>
  <c r="Z10" i="152"/>
  <c r="AA10" i="152"/>
  <c r="AG10" i="152"/>
  <c r="H11" i="152"/>
  <c r="O11" i="152"/>
  <c r="R11" i="152"/>
  <c r="U11" i="152"/>
  <c r="V11" i="152"/>
  <c r="W11" i="152"/>
  <c r="Z11" i="152"/>
  <c r="AG11" i="152"/>
  <c r="H12" i="152"/>
  <c r="O12" i="152"/>
  <c r="P12" i="152"/>
  <c r="R12" i="152"/>
  <c r="AL12" i="152"/>
  <c r="U12" i="152"/>
  <c r="V12" i="152"/>
  <c r="W12" i="152"/>
  <c r="Z12" i="152"/>
  <c r="AG12" i="152"/>
  <c r="H13" i="152"/>
  <c r="AM13" i="152"/>
  <c r="M13" i="152"/>
  <c r="O13" i="152"/>
  <c r="AI13" i="152"/>
  <c r="AJ13" i="152"/>
  <c r="R13" i="152"/>
  <c r="AL13" i="152"/>
  <c r="U13" i="152"/>
  <c r="V13" i="152"/>
  <c r="Z13" i="152"/>
  <c r="AA13" i="152"/>
  <c r="AH13" i="152"/>
  <c r="H14" i="152"/>
  <c r="AM14" i="152"/>
  <c r="AN14" i="152"/>
  <c r="M14" i="152"/>
  <c r="AL14" i="152"/>
  <c r="O14" i="152"/>
  <c r="P14" i="152"/>
  <c r="U14" i="152"/>
  <c r="V14" i="152"/>
  <c r="AH14" i="152"/>
  <c r="H15" i="152"/>
  <c r="AM15" i="152"/>
  <c r="M15" i="152"/>
  <c r="O15" i="152"/>
  <c r="R15" i="152"/>
  <c r="AL15" i="152"/>
  <c r="U15" i="152"/>
  <c r="V15" i="152"/>
  <c r="Z15" i="152"/>
  <c r="AH15" i="152"/>
  <c r="I16" i="152"/>
  <c r="M16" i="152"/>
  <c r="AL16" i="152"/>
  <c r="O16" i="152"/>
  <c r="P16" i="152"/>
  <c r="R16" i="152"/>
  <c r="U16" i="152"/>
  <c r="V16" i="152"/>
  <c r="Z16" i="152"/>
  <c r="AA16" i="152"/>
  <c r="AG16" i="152"/>
  <c r="AM16" i="152"/>
  <c r="AN16" i="152"/>
  <c r="H19" i="152"/>
  <c r="I19" i="152"/>
  <c r="O19" i="152"/>
  <c r="AI19" i="152"/>
  <c r="AJ19" i="152"/>
  <c r="R19" i="152"/>
  <c r="AK19" i="152"/>
  <c r="U19" i="152"/>
  <c r="V19" i="152"/>
  <c r="Z19" i="152"/>
  <c r="AA19" i="152"/>
  <c r="AB19" i="152"/>
  <c r="AG19" i="152"/>
  <c r="H20" i="152"/>
  <c r="AM20" i="152"/>
  <c r="O20" i="152"/>
  <c r="P20" i="152"/>
  <c r="R20" i="152"/>
  <c r="U20" i="152"/>
  <c r="V20" i="152"/>
  <c r="Z20" i="152"/>
  <c r="AG20" i="152"/>
  <c r="H21" i="152"/>
  <c r="I21" i="152"/>
  <c r="O21" i="152"/>
  <c r="P21" i="152"/>
  <c r="R21" i="152"/>
  <c r="AK21" i="152"/>
  <c r="AL21" i="152"/>
  <c r="U21" i="152"/>
  <c r="V21" i="152"/>
  <c r="W21" i="152"/>
  <c r="AC21" i="152"/>
  <c r="Z21" i="152"/>
  <c r="AG21" i="152"/>
  <c r="H22" i="152"/>
  <c r="I22" i="152"/>
  <c r="O22" i="152"/>
  <c r="R22" i="152"/>
  <c r="U22" i="152"/>
  <c r="V22" i="152"/>
  <c r="W22" i="152"/>
  <c r="Z22" i="152"/>
  <c r="AA22" i="152"/>
  <c r="AG22" i="152"/>
  <c r="H23" i="152"/>
  <c r="AM23" i="152"/>
  <c r="AN23" i="152"/>
  <c r="O23" i="152"/>
  <c r="P23" i="152"/>
  <c r="R23" i="152"/>
  <c r="AK23" i="152"/>
  <c r="U23" i="152"/>
  <c r="V23" i="152"/>
  <c r="W23" i="152"/>
  <c r="Z23" i="152"/>
  <c r="AA23" i="152"/>
  <c r="AG23" i="152"/>
  <c r="H24" i="152"/>
  <c r="O24" i="152"/>
  <c r="R24" i="152"/>
  <c r="AL24" i="152"/>
  <c r="U24" i="152"/>
  <c r="V24" i="152"/>
  <c r="W24" i="152"/>
  <c r="Z24" i="152"/>
  <c r="AA24" i="152"/>
  <c r="AB24" i="152"/>
  <c r="AG24" i="152"/>
  <c r="H25" i="152"/>
  <c r="I25" i="152"/>
  <c r="O25" i="152"/>
  <c r="P25" i="152"/>
  <c r="R25" i="152"/>
  <c r="U25" i="152"/>
  <c r="V25" i="152"/>
  <c r="W25" i="152"/>
  <c r="AG25" i="152"/>
  <c r="I26" i="152"/>
  <c r="M26" i="152"/>
  <c r="AL26" i="152"/>
  <c r="O26" i="152"/>
  <c r="P26" i="152"/>
  <c r="R26" i="152"/>
  <c r="U26" i="152"/>
  <c r="V26" i="152"/>
  <c r="AG26" i="152"/>
  <c r="AM26" i="152"/>
  <c r="I27" i="152"/>
  <c r="M27" i="152"/>
  <c r="O27" i="152"/>
  <c r="P27" i="152"/>
  <c r="Q27" i="152"/>
  <c r="R27" i="152"/>
  <c r="AK27" i="152"/>
  <c r="U27" i="152"/>
  <c r="V27" i="152"/>
  <c r="AG27" i="152"/>
  <c r="AM27" i="152"/>
  <c r="H29" i="152"/>
  <c r="I29" i="152"/>
  <c r="O29" i="152"/>
  <c r="P29" i="152"/>
  <c r="R29" i="152"/>
  <c r="AL29" i="152"/>
  <c r="U29" i="152"/>
  <c r="V29" i="152"/>
  <c r="AG29" i="152"/>
  <c r="H30" i="152"/>
  <c r="I30" i="152"/>
  <c r="O30" i="152"/>
  <c r="AI30" i="152"/>
  <c r="AJ30" i="152"/>
  <c r="R30" i="152"/>
  <c r="AL30" i="152"/>
  <c r="U30" i="152"/>
  <c r="V30" i="152"/>
  <c r="AG30" i="152"/>
  <c r="H31" i="152"/>
  <c r="I31" i="152"/>
  <c r="O31" i="152"/>
  <c r="P31" i="152"/>
  <c r="R31" i="152"/>
  <c r="U31" i="152"/>
  <c r="V31" i="152"/>
  <c r="W31" i="152"/>
  <c r="AC31" i="152"/>
  <c r="AG31" i="152"/>
  <c r="H33" i="152"/>
  <c r="O33" i="152"/>
  <c r="P33" i="152"/>
  <c r="R33" i="152"/>
  <c r="AK33" i="152"/>
  <c r="U33" i="152"/>
  <c r="V33" i="152"/>
  <c r="W33" i="152"/>
  <c r="X33" i="152"/>
  <c r="H34" i="152"/>
  <c r="AM34" i="152"/>
  <c r="O34" i="152"/>
  <c r="P34" i="152"/>
  <c r="R34" i="152"/>
  <c r="AK34" i="152"/>
  <c r="U34" i="152"/>
  <c r="V34" i="152"/>
  <c r="W34" i="152"/>
  <c r="AG34" i="152"/>
  <c r="H35" i="152"/>
  <c r="O35" i="152"/>
  <c r="P35" i="152"/>
  <c r="R35" i="152"/>
  <c r="AK35" i="152"/>
  <c r="U35" i="152"/>
  <c r="V35" i="152"/>
  <c r="AG35" i="152"/>
  <c r="H36" i="152"/>
  <c r="AM36" i="152"/>
  <c r="O36" i="152"/>
  <c r="P36" i="152"/>
  <c r="R36" i="152"/>
  <c r="AK36" i="152"/>
  <c r="U36" i="152"/>
  <c r="V36" i="152"/>
  <c r="H38" i="152"/>
  <c r="AM38" i="152"/>
  <c r="O38" i="152"/>
  <c r="P38" i="152"/>
  <c r="R38" i="152"/>
  <c r="AL38" i="152"/>
  <c r="U38" i="152"/>
  <c r="V38" i="152"/>
  <c r="W38" i="152"/>
  <c r="AG38" i="152"/>
  <c r="I39" i="152"/>
  <c r="L39" i="152"/>
  <c r="O39" i="152"/>
  <c r="Q39" i="152"/>
  <c r="R39" i="152"/>
  <c r="AL39" i="152"/>
  <c r="AG39" i="152"/>
  <c r="AM39" i="152"/>
  <c r="H41" i="152"/>
  <c r="L41" i="152"/>
  <c r="AM41" i="152"/>
  <c r="AN41" i="152"/>
  <c r="O41" i="152"/>
  <c r="R41" i="152"/>
  <c r="AK41" i="152"/>
  <c r="U41" i="152"/>
  <c r="V41" i="152"/>
  <c r="X41" i="152"/>
  <c r="Z41" i="152"/>
  <c r="AG41" i="152"/>
  <c r="H42" i="152"/>
  <c r="O42" i="152"/>
  <c r="P42" i="152"/>
  <c r="Q42" i="152"/>
  <c r="R42" i="152"/>
  <c r="U42" i="152"/>
  <c r="V42" i="152"/>
  <c r="Z42" i="152"/>
  <c r="AA42" i="152"/>
  <c r="AB42" i="152"/>
  <c r="AG42" i="152"/>
  <c r="H43" i="152"/>
  <c r="O43" i="152"/>
  <c r="P43" i="152"/>
  <c r="R43" i="152"/>
  <c r="AK43" i="152"/>
  <c r="U43" i="152"/>
  <c r="V43" i="152"/>
  <c r="AG43" i="152"/>
  <c r="H46" i="152"/>
  <c r="O46" i="152"/>
  <c r="R46" i="152"/>
  <c r="AL46" i="152"/>
  <c r="AK46" i="152"/>
  <c r="U46" i="152"/>
  <c r="V46" i="152"/>
  <c r="Z46" i="152"/>
  <c r="AG46" i="152"/>
  <c r="H47" i="152"/>
  <c r="L47" i="152"/>
  <c r="O47" i="152"/>
  <c r="P47" i="152"/>
  <c r="R47" i="152"/>
  <c r="AK47" i="152"/>
  <c r="U47" i="152"/>
  <c r="V47" i="152"/>
  <c r="W47" i="152"/>
  <c r="Z47" i="152"/>
  <c r="AA47" i="152"/>
  <c r="AG47" i="152"/>
  <c r="H48" i="152"/>
  <c r="AM48" i="152"/>
  <c r="O48" i="152"/>
  <c r="R48" i="152"/>
  <c r="AK48" i="152"/>
  <c r="AL48" i="152"/>
  <c r="U48" i="152"/>
  <c r="V48" i="152"/>
  <c r="W48" i="152"/>
  <c r="Z48" i="152"/>
  <c r="AA48" i="152"/>
  <c r="AG48" i="152"/>
  <c r="H49" i="152"/>
  <c r="I49" i="152"/>
  <c r="L49" i="152"/>
  <c r="O49" i="152"/>
  <c r="P49" i="152"/>
  <c r="R49" i="152"/>
  <c r="U49" i="152"/>
  <c r="V49" i="152"/>
  <c r="W49" i="152"/>
  <c r="Z49" i="152"/>
  <c r="AG49" i="152"/>
  <c r="H50" i="152"/>
  <c r="O50" i="152"/>
  <c r="R50" i="152"/>
  <c r="AL50" i="152"/>
  <c r="U50" i="152"/>
  <c r="V50" i="152"/>
  <c r="W50" i="152"/>
  <c r="X50" i="152"/>
  <c r="Z50" i="152"/>
  <c r="AG50" i="152"/>
  <c r="H51" i="152"/>
  <c r="L51" i="152"/>
  <c r="O51" i="152"/>
  <c r="P51" i="152"/>
  <c r="R51" i="152"/>
  <c r="AL51" i="152"/>
  <c r="U51" i="152"/>
  <c r="V51" i="152"/>
  <c r="W51" i="152"/>
  <c r="Z51" i="152"/>
  <c r="AA51" i="152"/>
  <c r="AG51" i="152"/>
  <c r="O52" i="152"/>
  <c r="P52" i="152"/>
  <c r="R52" i="152"/>
  <c r="AL52" i="152"/>
  <c r="U52" i="152"/>
  <c r="V52" i="152"/>
  <c r="Z52" i="152"/>
  <c r="AA52" i="152"/>
  <c r="H53" i="152"/>
  <c r="I53" i="152"/>
  <c r="O53" i="152"/>
  <c r="P53" i="152"/>
  <c r="R53" i="152"/>
  <c r="AL53" i="152"/>
  <c r="U53" i="152"/>
  <c r="V53" i="152"/>
  <c r="W53" i="152"/>
  <c r="Z53" i="152"/>
  <c r="H55" i="152"/>
  <c r="L55" i="152"/>
  <c r="O55" i="152"/>
  <c r="P55" i="152"/>
  <c r="R55" i="152"/>
  <c r="AK55" i="152"/>
  <c r="U55" i="152"/>
  <c r="V55" i="152"/>
  <c r="Z55" i="152"/>
  <c r="AG55" i="152"/>
  <c r="H56" i="152"/>
  <c r="R56" i="152"/>
  <c r="AL56" i="152"/>
  <c r="U56" i="152"/>
  <c r="V56" i="152"/>
  <c r="Z56" i="152"/>
  <c r="AA56" i="152"/>
  <c r="AG56" i="152"/>
  <c r="H57" i="152"/>
  <c r="I57" i="152"/>
  <c r="O57" i="152"/>
  <c r="R57" i="152"/>
  <c r="AL57" i="152"/>
  <c r="U57" i="152"/>
  <c r="V57" i="152"/>
  <c r="W57" i="152"/>
  <c r="Z57" i="152"/>
  <c r="AA57" i="152"/>
  <c r="AB57" i="152"/>
  <c r="AG57" i="152"/>
  <c r="H58" i="152"/>
  <c r="L58" i="152"/>
  <c r="O58" i="152"/>
  <c r="R58" i="152"/>
  <c r="AL58" i="152"/>
  <c r="U58" i="152"/>
  <c r="V58" i="152"/>
  <c r="Z58" i="152"/>
  <c r="AG58" i="152"/>
  <c r="H59" i="152"/>
  <c r="L59" i="152"/>
  <c r="M59" i="152"/>
  <c r="AK59" i="152"/>
  <c r="O59" i="152"/>
  <c r="Q59" i="152"/>
  <c r="R59" i="152"/>
  <c r="U59" i="152"/>
  <c r="V59" i="152"/>
  <c r="W59" i="152"/>
  <c r="Z59" i="152"/>
  <c r="AG59" i="152"/>
  <c r="H60" i="152"/>
  <c r="L60" i="152"/>
  <c r="O60" i="152"/>
  <c r="P60" i="152"/>
  <c r="R60" i="152"/>
  <c r="AL60" i="152"/>
  <c r="U60" i="152"/>
  <c r="V60" i="152"/>
  <c r="AC60" i="152"/>
  <c r="Z60" i="152"/>
  <c r="AA60" i="152"/>
  <c r="AB60" i="152"/>
  <c r="AG60" i="152"/>
  <c r="H61" i="152"/>
  <c r="I61" i="152"/>
  <c r="O61" i="152"/>
  <c r="P61" i="152"/>
  <c r="R61" i="152"/>
  <c r="U61" i="152"/>
  <c r="V61" i="152"/>
  <c r="W61" i="152"/>
  <c r="Z61" i="152"/>
  <c r="AA61" i="152"/>
  <c r="AG61" i="152"/>
  <c r="H63" i="152"/>
  <c r="O63" i="152"/>
  <c r="P63" i="152"/>
  <c r="R63" i="152"/>
  <c r="U63" i="152"/>
  <c r="V63" i="152"/>
  <c r="Z63" i="152"/>
  <c r="AG63" i="152"/>
  <c r="H64" i="152"/>
  <c r="O64" i="152"/>
  <c r="P64" i="152"/>
  <c r="Q64" i="152"/>
  <c r="R64" i="152"/>
  <c r="AK64" i="152"/>
  <c r="U64" i="152"/>
  <c r="V64" i="152"/>
  <c r="Z64" i="152"/>
  <c r="AG64" i="152"/>
  <c r="H65" i="152"/>
  <c r="AM65" i="152"/>
  <c r="O65" i="152"/>
  <c r="P65" i="152"/>
  <c r="R65" i="152"/>
  <c r="U65" i="152"/>
  <c r="V65" i="152"/>
  <c r="Z65" i="152"/>
  <c r="AG65" i="152"/>
  <c r="H66" i="152"/>
  <c r="I66" i="152"/>
  <c r="O66" i="152"/>
  <c r="P66" i="152"/>
  <c r="R66" i="152"/>
  <c r="AL66" i="152"/>
  <c r="U66" i="152"/>
  <c r="V66" i="152"/>
  <c r="X66" i="152"/>
  <c r="Z66" i="152"/>
  <c r="AA66" i="152"/>
  <c r="AG66" i="152"/>
  <c r="H67" i="152"/>
  <c r="AM67" i="152"/>
  <c r="O67" i="152"/>
  <c r="P67" i="152"/>
  <c r="R67" i="152"/>
  <c r="U67" i="152"/>
  <c r="V67" i="152"/>
  <c r="Z67" i="152"/>
  <c r="AG67" i="152"/>
  <c r="H68" i="152"/>
  <c r="I68" i="152"/>
  <c r="O68" i="152"/>
  <c r="AI68" i="152"/>
  <c r="AJ68" i="152"/>
  <c r="P68" i="152"/>
  <c r="Q68" i="152"/>
  <c r="R68" i="152"/>
  <c r="U68" i="152"/>
  <c r="V68" i="152"/>
  <c r="Z68" i="152"/>
  <c r="AA68" i="152"/>
  <c r="AG68" i="152"/>
  <c r="O69" i="152"/>
  <c r="P69" i="152"/>
  <c r="Q69" i="152"/>
  <c r="R69" i="152"/>
  <c r="AK69" i="152"/>
  <c r="U69" i="152"/>
  <c r="V69" i="152"/>
  <c r="W69" i="152"/>
  <c r="Z69" i="152"/>
  <c r="H70" i="152"/>
  <c r="O70" i="152"/>
  <c r="P70" i="152"/>
  <c r="R70" i="152"/>
  <c r="AK70" i="152"/>
  <c r="U70" i="152"/>
  <c r="V70" i="152"/>
  <c r="W70" i="152"/>
  <c r="X70" i="152"/>
  <c r="Z70" i="152"/>
  <c r="AA70" i="152"/>
  <c r="AG70" i="152"/>
  <c r="H71" i="152"/>
  <c r="I71" i="152"/>
  <c r="O71" i="152"/>
  <c r="P71" i="152"/>
  <c r="R71" i="152"/>
  <c r="AK71" i="152"/>
  <c r="U71" i="152"/>
  <c r="V71" i="152"/>
  <c r="AG71" i="152"/>
  <c r="H72" i="152"/>
  <c r="L72" i="152"/>
  <c r="O72" i="152"/>
  <c r="P72" i="152"/>
  <c r="R72" i="152"/>
  <c r="AK72" i="152"/>
  <c r="U72" i="152"/>
  <c r="V72" i="152"/>
  <c r="Z72" i="152"/>
  <c r="AG72" i="152"/>
  <c r="H73" i="152"/>
  <c r="L73" i="152"/>
  <c r="O73" i="152"/>
  <c r="P73" i="152"/>
  <c r="Q73" i="152"/>
  <c r="R73" i="152"/>
  <c r="U73" i="152"/>
  <c r="V73" i="152"/>
  <c r="W73" i="152"/>
  <c r="Z73" i="152"/>
  <c r="AA73" i="152"/>
  <c r="AG73" i="152"/>
  <c r="I74" i="152"/>
  <c r="J74" i="152"/>
  <c r="L74" i="152"/>
  <c r="M74" i="152"/>
  <c r="O74" i="152"/>
  <c r="P74" i="152"/>
  <c r="R74" i="152"/>
  <c r="AL74" i="152"/>
  <c r="U74" i="152"/>
  <c r="V74" i="152"/>
  <c r="Z74" i="152"/>
  <c r="H76" i="152"/>
  <c r="AM76" i="152"/>
  <c r="O76" i="152"/>
  <c r="R76" i="152"/>
  <c r="U76" i="152"/>
  <c r="V76" i="152"/>
  <c r="Z76" i="152"/>
  <c r="AA76" i="152"/>
  <c r="AB76" i="152"/>
  <c r="AG76" i="152"/>
  <c r="O77" i="152"/>
  <c r="P77" i="152"/>
  <c r="R77" i="152"/>
  <c r="AL77" i="152"/>
  <c r="AK77" i="152"/>
  <c r="U77" i="152"/>
  <c r="V77" i="152"/>
  <c r="Z77" i="152"/>
  <c r="H78" i="152"/>
  <c r="L78" i="152"/>
  <c r="O78" i="152"/>
  <c r="P78" i="152"/>
  <c r="Q78" i="152"/>
  <c r="R78" i="152"/>
  <c r="U78" i="152"/>
  <c r="V78" i="152"/>
  <c r="W78" i="152"/>
  <c r="Z78" i="152"/>
  <c r="H80" i="152"/>
  <c r="L80" i="152"/>
  <c r="O80" i="152"/>
  <c r="P80" i="152"/>
  <c r="Q80" i="152"/>
  <c r="R80" i="152"/>
  <c r="AL80" i="152"/>
  <c r="AK80" i="152"/>
  <c r="U80" i="152"/>
  <c r="V80" i="152"/>
  <c r="Z80" i="152"/>
  <c r="AA80" i="152"/>
  <c r="AG80" i="152"/>
  <c r="AM81" i="152"/>
  <c r="O81" i="152"/>
  <c r="R81" i="152"/>
  <c r="AK81" i="152"/>
  <c r="U81" i="152"/>
  <c r="V81" i="152"/>
  <c r="W81" i="152"/>
  <c r="Z81" i="152"/>
  <c r="H82" i="152"/>
  <c r="O82" i="152"/>
  <c r="P82" i="152"/>
  <c r="R82" i="152"/>
  <c r="U82" i="152"/>
  <c r="V82" i="152"/>
  <c r="X82" i="152"/>
  <c r="Z82" i="152"/>
  <c r="H83" i="152"/>
  <c r="O83" i="152"/>
  <c r="P83" i="152"/>
  <c r="Q83" i="152"/>
  <c r="R83" i="152"/>
  <c r="U83" i="152"/>
  <c r="V83" i="152"/>
  <c r="Z83" i="152"/>
  <c r="H84" i="152"/>
  <c r="L84" i="152"/>
  <c r="O84" i="152"/>
  <c r="AI84" i="152"/>
  <c r="AJ84" i="152"/>
  <c r="R84" i="152"/>
  <c r="U84" i="152"/>
  <c r="V84" i="152"/>
  <c r="W84" i="152"/>
  <c r="Z84" i="152"/>
  <c r="AG84" i="152"/>
  <c r="I85" i="152"/>
  <c r="L85" i="152"/>
  <c r="M85" i="152"/>
  <c r="AL85" i="152"/>
  <c r="U85" i="152"/>
  <c r="Z85" i="152"/>
  <c r="AB85" i="152"/>
  <c r="AA85" i="152"/>
  <c r="AG85" i="152"/>
  <c r="AM85" i="152"/>
  <c r="N101" i="152"/>
  <c r="S87" i="152"/>
  <c r="S86" i="152"/>
  <c r="T87" i="152"/>
  <c r="T101" i="152"/>
  <c r="Y87" i="152"/>
  <c r="Y86" i="152"/>
  <c r="AD87" i="152"/>
  <c r="AD86" i="152"/>
  <c r="AE87" i="152"/>
  <c r="AE86" i="152"/>
  <c r="M88" i="152"/>
  <c r="O88" i="152"/>
  <c r="R88" i="152"/>
  <c r="AL88" i="152"/>
  <c r="V88" i="152"/>
  <c r="W88" i="152"/>
  <c r="AC88" i="152"/>
  <c r="Z88" i="152"/>
  <c r="AA88" i="152"/>
  <c r="AG88" i="152"/>
  <c r="AM88" i="152"/>
  <c r="M89" i="152"/>
  <c r="O89" i="152"/>
  <c r="P89" i="152"/>
  <c r="R89" i="152"/>
  <c r="AL89" i="152"/>
  <c r="V89" i="152"/>
  <c r="Z89" i="152"/>
  <c r="AG89" i="152"/>
  <c r="M90" i="152"/>
  <c r="O90" i="152"/>
  <c r="R90" i="152"/>
  <c r="AL90" i="152"/>
  <c r="V90" i="152"/>
  <c r="W90" i="152"/>
  <c r="Z90" i="152"/>
  <c r="AG90" i="152"/>
  <c r="M91" i="152"/>
  <c r="O91" i="152"/>
  <c r="P91" i="152"/>
  <c r="R91" i="152"/>
  <c r="AL91" i="152"/>
  <c r="AG91" i="152"/>
  <c r="AM91" i="152"/>
  <c r="I92" i="152"/>
  <c r="M92" i="152"/>
  <c r="O92" i="152"/>
  <c r="R92" i="152"/>
  <c r="X92" i="152"/>
  <c r="AB92" i="152"/>
  <c r="AC92" i="152"/>
  <c r="AM92" i="152"/>
  <c r="AN92" i="152"/>
  <c r="I93" i="152"/>
  <c r="M93" i="152"/>
  <c r="M100" i="152"/>
  <c r="O93" i="152"/>
  <c r="P93" i="152"/>
  <c r="R93" i="152"/>
  <c r="X93" i="152"/>
  <c r="AB93" i="152"/>
  <c r="AC93" i="152"/>
  <c r="AM93" i="152"/>
  <c r="I94" i="152"/>
  <c r="J94" i="152"/>
  <c r="K94" i="152"/>
  <c r="M94" i="152"/>
  <c r="O94" i="152"/>
  <c r="P94" i="152"/>
  <c r="Q94" i="152"/>
  <c r="R94" i="152"/>
  <c r="X94" i="152"/>
  <c r="AB94" i="152"/>
  <c r="AC94" i="152"/>
  <c r="AM94" i="152"/>
  <c r="AN94" i="152"/>
  <c r="H95" i="152"/>
  <c r="M95" i="152"/>
  <c r="O95" i="152"/>
  <c r="P95" i="152"/>
  <c r="Q95" i="152"/>
  <c r="R95" i="152"/>
  <c r="X95" i="152"/>
  <c r="AB95" i="152"/>
  <c r="AC95" i="152"/>
  <c r="H96" i="152"/>
  <c r="AM96" i="152"/>
  <c r="M96" i="152"/>
  <c r="O96" i="152"/>
  <c r="P96" i="152"/>
  <c r="R96" i="152"/>
  <c r="X96" i="152"/>
  <c r="AB96" i="152"/>
  <c r="AC96" i="152"/>
  <c r="M97" i="152"/>
  <c r="X97" i="152"/>
  <c r="AB97" i="152"/>
  <c r="AC97" i="152"/>
  <c r="H98" i="152"/>
  <c r="I98" i="152"/>
  <c r="M98" i="152"/>
  <c r="O98" i="152"/>
  <c r="R98" i="152"/>
  <c r="X98" i="152"/>
  <c r="AB98" i="152"/>
  <c r="AC98" i="152"/>
  <c r="H99" i="152"/>
  <c r="I99" i="152"/>
  <c r="M99" i="152"/>
  <c r="O99" i="152"/>
  <c r="P99" i="152"/>
  <c r="Q99" i="152"/>
  <c r="R99" i="152"/>
  <c r="X99" i="152"/>
  <c r="AB99" i="152"/>
  <c r="AC99" i="152"/>
  <c r="L100" i="152"/>
  <c r="S100" i="152"/>
  <c r="T100" i="152"/>
  <c r="U100" i="152"/>
  <c r="AD100" i="152"/>
  <c r="AD101" i="152"/>
  <c r="AE100" i="152"/>
  <c r="AE101" i="152"/>
  <c r="AF100" i="152"/>
  <c r="AF101" i="152"/>
  <c r="AH100" i="152"/>
  <c r="AI100" i="152"/>
  <c r="AJ100" i="152"/>
  <c r="AK100" i="152"/>
  <c r="AM74" i="152"/>
  <c r="I15" i="152"/>
  <c r="AA63" i="152"/>
  <c r="AB63" i="152"/>
  <c r="AA35" i="152"/>
  <c r="AB35" i="152"/>
  <c r="I81" i="152"/>
  <c r="AA12" i="152"/>
  <c r="AB12" i="152"/>
  <c r="AA72" i="152"/>
  <c r="AB72" i="152"/>
  <c r="L52" i="152"/>
  <c r="J26" i="152"/>
  <c r="K26" i="152"/>
  <c r="I28" i="152"/>
  <c r="AA74" i="152"/>
  <c r="L31" i="152"/>
  <c r="M31" i="152"/>
  <c r="AL31" i="152"/>
  <c r="I34" i="152"/>
  <c r="J34" i="152"/>
  <c r="K34" i="152"/>
  <c r="L34" i="152"/>
  <c r="I37" i="152"/>
  <c r="AM37" i="152"/>
  <c r="AM35" i="152"/>
  <c r="L19" i="152"/>
  <c r="M19" i="152"/>
  <c r="AM31" i="152"/>
  <c r="AA30" i="152"/>
  <c r="AB30" i="152"/>
  <c r="W27" i="152"/>
  <c r="X27" i="152"/>
  <c r="L10" i="152"/>
  <c r="M10" i="152"/>
  <c r="AA45" i="152"/>
  <c r="AB45" i="152"/>
  <c r="AA81" i="152"/>
  <c r="AN75" i="152"/>
  <c r="J75" i="152"/>
  <c r="AM49" i="152"/>
  <c r="L48" i="152"/>
  <c r="I48" i="152"/>
  <c r="J48" i="152"/>
  <c r="I43" i="152"/>
  <c r="AM42" i="152"/>
  <c r="V85" i="152"/>
  <c r="W19" i="152"/>
  <c r="X19" i="152"/>
  <c r="AA29" i="152"/>
  <c r="AB29" i="152"/>
  <c r="AA53" i="152"/>
  <c r="AB53" i="152"/>
  <c r="AA55" i="152"/>
  <c r="AB55" i="152"/>
  <c r="W30" i="152"/>
  <c r="X30" i="152"/>
  <c r="AM54" i="152"/>
  <c r="W60" i="152"/>
  <c r="AA67" i="152"/>
  <c r="AA54" i="152"/>
  <c r="AB54" i="152"/>
  <c r="AM90" i="152"/>
  <c r="I90" i="152"/>
  <c r="J90" i="152"/>
  <c r="AA43" i="152"/>
  <c r="AB43" i="152"/>
  <c r="W26" i="152"/>
  <c r="L38" i="152"/>
  <c r="M38" i="152"/>
  <c r="AM10" i="152"/>
  <c r="AN10" i="152"/>
  <c r="I38" i="152"/>
  <c r="X44" i="152"/>
  <c r="AA77" i="152"/>
  <c r="AB77" i="152"/>
  <c r="I51" i="152"/>
  <c r="AM73" i="152"/>
  <c r="L54" i="152"/>
  <c r="I54" i="152"/>
  <c r="L71" i="152"/>
  <c r="AM51" i="152"/>
  <c r="AM50" i="152"/>
  <c r="L50" i="152"/>
  <c r="M50" i="152"/>
  <c r="I50" i="152"/>
  <c r="AN50" i="152"/>
  <c r="AH87" i="152"/>
  <c r="W20" i="152"/>
  <c r="I56" i="152"/>
  <c r="AM56" i="152"/>
  <c r="L56" i="152"/>
  <c r="W67" i="152"/>
  <c r="AM71" i="152"/>
  <c r="AN31" i="152"/>
  <c r="L21" i="152"/>
  <c r="L83" i="152"/>
  <c r="M83" i="152"/>
  <c r="AK83" i="152"/>
  <c r="AA64" i="152"/>
  <c r="AB64" i="152"/>
  <c r="L61" i="152"/>
  <c r="AK61" i="152"/>
  <c r="AM61" i="152"/>
  <c r="AN61" i="152"/>
  <c r="AN45" i="152"/>
  <c r="I24" i="152"/>
  <c r="AN24" i="152"/>
  <c r="AM24" i="152"/>
  <c r="AM17" i="152"/>
  <c r="I17" i="152"/>
  <c r="I59" i="152"/>
  <c r="AM66" i="152"/>
  <c r="L43" i="152"/>
  <c r="AM43" i="152"/>
  <c r="I72" i="152"/>
  <c r="AM72" i="152"/>
  <c r="I63" i="152"/>
  <c r="AM63" i="152"/>
  <c r="W42" i="152"/>
  <c r="X21" i="152"/>
  <c r="I60" i="152"/>
  <c r="AM59" i="152"/>
  <c r="AA69" i="152"/>
  <c r="AB69" i="152"/>
  <c r="L76" i="152"/>
  <c r="M76" i="152"/>
  <c r="AL76" i="152"/>
  <c r="I76" i="152"/>
  <c r="AA34" i="152"/>
  <c r="AB34" i="152"/>
  <c r="AM60" i="152"/>
  <c r="AN60" i="152"/>
  <c r="L24" i="152"/>
  <c r="AM30" i="152"/>
  <c r="AN30" i="152"/>
  <c r="AM97" i="152"/>
  <c r="L63" i="152"/>
  <c r="M63" i="152"/>
  <c r="AL63" i="152"/>
  <c r="I84" i="152"/>
  <c r="J84" i="152"/>
  <c r="K84" i="152"/>
  <c r="AB26" i="152"/>
  <c r="AN85" i="152"/>
  <c r="AB67" i="152"/>
  <c r="AM95" i="152"/>
  <c r="W39" i="152"/>
  <c r="X39" i="152"/>
  <c r="W37" i="152"/>
  <c r="X37" i="152"/>
  <c r="AB13" i="152"/>
  <c r="W72" i="152"/>
  <c r="X72" i="152"/>
  <c r="J85" i="152"/>
  <c r="K85" i="152"/>
  <c r="AA83" i="152"/>
  <c r="AB74" i="152"/>
  <c r="J31" i="152"/>
  <c r="K31" i="152"/>
  <c r="J16" i="152"/>
  <c r="W28" i="152"/>
  <c r="P46" i="152"/>
  <c r="Q46" i="152"/>
  <c r="Q82" i="152"/>
  <c r="Q23" i="152"/>
  <c r="Q28" i="152"/>
  <c r="P98" i="152"/>
  <c r="Q98" i="152"/>
  <c r="P57" i="152"/>
  <c r="Q57" i="152"/>
  <c r="Q63" i="152"/>
  <c r="X20" i="152"/>
  <c r="J50" i="152"/>
  <c r="AC72" i="152"/>
  <c r="AB83" i="152"/>
  <c r="K50" i="152"/>
  <c r="I96" i="152"/>
  <c r="J96" i="152"/>
  <c r="AM77" i="152"/>
  <c r="I77" i="152"/>
  <c r="J77" i="152"/>
  <c r="AN74" i="152"/>
  <c r="I73" i="152"/>
  <c r="J68" i="152"/>
  <c r="K68" i="152"/>
  <c r="AM68" i="152"/>
  <c r="L68" i="152"/>
  <c r="AL68" i="152"/>
  <c r="J44" i="152"/>
  <c r="L30" i="152"/>
  <c r="M30" i="152"/>
  <c r="AM22" i="152"/>
  <c r="L22" i="152"/>
  <c r="AM21" i="152"/>
  <c r="I14" i="152"/>
  <c r="I13" i="152"/>
  <c r="J13" i="152"/>
  <c r="L12" i="152"/>
  <c r="AN88" i="152"/>
  <c r="K44" i="152"/>
  <c r="AB52" i="152"/>
  <c r="AB80" i="152"/>
  <c r="AB68" i="152"/>
  <c r="AB44" i="152"/>
  <c r="AB37" i="152"/>
  <c r="AI27" i="152"/>
  <c r="AJ27" i="152"/>
  <c r="AI31" i="152"/>
  <c r="AJ31" i="152"/>
  <c r="AA31" i="152"/>
  <c r="AC19" i="152"/>
  <c r="AB28" i="152"/>
  <c r="AB23" i="152"/>
  <c r="AB61" i="152"/>
  <c r="AB56" i="152"/>
  <c r="AB10" i="152"/>
  <c r="AB70" i="152"/>
  <c r="AC67" i="152"/>
  <c r="AB66" i="152"/>
  <c r="AB48" i="152"/>
  <c r="AB47" i="152"/>
  <c r="AB16" i="152"/>
  <c r="AB36" i="152"/>
  <c r="AB71" i="152"/>
  <c r="W63" i="152"/>
  <c r="AI50" i="152"/>
  <c r="AJ50" i="152"/>
  <c r="X78" i="152"/>
  <c r="X11" i="152"/>
  <c r="P92" i="152"/>
  <c r="Q92" i="152"/>
  <c r="W82" i="152"/>
  <c r="AN59" i="152"/>
  <c r="AC55" i="152"/>
  <c r="W55" i="152"/>
  <c r="X55" i="152"/>
  <c r="I42" i="152"/>
  <c r="J42" i="152"/>
  <c r="L42" i="152"/>
  <c r="W36" i="152"/>
  <c r="X36" i="152"/>
  <c r="AC36" i="152"/>
  <c r="AA89" i="152"/>
  <c r="AB89" i="152"/>
  <c r="P88" i="152"/>
  <c r="W65" i="152"/>
  <c r="X65" i="152"/>
  <c r="L65" i="152"/>
  <c r="AL65" i="152"/>
  <c r="W85" i="152"/>
  <c r="X85" i="152"/>
  <c r="AM83" i="152"/>
  <c r="I83" i="152"/>
  <c r="AB88" i="152"/>
  <c r="I65" i="152"/>
  <c r="J65" i="152"/>
  <c r="J73" i="152"/>
  <c r="K73" i="152"/>
  <c r="X84" i="152"/>
  <c r="AG100" i="152"/>
  <c r="AA82" i="152"/>
  <c r="W64" i="152"/>
  <c r="X64" i="152"/>
  <c r="AA49" i="152"/>
  <c r="AB49" i="152"/>
  <c r="AA15" i="152"/>
  <c r="AB15" i="152"/>
  <c r="AI15" i="152"/>
  <c r="AJ15" i="152"/>
  <c r="AM12" i="152"/>
  <c r="AN12" i="152"/>
  <c r="I12" i="152"/>
  <c r="J88" i="152"/>
  <c r="K88" i="152"/>
  <c r="AA25" i="152"/>
  <c r="AB25" i="152"/>
  <c r="I67" i="152"/>
  <c r="L67" i="152"/>
  <c r="M67" i="152"/>
  <c r="AL67" i="152"/>
  <c r="AK67" i="152"/>
  <c r="P58" i="152"/>
  <c r="Q58" i="152"/>
  <c r="AB51" i="152"/>
  <c r="AA46" i="152"/>
  <c r="AB46" i="152"/>
  <c r="X42" i="152"/>
  <c r="AC42" i="152"/>
  <c r="W15" i="152"/>
  <c r="X15" i="152"/>
  <c r="W54" i="152"/>
  <c r="X54" i="152"/>
  <c r="AC30" i="152"/>
  <c r="P39" i="152"/>
  <c r="AI26" i="152"/>
  <c r="AJ26" i="152"/>
  <c r="AL59" i="152"/>
  <c r="AB82" i="152"/>
  <c r="J83" i="152"/>
  <c r="K83" i="152"/>
  <c r="AN83" i="152"/>
  <c r="Q88" i="152"/>
  <c r="L36" i="152"/>
  <c r="I36" i="152"/>
  <c r="L32" i="152"/>
  <c r="I32" i="152"/>
  <c r="AN32" i="152"/>
  <c r="J30" i="152"/>
  <c r="K30" i="152"/>
  <c r="AM28" i="152"/>
  <c r="J25" i="152"/>
  <c r="L25" i="152"/>
  <c r="AK25" i="152"/>
  <c r="AM25" i="152"/>
  <c r="AN25" i="152"/>
  <c r="L23" i="152"/>
  <c r="I23" i="152"/>
  <c r="J23" i="152"/>
  <c r="AN22" i="152"/>
  <c r="J22" i="152"/>
  <c r="K22" i="152"/>
  <c r="AI21" i="152"/>
  <c r="AJ21" i="152"/>
  <c r="AN21" i="152"/>
  <c r="J21" i="152"/>
  <c r="L20" i="152"/>
  <c r="I20" i="152"/>
  <c r="J19" i="152"/>
  <c r="AM19" i="152"/>
  <c r="AN19" i="152"/>
  <c r="J14" i="152"/>
  <c r="K14" i="152"/>
  <c r="J12" i="152"/>
  <c r="K12" i="152"/>
  <c r="AM11" i="152"/>
  <c r="I11" i="152"/>
  <c r="AI11" i="152"/>
  <c r="AJ11" i="152"/>
  <c r="J36" i="152"/>
  <c r="J32" i="152"/>
  <c r="AI23" i="152"/>
  <c r="AJ23" i="152"/>
  <c r="AI20" i="152"/>
  <c r="AJ20" i="152"/>
  <c r="K19" i="152"/>
  <c r="J11" i="152"/>
  <c r="AB62" i="152"/>
  <c r="AA59" i="152"/>
  <c r="AB59" i="152"/>
  <c r="W56" i="152"/>
  <c r="X56" i="152"/>
  <c r="P50" i="152"/>
  <c r="Q50" i="152"/>
  <c r="J39" i="152"/>
  <c r="K39" i="152"/>
  <c r="P54" i="152"/>
  <c r="Q54" i="152"/>
  <c r="AA27" i="152"/>
  <c r="AC27" i="152"/>
  <c r="K32" i="152"/>
  <c r="AN11" i="152"/>
  <c r="J18" i="152"/>
  <c r="J63" i="152"/>
  <c r="K63" i="152"/>
  <c r="AN63" i="152"/>
  <c r="AI63" i="152"/>
  <c r="AJ63" i="152"/>
  <c r="AA58" i="152"/>
  <c r="AB58" i="152"/>
  <c r="I95" i="152"/>
  <c r="I64" i="152"/>
  <c r="AM64" i="152"/>
  <c r="L64" i="152"/>
  <c r="L46" i="152"/>
  <c r="AM46" i="152"/>
  <c r="I46" i="152"/>
  <c r="AA41" i="152"/>
  <c r="AB41" i="152"/>
  <c r="P15" i="152"/>
  <c r="Q15" i="152"/>
  <c r="AA11" i="152"/>
  <c r="AB11" i="152"/>
  <c r="P11" i="152"/>
  <c r="Q11" i="152"/>
  <c r="AM52" i="152"/>
  <c r="I52" i="152"/>
  <c r="J52" i="152"/>
  <c r="W45" i="152"/>
  <c r="X45" i="152"/>
  <c r="AI45" i="152"/>
  <c r="AJ45" i="152"/>
  <c r="P56" i="152"/>
  <c r="Q56" i="152"/>
  <c r="P40" i="152"/>
  <c r="Q40" i="152"/>
  <c r="AC63" i="152"/>
  <c r="P59" i="152"/>
  <c r="W52" i="152"/>
  <c r="X52" i="152"/>
  <c r="P41" i="152"/>
  <c r="Q41" i="152"/>
  <c r="AA40" i="152"/>
  <c r="AB40" i="152"/>
  <c r="AB38" i="152"/>
  <c r="Q93" i="152"/>
  <c r="AC26" i="152"/>
  <c r="X26" i="152"/>
  <c r="J15" i="152"/>
  <c r="K15" i="152"/>
  <c r="AN15" i="152"/>
  <c r="P90" i="152"/>
  <c r="Q90" i="152"/>
  <c r="P84" i="152"/>
  <c r="Q84" i="152"/>
  <c r="AI83" i="152"/>
  <c r="AJ83" i="152"/>
  <c r="AA78" i="152"/>
  <c r="AB78" i="152"/>
  <c r="AC78" i="152"/>
  <c r="AA65" i="152"/>
  <c r="AB65" i="152"/>
  <c r="W46" i="152"/>
  <c r="W29" i="152"/>
  <c r="X29" i="152"/>
  <c r="AN27" i="152"/>
  <c r="J27" i="152"/>
  <c r="K27" i="152"/>
  <c r="AC28" i="152"/>
  <c r="AC82" i="152"/>
  <c r="W77" i="152"/>
  <c r="AC77" i="152"/>
  <c r="X77" i="152"/>
  <c r="AA50" i="152"/>
  <c r="AB50" i="152"/>
  <c r="K11" i="152"/>
  <c r="X63" i="152"/>
  <c r="AA33" i="152"/>
  <c r="AB33" i="152"/>
  <c r="J59" i="152"/>
  <c r="K59" i="152"/>
  <c r="X60" i="152"/>
  <c r="AN39" i="152"/>
  <c r="AB90" i="152"/>
  <c r="AA90" i="152"/>
  <c r="AM82" i="152"/>
  <c r="L82" i="152"/>
  <c r="M82" i="152"/>
  <c r="AK82" i="152"/>
  <c r="I82" i="152"/>
  <c r="AI82" i="152"/>
  <c r="AJ82" i="152"/>
  <c r="P76" i="152"/>
  <c r="Q76" i="152"/>
  <c r="W74" i="152"/>
  <c r="AI74" i="152"/>
  <c r="AJ74" i="152"/>
  <c r="P48" i="152"/>
  <c r="Q48" i="152"/>
  <c r="P22" i="152"/>
  <c r="Q22" i="152"/>
  <c r="AA21" i="152"/>
  <c r="AA20" i="152"/>
  <c r="AC20" i="152"/>
  <c r="AB20" i="152"/>
  <c r="AD102" i="152"/>
  <c r="AC50" i="152"/>
  <c r="AM78" i="152"/>
  <c r="AN78" i="152"/>
  <c r="I78" i="152"/>
  <c r="AN73" i="152"/>
  <c r="AN71" i="152"/>
  <c r="J71" i="152"/>
  <c r="K71" i="152"/>
  <c r="AI71" i="152"/>
  <c r="AJ71" i="152"/>
  <c r="AM69" i="152"/>
  <c r="I69" i="152"/>
  <c r="AN68" i="152"/>
  <c r="L66" i="152"/>
  <c r="AN66" i="152"/>
  <c r="AI65" i="152"/>
  <c r="AJ65" i="152"/>
  <c r="AN65" i="152"/>
  <c r="J62" i="152"/>
  <c r="K62" i="152"/>
  <c r="AM62" i="152"/>
  <c r="AN62" i="152"/>
  <c r="AL25" i="152"/>
  <c r="AB81" i="152"/>
  <c r="AC54" i="152"/>
  <c r="AC64" i="152"/>
  <c r="AH86" i="152"/>
  <c r="AH101" i="152"/>
  <c r="J92" i="152"/>
  <c r="W76" i="152"/>
  <c r="X76" i="152"/>
  <c r="AM33" i="152"/>
  <c r="I33" i="152"/>
  <c r="L33" i="152"/>
  <c r="M33" i="152"/>
  <c r="AM29" i="152"/>
  <c r="AN29" i="152"/>
  <c r="L29" i="152"/>
  <c r="AA39" i="152"/>
  <c r="AC39" i="152"/>
  <c r="T86" i="152"/>
  <c r="Q91" i="152"/>
  <c r="AG87" i="152"/>
  <c r="E111" i="152"/>
  <c r="AB31" i="152"/>
  <c r="J24" i="152"/>
  <c r="W58" i="152"/>
  <c r="X58" i="152"/>
  <c r="W41" i="152"/>
  <c r="L35" i="152"/>
  <c r="M35" i="152"/>
  <c r="I35" i="152"/>
  <c r="J10" i="152"/>
  <c r="K10" i="152"/>
  <c r="W89" i="152"/>
  <c r="AC89" i="152"/>
  <c r="W83" i="152"/>
  <c r="W80" i="152"/>
  <c r="AC80" i="152"/>
  <c r="W40" i="152"/>
  <c r="AC40" i="152"/>
  <c r="X40" i="152"/>
  <c r="AA84" i="152"/>
  <c r="J66" i="152"/>
  <c r="AN77" i="152"/>
  <c r="J72" i="152"/>
  <c r="J29" i="152"/>
  <c r="K29" i="152"/>
  <c r="AI29" i="152"/>
  <c r="AJ29" i="152"/>
  <c r="W71" i="152"/>
  <c r="AM70" i="152"/>
  <c r="I70" i="152"/>
  <c r="L70" i="152"/>
  <c r="X67" i="152"/>
  <c r="W66" i="152"/>
  <c r="W13" i="152"/>
  <c r="X13" i="152"/>
  <c r="Q14" i="152"/>
  <c r="AB75" i="152"/>
  <c r="AN34" i="152"/>
  <c r="AN44" i="152"/>
  <c r="J61" i="152"/>
  <c r="J60" i="152"/>
  <c r="AM58" i="152"/>
  <c r="I58" i="152"/>
  <c r="AI57" i="152"/>
  <c r="AJ57" i="152"/>
  <c r="J57" i="152"/>
  <c r="K57" i="152"/>
  <c r="AM57" i="152"/>
  <c r="AN57" i="152"/>
  <c r="L57" i="152"/>
  <c r="I55" i="152"/>
  <c r="AI55" i="152"/>
  <c r="AJ55" i="152"/>
  <c r="AM55" i="152"/>
  <c r="AM53" i="152"/>
  <c r="AN53" i="152"/>
  <c r="J53" i="152"/>
  <c r="K53" i="152"/>
  <c r="L53" i="152"/>
  <c r="K52" i="152"/>
  <c r="AN52" i="152"/>
  <c r="J49" i="152"/>
  <c r="AN49" i="152"/>
  <c r="AI49" i="152"/>
  <c r="AJ49" i="152"/>
  <c r="K48" i="152"/>
  <c r="AN48" i="152"/>
  <c r="H87" i="152"/>
  <c r="H86" i="152"/>
  <c r="AM86" i="152"/>
  <c r="AM47" i="152"/>
  <c r="I47" i="152"/>
  <c r="AL45" i="152"/>
  <c r="AN42" i="152"/>
  <c r="AI42" i="152"/>
  <c r="AJ42" i="152"/>
  <c r="I41" i="152"/>
  <c r="AK18" i="152"/>
  <c r="K18" i="152"/>
  <c r="AC83" i="152"/>
  <c r="AC58" i="152"/>
  <c r="AB39" i="152"/>
  <c r="AB84" i="152"/>
  <c r="AB27" i="152"/>
  <c r="J82" i="152"/>
  <c r="AC52" i="152"/>
  <c r="AC45" i="152"/>
  <c r="AC56" i="152"/>
  <c r="AC74" i="152"/>
  <c r="X74" i="152"/>
  <c r="J55" i="152"/>
  <c r="X89" i="152"/>
  <c r="AN82" i="152"/>
  <c r="K24" i="152"/>
  <c r="AB21" i="152"/>
  <c r="AN95" i="152"/>
  <c r="J78" i="152"/>
  <c r="AI78" i="152"/>
  <c r="AJ78" i="152"/>
  <c r="AN69" i="152"/>
  <c r="J69" i="152"/>
  <c r="K69" i="152"/>
  <c r="AC71" i="152"/>
  <c r="K55" i="152"/>
  <c r="J70" i="152"/>
  <c r="K70" i="152"/>
  <c r="AI70" i="152"/>
  <c r="AJ70" i="152"/>
  <c r="AN70" i="152"/>
  <c r="K82" i="152"/>
  <c r="AC84" i="152"/>
  <c r="K92" i="152"/>
  <c r="AN35" i="152"/>
  <c r="J35" i="152"/>
  <c r="K35" i="152"/>
  <c r="X83" i="152"/>
  <c r="AC13" i="152"/>
  <c r="X71" i="152"/>
  <c r="AN33" i="152"/>
  <c r="J33" i="152"/>
  <c r="K61" i="152"/>
  <c r="J47" i="152"/>
  <c r="AN47" i="152"/>
  <c r="AI47" i="152"/>
  <c r="AJ47" i="152"/>
  <c r="J41" i="152"/>
  <c r="K33" i="152"/>
  <c r="K78" i="152"/>
  <c r="K47" i="152"/>
  <c r="AN91" i="152"/>
  <c r="J99" i="152"/>
  <c r="K99" i="152"/>
  <c r="AM99" i="152"/>
  <c r="AN99" i="152"/>
  <c r="AM98" i="152"/>
  <c r="AN98" i="152"/>
  <c r="J98" i="152"/>
  <c r="K98" i="152"/>
  <c r="J97" i="152"/>
  <c r="K97" i="152"/>
  <c r="AN96" i="152"/>
  <c r="K96" i="152"/>
  <c r="J95" i="152"/>
  <c r="K95" i="152"/>
  <c r="AN90" i="152"/>
  <c r="K90" i="152"/>
  <c r="J89" i="152"/>
  <c r="AN89" i="152"/>
  <c r="H100" i="152"/>
  <c r="AM100" i="152"/>
  <c r="AM89" i="152"/>
  <c r="AM84" i="152"/>
  <c r="AN84" i="152"/>
  <c r="AN81" i="152"/>
  <c r="J81" i="152"/>
  <c r="AM80" i="152"/>
  <c r="AM87" i="152"/>
  <c r="I80" i="152"/>
  <c r="AN80" i="152"/>
  <c r="L87" i="152"/>
  <c r="L86" i="152"/>
  <c r="H101" i="152"/>
  <c r="AM101" i="152"/>
  <c r="K89" i="152"/>
  <c r="H103" i="152"/>
  <c r="X73" i="152"/>
  <c r="U87" i="152"/>
  <c r="U86" i="152"/>
  <c r="AI73" i="152"/>
  <c r="AJ73" i="152"/>
  <c r="X46" i="152"/>
  <c r="W43" i="152"/>
  <c r="AC43" i="152"/>
  <c r="X24" i="152"/>
  <c r="W32" i="152"/>
  <c r="X32" i="152"/>
  <c r="W14" i="152"/>
  <c r="X14" i="152"/>
  <c r="S101" i="152"/>
  <c r="U101" i="152"/>
  <c r="X43" i="152"/>
  <c r="AN64" i="152"/>
  <c r="J64" i="152"/>
  <c r="K23" i="152"/>
  <c r="AN36" i="152"/>
  <c r="AI36" i="152"/>
  <c r="AJ36" i="152"/>
  <c r="K36" i="152"/>
  <c r="J46" i="152"/>
  <c r="AI46" i="152"/>
  <c r="AJ46" i="152"/>
  <c r="AN46" i="152"/>
  <c r="K13" i="152"/>
  <c r="AI17" i="152"/>
  <c r="AJ17" i="152"/>
  <c r="K17" i="152"/>
  <c r="AN17" i="152"/>
  <c r="J17" i="152"/>
  <c r="AK17" i="152"/>
  <c r="AN28" i="152"/>
  <c r="J28" i="152"/>
  <c r="K66" i="152"/>
  <c r="AN40" i="152"/>
  <c r="J40" i="152"/>
  <c r="K40" i="152"/>
  <c r="AI40" i="152"/>
  <c r="AJ40" i="152"/>
  <c r="AK40" i="152"/>
  <c r="AN79" i="152"/>
  <c r="AI79" i="152"/>
  <c r="AJ79" i="152"/>
  <c r="J79" i="152"/>
  <c r="J80" i="152"/>
  <c r="AI80" i="152"/>
  <c r="AJ80" i="152"/>
  <c r="K81" i="152"/>
  <c r="AN100" i="152"/>
  <c r="K49" i="152"/>
  <c r="K60" i="152"/>
  <c r="J20" i="152"/>
  <c r="AN20" i="152"/>
  <c r="K20" i="152"/>
  <c r="K21" i="152"/>
  <c r="AN67" i="152"/>
  <c r="AI67" i="152"/>
  <c r="AJ67" i="152"/>
  <c r="J67" i="152"/>
  <c r="K75" i="152"/>
  <c r="AN37" i="152"/>
  <c r="AI37" i="152"/>
  <c r="AJ37" i="152"/>
  <c r="J37" i="152"/>
  <c r="AN26" i="152"/>
  <c r="K45" i="152"/>
  <c r="J58" i="152"/>
  <c r="AN58" i="152"/>
  <c r="K58" i="152"/>
  <c r="K77" i="152"/>
  <c r="AN76" i="152"/>
  <c r="J76" i="152"/>
  <c r="AI76" i="152"/>
  <c r="AJ76" i="152"/>
  <c r="K74" i="152"/>
  <c r="K65" i="152"/>
  <c r="K16" i="152"/>
  <c r="J56" i="152"/>
  <c r="AI56" i="152"/>
  <c r="AJ56" i="152"/>
  <c r="AN56" i="152"/>
  <c r="K41" i="152"/>
  <c r="AI58" i="152"/>
  <c r="AJ58" i="152"/>
  <c r="K25" i="152"/>
  <c r="K42" i="152"/>
  <c r="K72" i="152"/>
  <c r="AI72" i="152"/>
  <c r="AJ72" i="152"/>
  <c r="AN72" i="152"/>
  <c r="J54" i="152"/>
  <c r="AK54" i="152"/>
  <c r="AN54" i="152"/>
  <c r="AN51" i="152"/>
  <c r="J51" i="152"/>
  <c r="AN38" i="152"/>
  <c r="J38" i="152"/>
  <c r="J43" i="152"/>
  <c r="K43" i="152"/>
  <c r="AN43" i="152"/>
  <c r="J93" i="152"/>
  <c r="K93" i="152"/>
  <c r="K100" i="152"/>
  <c r="AN93" i="152"/>
  <c r="AN55" i="152"/>
  <c r="AN13" i="152"/>
  <c r="K51" i="152"/>
  <c r="K54" i="152"/>
  <c r="AN87" i="152"/>
  <c r="I101" i="152"/>
  <c r="AN101" i="152"/>
  <c r="I86" i="152"/>
  <c r="AN86" i="152"/>
  <c r="K56" i="152"/>
  <c r="K76" i="152"/>
  <c r="K37" i="152"/>
  <c r="K80" i="152"/>
  <c r="K38" i="152"/>
  <c r="E108" i="152"/>
  <c r="K67" i="152"/>
  <c r="K79" i="152"/>
  <c r="K28" i="152"/>
  <c r="K46" i="152"/>
  <c r="K64" i="152"/>
  <c r="J86" i="152"/>
  <c r="K86" i="152"/>
  <c r="E110" i="152"/>
  <c r="K101" i="152"/>
  <c r="X69" i="152"/>
  <c r="AC61" i="152"/>
  <c r="AC81" i="152"/>
  <c r="X81" i="152"/>
  <c r="AC47" i="152"/>
  <c r="X12" i="152"/>
  <c r="AC12" i="152"/>
  <c r="AC51" i="152"/>
  <c r="X51" i="152"/>
  <c r="AC38" i="152"/>
  <c r="AC35" i="152"/>
  <c r="AC25" i="152"/>
  <c r="AC57" i="152"/>
  <c r="X57" i="152"/>
  <c r="X49" i="152"/>
  <c r="AC49" i="152"/>
  <c r="X23" i="152"/>
  <c r="AC23" i="152"/>
  <c r="X10" i="152"/>
  <c r="AC10" i="152"/>
  <c r="AC75" i="152"/>
  <c r="AI35" i="152"/>
  <c r="AJ35" i="152"/>
  <c r="AC90" i="152"/>
  <c r="AI48" i="152"/>
  <c r="AJ48" i="152"/>
  <c r="X48" i="152"/>
  <c r="AC33" i="152"/>
  <c r="X28" i="152"/>
  <c r="AC65" i="152"/>
  <c r="AC11" i="152"/>
  <c r="AC62" i="152"/>
  <c r="AI62" i="152"/>
  <c r="AJ62" i="152"/>
  <c r="AI12" i="152"/>
  <c r="AJ12" i="152"/>
  <c r="AC68" i="152"/>
  <c r="X53" i="152"/>
  <c r="AC53" i="152"/>
  <c r="X38" i="152"/>
  <c r="X31" i="152"/>
  <c r="X25" i="152"/>
  <c r="W35" i="152"/>
  <c r="X47" i="152"/>
  <c r="W79" i="152"/>
  <c r="X61" i="152"/>
  <c r="AI38" i="152"/>
  <c r="AJ38" i="152"/>
  <c r="X22" i="152"/>
  <c r="AI22" i="152"/>
  <c r="AJ22" i="152"/>
  <c r="X80" i="152"/>
  <c r="AI69" i="152"/>
  <c r="AJ69" i="152"/>
  <c r="AC34" i="152"/>
  <c r="X34" i="152"/>
  <c r="X88" i="152"/>
  <c r="AC41" i="152"/>
  <c r="AC48" i="152"/>
  <c r="V101" i="152"/>
  <c r="AC29" i="152"/>
  <c r="AC15" i="152"/>
  <c r="W16" i="152"/>
  <c r="AC69" i="152"/>
  <c r="W68" i="152"/>
  <c r="AC37" i="152"/>
  <c r="X62" i="152"/>
  <c r="AC76" i="152"/>
  <c r="AC66" i="152"/>
  <c r="AI41" i="152"/>
  <c r="AJ41" i="152"/>
  <c r="AI61" i="152"/>
  <c r="AJ61" i="152"/>
  <c r="AC59" i="152"/>
  <c r="AC85" i="152"/>
  <c r="X90" i="152"/>
  <c r="X75" i="152"/>
  <c r="X59" i="152"/>
  <c r="AC70" i="152"/>
  <c r="AC91" i="152"/>
  <c r="AB91" i="152"/>
  <c r="Z100" i="152"/>
  <c r="AB73" i="152"/>
  <c r="AC73" i="152"/>
  <c r="AC46" i="152"/>
  <c r="Z87" i="152"/>
  <c r="AI32" i="152"/>
  <c r="AJ32" i="152"/>
  <c r="AA32" i="152"/>
  <c r="Y101" i="152"/>
  <c r="AC24" i="152"/>
  <c r="AC22" i="152"/>
  <c r="AB22" i="152"/>
  <c r="AC14" i="152"/>
  <c r="AK14" i="152"/>
  <c r="AB14" i="152"/>
  <c r="AI14" i="152"/>
  <c r="AJ14" i="152"/>
  <c r="W87" i="152"/>
  <c r="W86" i="152"/>
  <c r="X35" i="152"/>
  <c r="X68" i="152"/>
  <c r="AC16" i="152"/>
  <c r="X79" i="152"/>
  <c r="X16" i="152"/>
  <c r="AC79" i="152"/>
  <c r="Z101" i="152"/>
  <c r="Z86" i="152"/>
  <c r="AA86" i="152"/>
  <c r="AB101" i="152"/>
  <c r="AC32" i="152"/>
  <c r="AB32" i="152"/>
  <c r="AA101" i="152"/>
  <c r="AC101" i="152"/>
  <c r="W101" i="152"/>
  <c r="AB86" i="152"/>
  <c r="AI85" i="152"/>
  <c r="AJ85" i="152"/>
  <c r="Q77" i="152"/>
  <c r="AI77" i="152"/>
  <c r="AJ77" i="152"/>
  <c r="Q71" i="152"/>
  <c r="Q70" i="152"/>
  <c r="Q66" i="152"/>
  <c r="AI66" i="152"/>
  <c r="AJ66" i="152"/>
  <c r="AI64" i="152"/>
  <c r="AJ64" i="152"/>
  <c r="Q60" i="152"/>
  <c r="AI60" i="152"/>
  <c r="AJ60" i="152"/>
  <c r="AI53" i="152"/>
  <c r="AJ53" i="152"/>
  <c r="Q53" i="152"/>
  <c r="AI52" i="152"/>
  <c r="AJ52" i="152"/>
  <c r="Q51" i="152"/>
  <c r="AI51" i="152"/>
  <c r="AJ51" i="152"/>
  <c r="AI39" i="152"/>
  <c r="AJ39" i="152"/>
  <c r="AI34" i="152"/>
  <c r="AJ34" i="152"/>
  <c r="AI33" i="152"/>
  <c r="AJ33" i="152"/>
  <c r="Q32" i="152"/>
  <c r="Q31" i="152"/>
  <c r="AI24" i="152"/>
  <c r="AJ24" i="152"/>
  <c r="P24" i="152"/>
  <c r="Q67" i="152"/>
  <c r="Q52" i="152"/>
  <c r="Q72" i="152"/>
  <c r="Q85" i="152"/>
  <c r="Q74" i="152"/>
  <c r="Q62" i="152"/>
  <c r="Q16" i="152"/>
  <c r="Q45" i="152"/>
  <c r="Q89" i="152"/>
  <c r="Q38" i="152"/>
  <c r="Q34" i="152"/>
  <c r="Q33" i="152"/>
  <c r="Q26" i="152"/>
  <c r="AK26" i="152"/>
  <c r="Q20" i="152"/>
  <c r="Q37" i="152"/>
  <c r="P30" i="152"/>
  <c r="AI10" i="152"/>
  <c r="AJ10" i="152"/>
  <c r="Q21" i="152"/>
  <c r="AI44" i="152"/>
  <c r="AJ44" i="152"/>
  <c r="Q29" i="152"/>
  <c r="Q55" i="152"/>
  <c r="Q36" i="152"/>
  <c r="AI16" i="152"/>
  <c r="AJ16" i="152"/>
  <c r="AI75" i="152"/>
  <c r="AJ75" i="152"/>
  <c r="AI43" i="152"/>
  <c r="AJ43" i="152"/>
  <c r="Q43" i="152"/>
  <c r="AI59" i="152"/>
  <c r="AJ59" i="152"/>
  <c r="P19" i="152"/>
  <c r="Q10" i="152"/>
  <c r="AI25" i="152"/>
  <c r="AJ25" i="152"/>
  <c r="Q44" i="152"/>
  <c r="Q96" i="152"/>
  <c r="P81" i="152"/>
  <c r="Q65" i="152"/>
  <c r="Q61" i="152"/>
  <c r="Q49" i="152"/>
  <c r="Q35" i="152"/>
  <c r="Q75" i="152"/>
  <c r="P79" i="152"/>
  <c r="AI81" i="152"/>
  <c r="AJ81" i="152"/>
  <c r="P13" i="152"/>
  <c r="Q25" i="152"/>
  <c r="Q47" i="152"/>
  <c r="Q12" i="152"/>
  <c r="N86" i="152"/>
  <c r="AJ87" i="152"/>
  <c r="AJ86" i="152"/>
  <c r="Q24" i="152"/>
  <c r="Q13" i="152"/>
  <c r="AK30" i="152"/>
  <c r="Q30" i="152"/>
  <c r="Q79" i="152"/>
  <c r="Q19" i="152"/>
  <c r="E107" i="152"/>
  <c r="P86" i="152"/>
  <c r="AI87" i="152"/>
  <c r="AI101" i="152"/>
  <c r="Q81" i="152"/>
  <c r="AJ101" i="152"/>
  <c r="E109" i="152"/>
  <c r="AI86" i="152"/>
  <c r="P101" i="152"/>
  <c r="Q86" i="152"/>
  <c r="AG101" i="152"/>
  <c r="AG86" i="152"/>
  <c r="AL73" i="152"/>
  <c r="AL69" i="152"/>
  <c r="AK74" i="152"/>
  <c r="AK68" i="152"/>
  <c r="AK73" i="152"/>
  <c r="L101" i="152"/>
  <c r="AL84" i="152"/>
  <c r="AK12" i="152"/>
  <c r="AL23" i="152"/>
  <c r="AK56" i="152"/>
  <c r="AL82" i="152"/>
  <c r="AL44" i="152"/>
  <c r="AK32" i="152"/>
  <c r="AL37" i="152"/>
  <c r="AL62" i="152"/>
  <c r="AK78" i="152"/>
  <c r="AK51" i="152"/>
  <c r="AK85" i="152"/>
  <c r="AL28" i="152"/>
  <c r="AK60" i="152"/>
  <c r="AL70" i="152"/>
  <c r="AL83" i="152"/>
  <c r="AK79" i="152"/>
  <c r="AL75" i="152"/>
  <c r="AK31" i="152"/>
  <c r="AL22" i="152"/>
  <c r="AL81" i="152"/>
  <c r="AK76" i="152"/>
  <c r="AK63" i="152"/>
  <c r="AL42" i="152"/>
  <c r="AK16" i="152"/>
  <c r="AL72" i="152"/>
  <c r="AL33" i="152"/>
  <c r="AK11" i="152"/>
  <c r="AK20" i="152"/>
  <c r="AL55" i="152"/>
  <c r="AK49" i="152"/>
  <c r="AL41" i="152"/>
  <c r="M86" i="152"/>
  <c r="AL100" i="152"/>
  <c r="AL27" i="152"/>
  <c r="AL47" i="152"/>
  <c r="AK39" i="152"/>
  <c r="R86" i="152"/>
  <c r="R101" i="152"/>
  <c r="E106" i="152"/>
  <c r="AL36" i="152"/>
  <c r="AL10" i="152"/>
  <c r="AL87" i="152"/>
  <c r="AL86" i="152"/>
  <c r="AK13" i="152"/>
  <c r="AK87" i="152"/>
  <c r="AK86" i="152"/>
  <c r="AK58" i="152"/>
  <c r="AL34" i="152"/>
  <c r="AK53" i="152"/>
  <c r="AL64" i="152"/>
  <c r="AL35" i="152"/>
  <c r="AK15" i="152"/>
  <c r="AK66" i="152"/>
  <c r="AK57" i="152"/>
  <c r="AL43" i="152"/>
  <c r="AK38" i="152"/>
  <c r="AK50" i="152"/>
  <c r="AL19" i="152"/>
  <c r="AL101" i="152"/>
  <c r="X101" i="152"/>
  <c r="AK101" i="152"/>
</calcChain>
</file>

<file path=xl/sharedStrings.xml><?xml version="1.0" encoding="utf-8"?>
<sst xmlns="http://schemas.openxmlformats.org/spreadsheetml/2006/main" count="285" uniqueCount="246">
  <si>
    <t>Всего</t>
  </si>
  <si>
    <t>НДС</t>
  </si>
  <si>
    <t>всего</t>
  </si>
  <si>
    <t>нач.</t>
  </si>
  <si>
    <t>тек.</t>
  </si>
  <si>
    <t>Вахта</t>
  </si>
  <si>
    <t>ИТОГО</t>
  </si>
  <si>
    <t>КОНТРОЛЬНАЯ СТРОКА</t>
  </si>
  <si>
    <t xml:space="preserve">408а </t>
  </si>
  <si>
    <t>508а</t>
  </si>
  <si>
    <t>509б</t>
  </si>
  <si>
    <t>Лифт левый</t>
  </si>
  <si>
    <t>509а</t>
  </si>
  <si>
    <t>618а</t>
  </si>
  <si>
    <t>503а</t>
  </si>
  <si>
    <t>402, 402а</t>
  </si>
  <si>
    <t xml:space="preserve">Лифт правый </t>
  </si>
  <si>
    <t>110, 112</t>
  </si>
  <si>
    <t>1а-2й этаж</t>
  </si>
  <si>
    <t>1-й этаж</t>
  </si>
  <si>
    <t>1б-3й этаж</t>
  </si>
  <si>
    <t>Общее потребление арендаторов</t>
  </si>
  <si>
    <t>403а</t>
  </si>
  <si>
    <t>618б</t>
  </si>
  <si>
    <t>СВОБОДНО склад на рампе на САА</t>
  </si>
  <si>
    <t>вода</t>
  </si>
  <si>
    <t>СВОБОДНО архив относим на САА</t>
  </si>
  <si>
    <t>малый вагон</t>
  </si>
  <si>
    <t>индексация</t>
  </si>
  <si>
    <t>под лестницей</t>
  </si>
  <si>
    <t>терминал</t>
  </si>
  <si>
    <t>Общее потребление на 1 этаж фойе и теплопункт</t>
  </si>
  <si>
    <t>Офис Снарова А.А.</t>
  </si>
  <si>
    <t>409а</t>
  </si>
  <si>
    <t>4-й этаж</t>
  </si>
  <si>
    <t>САА</t>
  </si>
  <si>
    <t>Уткин Н.В.</t>
  </si>
  <si>
    <t>Э/Э</t>
  </si>
  <si>
    <t>Транс Э/Э</t>
  </si>
  <si>
    <t>т/э</t>
  </si>
  <si>
    <t>Транс т/э</t>
  </si>
  <si>
    <t>вода потери</t>
  </si>
  <si>
    <t>Сигнализация ЗС</t>
  </si>
  <si>
    <t>Сумма облагаемая ндс</t>
  </si>
  <si>
    <t>ВСЕГО</t>
  </si>
  <si>
    <t>Техобслуживание ЗС</t>
  </si>
  <si>
    <t>Кт 90.1.1</t>
  </si>
  <si>
    <t>Т/Э на 44 счет</t>
  </si>
  <si>
    <t>Э/Э на 44 счет</t>
  </si>
  <si>
    <t>На затраты</t>
  </si>
  <si>
    <t>ЭЛЕКТРОЭНЕРГИЯ</t>
  </si>
  <si>
    <t>ТЕПЛОЭНЕРГИЯ</t>
  </si>
  <si>
    <t>ВОДОПОТРЕБЛЕНИЕ</t>
  </si>
  <si>
    <t>Т/Э на 76.7 БЕЛЭЗ</t>
  </si>
  <si>
    <t>Э/Э на 76.7 БЕЛЭЗ</t>
  </si>
  <si>
    <t>Транспорт и сигнализация на счет 90.1.1</t>
  </si>
  <si>
    <t>ТО на счет 76.7 ЗС</t>
  </si>
  <si>
    <t>Тарифы</t>
  </si>
  <si>
    <t>Контрагент</t>
  </si>
  <si>
    <t>А1</t>
  </si>
  <si>
    <t>АВТОЛАК-плюс</t>
  </si>
  <si>
    <t>Антоненко О.Г.</t>
  </si>
  <si>
    <t>БастионС</t>
  </si>
  <si>
    <t>ВИДМАЛ</t>
  </si>
  <si>
    <t>Витебская КлинингКомпания</t>
  </si>
  <si>
    <t>ВитЭколайн</t>
  </si>
  <si>
    <t>Витэкотех</t>
  </si>
  <si>
    <t>Гончарова И.В.</t>
  </si>
  <si>
    <t>Жаворонкова С.Н.</t>
  </si>
  <si>
    <t>Иваночкин Я.Н.</t>
  </si>
  <si>
    <t>Коротова Н.П.</t>
  </si>
  <si>
    <t>Кузьменкова В.В.</t>
  </si>
  <si>
    <t>ЛедаНа 2014</t>
  </si>
  <si>
    <t>Лисекон</t>
  </si>
  <si>
    <t>Макарова Ю.А.</t>
  </si>
  <si>
    <t>МЕГАХЕНД</t>
  </si>
  <si>
    <t>МедФармИнвест</t>
  </si>
  <si>
    <t>Принттехсервис</t>
  </si>
  <si>
    <t>РедЛайнКомпани</t>
  </si>
  <si>
    <t>СилаТокаСевер</t>
  </si>
  <si>
    <t>Сипхаус</t>
  </si>
  <si>
    <t>ТЕДОЛ</t>
  </si>
  <si>
    <t>ХОЛОД-АС</t>
  </si>
  <si>
    <t>Шкирандо А.В.</t>
  </si>
  <si>
    <t>Эдифис плюс</t>
  </si>
  <si>
    <t>ЭКСТРАЛАЙТДЕНТ</t>
  </si>
  <si>
    <t>ЭлСиДи Медиа</t>
  </si>
  <si>
    <t>натурлайф</t>
  </si>
  <si>
    <t>Эльдорадо</t>
  </si>
  <si>
    <t>Золотой слон</t>
  </si>
  <si>
    <t>Религиозная организация</t>
  </si>
  <si>
    <t>Договор</t>
  </si>
  <si>
    <t>Договор на оказание услуг № 1/1/2023 от 01.01.2023 г.</t>
  </si>
  <si>
    <t>Договор аренды № 61/2020 от 23.12.2020 г.</t>
  </si>
  <si>
    <t>Доброном Филиал "Кричев"</t>
  </si>
  <si>
    <t>Договор аренды № 15/2019 от 29.11.19 г.</t>
  </si>
  <si>
    <t>Договор аренды № 38/2022 от 01.12.2022 г.</t>
  </si>
  <si>
    <t>Договор аренды № 39/2023 от 01.01.2023 г.</t>
  </si>
  <si>
    <t>Договор аренды № 32/2023 от 01.01.2023 г.</t>
  </si>
  <si>
    <t>Договор аренды № 61/2011 от 18.07.2011 г.</t>
  </si>
  <si>
    <t>Договор аренды № 9/2023 от 01.01.2023 г.</t>
  </si>
  <si>
    <t>Договор аренды № 34/2023 от 01.01.2023 г.</t>
  </si>
  <si>
    <t>Договор аренды № 30/2023 от 01.01.2023 г.</t>
  </si>
  <si>
    <t>Договор аренды № 18/2023 от 01.01.2023 г.</t>
  </si>
  <si>
    <t>Договор аренды № 1/2023 от 01.01.2023 г.</t>
  </si>
  <si>
    <t>Договор аренды № 27/2023 от 01.01.2023 г.</t>
  </si>
  <si>
    <t>Договор аренды № 22/2023 от 01.01.2023 г.</t>
  </si>
  <si>
    <t>Договор аренды № 12/2023 от 01.01.2023 г.</t>
  </si>
  <si>
    <t>Договор аренды № 19/2023 от 01.01.2023 г.</t>
  </si>
  <si>
    <t>Договор аренды № 24/2023 от 01.01.2023 г.</t>
  </si>
  <si>
    <t>Договор аренды № 25/2023 от 01.01.2023 г.</t>
  </si>
  <si>
    <t>Договор аренды № 14/2023 от 01.01.2023 г.</t>
  </si>
  <si>
    <t>Договор аренды № 23/2023 от 01.01.2023 г.</t>
  </si>
  <si>
    <t>Договор аренды № 13/2023 от 01.01.2023 г.</t>
  </si>
  <si>
    <t>Договор аренды № 29/2023 от 01.01.2023 г.</t>
  </si>
  <si>
    <t>Договор аренды № 40/2023 от 01.01.2023 г.</t>
  </si>
  <si>
    <t>Договор аренды № 5/2023 от 01.01.2023 г.</t>
  </si>
  <si>
    <t>Договор аренды № 6/2023 от 01.01.23 г.</t>
  </si>
  <si>
    <t>Договор аренды № 17/2023 от 01.01.2023 г.</t>
  </si>
  <si>
    <t>Договор аренды № 42/2023 от 01.01.2023 г.</t>
  </si>
  <si>
    <t>Договор аренды № 33/2023 от 01.01.2023 г.</t>
  </si>
  <si>
    <t>Договор аренды № 26/2023 от 01.01.2023 г.</t>
  </si>
  <si>
    <r>
      <rPr>
        <sz val="12"/>
        <color indexed="10"/>
        <rFont val="Times New Roman"/>
        <family val="1"/>
        <charset val="204"/>
      </rPr>
      <t>Наименование Электроэнергия БелЭЗ</t>
    </r>
    <r>
      <rPr>
        <b/>
        <sz val="12"/>
        <color indexed="10"/>
        <rFont val="Times New Roman"/>
        <family val="1"/>
        <charset val="204"/>
      </rPr>
      <t xml:space="preserve"> Цена</t>
    </r>
  </si>
  <si>
    <r>
      <rPr>
        <sz val="12"/>
        <color indexed="10"/>
        <rFont val="Times New Roman"/>
        <family val="1"/>
        <charset val="204"/>
      </rPr>
      <t>Наименование Трансп. и перераб. электроэн. и обслуживание сетей</t>
    </r>
    <r>
      <rPr>
        <b/>
        <sz val="12"/>
        <color indexed="10"/>
        <rFont val="Times New Roman"/>
        <family val="1"/>
        <charset val="204"/>
      </rPr>
      <t xml:space="preserve"> Цена</t>
    </r>
  </si>
  <si>
    <r>
      <rPr>
        <sz val="12"/>
        <color indexed="10"/>
        <rFont val="Times New Roman"/>
        <family val="1"/>
        <charset val="204"/>
      </rPr>
      <t>Наименование Теплоэнергия БелЭЗ</t>
    </r>
    <r>
      <rPr>
        <b/>
        <sz val="12"/>
        <color indexed="10"/>
        <rFont val="Times New Roman"/>
        <family val="1"/>
        <charset val="204"/>
      </rPr>
      <t xml:space="preserve"> Цена</t>
    </r>
  </si>
  <si>
    <r>
      <rPr>
        <sz val="12"/>
        <color indexed="10"/>
        <rFont val="Times New Roman"/>
        <family val="1"/>
        <charset val="204"/>
      </rPr>
      <t>Наименование Транспортировка теплоэнергии</t>
    </r>
    <r>
      <rPr>
        <b/>
        <sz val="12"/>
        <color indexed="10"/>
        <rFont val="Times New Roman"/>
        <family val="1"/>
        <charset val="204"/>
      </rPr>
      <t xml:space="preserve"> Цена</t>
    </r>
  </si>
  <si>
    <r>
      <rPr>
        <sz val="12"/>
        <color indexed="10"/>
        <rFont val="Times New Roman"/>
        <family val="1"/>
        <charset val="204"/>
      </rPr>
      <t xml:space="preserve">Наименование Водопотребление и водоотведение Водоканал </t>
    </r>
    <r>
      <rPr>
        <b/>
        <sz val="12"/>
        <color indexed="10"/>
        <rFont val="Times New Roman"/>
        <family val="1"/>
        <charset val="204"/>
      </rPr>
      <t>Цена</t>
    </r>
  </si>
  <si>
    <r>
      <rPr>
        <sz val="12"/>
        <color indexed="10"/>
        <rFont val="Times New Roman"/>
        <family val="1"/>
        <charset val="204"/>
      </rPr>
      <t xml:space="preserve">Наименование Потери на сетях Водоканал </t>
    </r>
    <r>
      <rPr>
        <b/>
        <sz val="12"/>
        <color indexed="10"/>
        <rFont val="Times New Roman"/>
        <family val="1"/>
        <charset val="204"/>
      </rPr>
      <t>Цена</t>
    </r>
  </si>
  <si>
    <r>
      <rPr>
        <b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Электроэнергия БелЭЗ</t>
    </r>
  </si>
  <si>
    <r>
      <rPr>
        <b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Электроэнергия БелЭЗ</t>
    </r>
  </si>
  <si>
    <r>
      <rPr>
        <b/>
        <sz val="10"/>
        <rFont val="Times New Roman"/>
        <family val="1"/>
        <charset val="204"/>
      </rPr>
      <t>НДС</t>
    </r>
    <r>
      <rPr>
        <sz val="10"/>
        <rFont val="Times New Roman"/>
        <family val="1"/>
        <charset val="204"/>
      </rPr>
      <t xml:space="preserve"> Электроэнергия БелЭЗ</t>
    </r>
  </si>
  <si>
    <r>
      <rPr>
        <b/>
        <sz val="10"/>
        <rFont val="Times New Roman"/>
        <family val="1"/>
        <charset val="204"/>
      </rPr>
      <t>Всего</t>
    </r>
    <r>
      <rPr>
        <sz val="10"/>
        <rFont val="Times New Roman"/>
        <family val="1"/>
        <charset val="204"/>
      </rPr>
      <t xml:space="preserve"> Электроэнергия БелЭЗ</t>
    </r>
  </si>
  <si>
    <r>
      <rPr>
        <b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Трансп. и перераб. электроэн. и обслуживание сетей</t>
    </r>
  </si>
  <si>
    <r>
      <rPr>
        <b/>
        <sz val="10"/>
        <rFont val="Times New Roman"/>
        <family val="1"/>
        <charset val="204"/>
      </rPr>
      <t xml:space="preserve">Сумма и Всего </t>
    </r>
    <r>
      <rPr>
        <sz val="10"/>
        <rFont val="Times New Roman"/>
        <family val="1"/>
        <charset val="204"/>
      </rPr>
      <t>Трансп. и перераб. электроэн. и обслуживание сетей</t>
    </r>
  </si>
  <si>
    <r>
      <rPr>
        <b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Теплоэнергия БелЭЗ</t>
    </r>
  </si>
  <si>
    <r>
      <rPr>
        <b/>
        <sz val="10"/>
        <rFont val="Times New Roman"/>
        <family val="1"/>
        <charset val="204"/>
      </rPr>
      <t>НДС</t>
    </r>
    <r>
      <rPr>
        <sz val="10"/>
        <rFont val="Times New Roman"/>
        <family val="1"/>
        <charset val="204"/>
      </rPr>
      <t xml:space="preserve"> Теплоэнергия БелЭЗ</t>
    </r>
  </si>
  <si>
    <r>
      <rPr>
        <b/>
        <sz val="10"/>
        <rFont val="Times New Roman"/>
        <family val="1"/>
        <charset val="204"/>
      </rPr>
      <t>Всего</t>
    </r>
    <r>
      <rPr>
        <sz val="10"/>
        <rFont val="Times New Roman"/>
        <family val="1"/>
        <charset val="204"/>
      </rPr>
      <t xml:space="preserve"> Теплоэнергия БелЭЗ</t>
    </r>
  </si>
  <si>
    <r>
      <rPr>
        <b/>
        <sz val="10"/>
        <rFont val="Times New Roman"/>
        <family val="1"/>
        <charset val="204"/>
      </rPr>
      <t xml:space="preserve">Сумма и Всего </t>
    </r>
    <r>
      <rPr>
        <sz val="10"/>
        <rFont val="Times New Roman"/>
        <family val="1"/>
        <charset val="204"/>
      </rPr>
      <t>Транспортировка теплоэнергии</t>
    </r>
  </si>
  <si>
    <r>
      <rPr>
        <b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</t>
    </r>
    <r>
      <rPr>
        <sz val="10"/>
        <color indexed="10"/>
        <rFont val="Times New Roman"/>
        <family val="1"/>
        <charset val="204"/>
      </rPr>
      <t>Теплоэнергия БелЭЗ</t>
    </r>
    <r>
      <rPr>
        <sz val="10"/>
        <rFont val="Times New Roman"/>
        <family val="1"/>
        <charset val="204"/>
      </rPr>
      <t xml:space="preserve"> и </t>
    </r>
    <r>
      <rPr>
        <sz val="10"/>
        <color indexed="40"/>
        <rFont val="Times New Roman"/>
        <family val="1"/>
        <charset val="204"/>
      </rPr>
      <t>Транспортировка теплоэнергии</t>
    </r>
  </si>
  <si>
    <r>
      <rPr>
        <b/>
        <sz val="10"/>
        <rFont val="Times New Roman"/>
        <family val="1"/>
        <charset val="204"/>
      </rPr>
      <t xml:space="preserve">Количество </t>
    </r>
    <r>
      <rPr>
        <sz val="10"/>
        <rFont val="Times New Roman"/>
        <family val="1"/>
        <charset val="204"/>
      </rPr>
      <t>Водопотребление и водоотведение Водоканал</t>
    </r>
  </si>
  <si>
    <r>
      <rPr>
        <b/>
        <sz val="10"/>
        <rFont val="Times New Roman"/>
        <family val="1"/>
        <charset val="204"/>
      </rPr>
      <t xml:space="preserve">Сумма </t>
    </r>
    <r>
      <rPr>
        <sz val="10"/>
        <rFont val="Times New Roman"/>
        <family val="1"/>
        <charset val="204"/>
      </rPr>
      <t>Водопотребление и водоотведение Водоканал</t>
    </r>
  </si>
  <si>
    <r>
      <rPr>
        <b/>
        <sz val="10"/>
        <rFont val="Times New Roman"/>
        <family val="1"/>
        <charset val="204"/>
      </rPr>
      <t xml:space="preserve">НДС </t>
    </r>
    <r>
      <rPr>
        <sz val="10"/>
        <rFont val="Times New Roman"/>
        <family val="1"/>
        <charset val="204"/>
      </rPr>
      <t>Водопотребление и водоотведение Водоканал</t>
    </r>
  </si>
  <si>
    <r>
      <t>Всего</t>
    </r>
    <r>
      <rPr>
        <sz val="10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Водопотребление и водоотведение Водоканал</t>
    </r>
  </si>
  <si>
    <r>
      <t>Количество</t>
    </r>
    <r>
      <rPr>
        <sz val="10"/>
        <rFont val="Times New Roman"/>
        <family val="1"/>
        <charset val="204"/>
      </rPr>
      <t xml:space="preserve"> Потери на сетях Водоканал</t>
    </r>
  </si>
  <si>
    <r>
      <t>Сумма</t>
    </r>
    <r>
      <rPr>
        <sz val="10"/>
        <rFont val="Times New Roman"/>
        <family val="1"/>
        <charset val="204"/>
      </rPr>
      <t xml:space="preserve"> Потери на сетях Водоканал</t>
    </r>
  </si>
  <si>
    <r>
      <t>НДС</t>
    </r>
    <r>
      <rPr>
        <sz val="10"/>
        <rFont val="Times New Roman"/>
        <family val="1"/>
        <charset val="204"/>
      </rPr>
      <t xml:space="preserve"> Потери на сетях Водоканал</t>
    </r>
  </si>
  <si>
    <r>
      <t>Всего</t>
    </r>
    <r>
      <rPr>
        <sz val="10"/>
        <rFont val="Times New Roman"/>
        <family val="1"/>
        <charset val="204"/>
      </rPr>
      <t xml:space="preserve"> Потери на сетях Водоканал</t>
    </r>
  </si>
  <si>
    <r>
      <rPr>
        <b/>
        <sz val="10"/>
        <rFont val="Times New Roman"/>
        <family val="1"/>
        <charset val="204"/>
      </rPr>
      <t xml:space="preserve">Цена Сумма Всего </t>
    </r>
    <r>
      <rPr>
        <sz val="10"/>
        <rFont val="Times New Roman"/>
        <family val="1"/>
        <charset val="204"/>
      </rPr>
      <t>Сигнализация</t>
    </r>
  </si>
  <si>
    <t>Количество у Сигнализации =1</t>
  </si>
  <si>
    <r>
      <rPr>
        <b/>
        <sz val="10"/>
        <rFont val="Times New Roman"/>
        <family val="1"/>
        <charset val="204"/>
      </rPr>
      <t>Цена</t>
    </r>
    <r>
      <rPr>
        <sz val="1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Услуги по содерж. и техническ. обслуживанию здания Золотой слон</t>
    </r>
  </si>
  <si>
    <r>
      <rPr>
        <b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и </t>
    </r>
    <r>
      <rPr>
        <b/>
        <sz val="10"/>
        <rFont val="Times New Roman"/>
        <family val="1"/>
        <charset val="204"/>
      </rPr>
      <t>Всего</t>
    </r>
    <r>
      <rPr>
        <sz val="1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Услуги по содерж. и техническ. обслуживанию здания Золотой слон</t>
    </r>
  </si>
  <si>
    <r>
      <rPr>
        <b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Услуги по содерж. и техническ. обслуживанию здания Золотой слон</t>
    </r>
  </si>
  <si>
    <t>ЦайЛу</t>
  </si>
  <si>
    <t>Договор аренды № 48/2023 от 11.04.2023 г.</t>
  </si>
  <si>
    <t>Договор на оказание услуг № 1/2/2023 от 01.01.2023 г.</t>
  </si>
  <si>
    <t>Договор аренды № 38/2023 от 01.01.2023 г.</t>
  </si>
  <si>
    <t>Договор аренды № 41/2023 от 01.01.2023 г.</t>
  </si>
  <si>
    <t>Договор аренды № 37/2023 от 01.01.2023 г.</t>
  </si>
  <si>
    <t>кондиционер</t>
  </si>
  <si>
    <t>А-ПАРК</t>
  </si>
  <si>
    <t>Васильева Е.И.</t>
  </si>
  <si>
    <t>Договор аренды № 56/2023 от 13.05.2023 г.</t>
  </si>
  <si>
    <t>Договор аренды № 66/2023 от 08.06.2023 г.</t>
  </si>
  <si>
    <t>Теплопункт, фойе, тамбур на входе, относим на САА</t>
  </si>
  <si>
    <t>Договор аренды № 72/2023 от 17.07.2023 г.</t>
  </si>
  <si>
    <t>Жилинская Н.Ю.</t>
  </si>
  <si>
    <t>412 (половина), 410</t>
  </si>
  <si>
    <t>Примечания</t>
  </si>
  <si>
    <t>Договор аренды № 40/2022 от 01.10.2022 г.</t>
  </si>
  <si>
    <t>201, 202, 203</t>
  </si>
  <si>
    <t>кухня</t>
  </si>
  <si>
    <t>Договор аренды № 43/2023 от 01.01.2023 г.</t>
  </si>
  <si>
    <t>Книга С.П.</t>
  </si>
  <si>
    <t>412 (половина), 412а</t>
  </si>
  <si>
    <t xml:space="preserve">Справочно: </t>
  </si>
  <si>
    <t>Договор № 14-149 от 17.04.2014 г. (коммунальные)</t>
  </si>
  <si>
    <t>электротовары</t>
  </si>
  <si>
    <t>АТЕЛЬЕРО</t>
  </si>
  <si>
    <t>Договор аренды № 74/2023 от 21.07.2023 г.</t>
  </si>
  <si>
    <t>Матющенко А.А.</t>
  </si>
  <si>
    <t>Договор № 15-10-2012 от 15.10.12 г. на теплоэнергию и электроэнергию</t>
  </si>
  <si>
    <t>Большой вагон</t>
  </si>
  <si>
    <t>автоматы игрушек</t>
  </si>
  <si>
    <t>Вендорвит</t>
  </si>
  <si>
    <t>Договор аренды № 85/2023 от 23.11.2023 г.</t>
  </si>
  <si>
    <t>блок 509</t>
  </si>
  <si>
    <t>416 (половина), 416б</t>
  </si>
  <si>
    <t>416 (половина), 416а</t>
  </si>
  <si>
    <t>Трацевская В.И.</t>
  </si>
  <si>
    <t>Шаева О.А.</t>
  </si>
  <si>
    <t>Пэдурян В.С.</t>
  </si>
  <si>
    <t>Договор аренды № 87/2023 от 27.12.2023 г.</t>
  </si>
  <si>
    <t>Договор аренды № 86/2023 от 21.12.2023 г.</t>
  </si>
  <si>
    <t>Зелепуга О.А.</t>
  </si>
  <si>
    <t>Баранников Ю.А.</t>
  </si>
  <si>
    <t>Прудников И.Ю.</t>
  </si>
  <si>
    <t>Голубева Е.В.</t>
  </si>
  <si>
    <t>Овчинников А.Г.</t>
  </si>
  <si>
    <t>Договор аренды № 88/2023 от 29.12.2023 г.</t>
  </si>
  <si>
    <t>Договор аренды № 02/2024 от 05.01.2024 г.</t>
  </si>
  <si>
    <t>Договор аренды № 06/2024 от 24.01.2024</t>
  </si>
  <si>
    <t>Договор аренды № 73/2023 от 18.07.23 г.</t>
  </si>
  <si>
    <t>Павлова И.Ю.</t>
  </si>
  <si>
    <t>Колухонова В.А.</t>
  </si>
  <si>
    <t>Договор аренды № 15/2024 от 01.03.2024</t>
  </si>
  <si>
    <t>Трегубенков Е.В.</t>
  </si>
  <si>
    <t>Договор аренды № 18/2024 от 04.03.2024</t>
  </si>
  <si>
    <t>Жукова С.А.</t>
  </si>
  <si>
    <t>Договор аренды № 11/2024 от 09.02.2024</t>
  </si>
  <si>
    <t>612 (половина)</t>
  </si>
  <si>
    <t>Забегулина Л.Г.</t>
  </si>
  <si>
    <t>Договор аренды № 12/2024 от 09.02.2024</t>
  </si>
  <si>
    <t>Гуд-Строй Витебск</t>
  </si>
  <si>
    <t>Эстетика вождения</t>
  </si>
  <si>
    <t>Договор аренды № 44/2023 от 02.02.2023 г.</t>
  </si>
  <si>
    <t>Договор аренды № 31/2024 от 10.05.24</t>
  </si>
  <si>
    <t>кофеавтомат</t>
  </si>
  <si>
    <t>Федотиков А.А.</t>
  </si>
  <si>
    <t>Яскевич Ю.М.</t>
  </si>
  <si>
    <t>Договор аренды № 45/2024 от 05.07.2024</t>
  </si>
  <si>
    <t>Договор аренды № 42/2024 от 01.07.2024</t>
  </si>
  <si>
    <t>ВЕДАСТРОЙ</t>
  </si>
  <si>
    <t>в т.ч.</t>
  </si>
  <si>
    <t>Договор аренды № 34/2024 от 24.05.2024</t>
  </si>
  <si>
    <t>а должно быть</t>
  </si>
  <si>
    <t>по счёту</t>
  </si>
  <si>
    <t>Аршакина Ю.В.</t>
  </si>
  <si>
    <t>Договор аренды № 58/2024 от 10.12.2024</t>
  </si>
  <si>
    <t>Договор аренды № 1/2025 от 09.01.2025</t>
  </si>
  <si>
    <t>Договор аренды № 2/2025 от 09.01.25</t>
  </si>
  <si>
    <t>Договор аренды № 57/2024 от 09.12.2024</t>
  </si>
  <si>
    <t xml:space="preserve">                       Округление по теплооэнергии в строке 98 На затраты Сумма  НДС - 0,01 Всего - 0,01 Сумма  +- копейки</t>
  </si>
  <si>
    <t xml:space="preserve">                       Округление по воде в строке 43 Колухонова В.А. НДС  Всего  Сумма потери +0,01 НДС потери  Всего потери  ИТОГО  +- копейки</t>
  </si>
  <si>
    <t xml:space="preserve">                       Округление по электроэнергии в строке 98 На затраты Сумма - 0,02 НДС + 0,03 Всего + 0,01 Сумма и Всего  транспортировка на  +- копейки</t>
  </si>
  <si>
    <t xml:space="preserve">                       По электроэнергии в строке 87 лифт правый потребление + 255 кВт*ч</t>
  </si>
  <si>
    <t xml:space="preserve">                       Округление по электроэнергии в строке 85 Контрольная строка Сумма  НДС  Всего  Сумма и Всего  транспортировка на + 0,01 +- копейки</t>
  </si>
  <si>
    <t xml:space="preserve">                       Округление по теплоэнергии в строке 85 Контрольная строка Сумма  НДС  Всего  Сумма и Всего  транспортировка на - 0,03 +- копейки</t>
  </si>
  <si>
    <t>Договор аренды № 18/2025 от 25.03.2025</t>
  </si>
  <si>
    <t>Договор аренды № 19/2025 от 25.03.2025</t>
  </si>
  <si>
    <t>с25.03.за7дней</t>
  </si>
  <si>
    <t>с25.03.за7дней(6,5)</t>
  </si>
  <si>
    <t>по25.03.за25дней(24,5)</t>
  </si>
  <si>
    <t>Женский туалет РЕМОНТ НА САА</t>
  </si>
  <si>
    <t>Места общего пользования, в т.ч. водяной насос, освещение этажей и лестниц, сан.узлов, РЕМОНТ ТУАЛЕТА НА 5-М ЭТАЖЕ И Ж/Т В ОФИС 513</t>
  </si>
  <si>
    <t>Общая сумма по воде 576,84+115,34=692,18</t>
  </si>
  <si>
    <t xml:space="preserve">                       Округление по воде в строке 100 На затраты Сумма -0,03 НДС -0,01 Всего -0,04 Сумма потери НДС потери -0,02 Всего потери -0,02 ИТОГО -0,06 +- копейки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</si>
</sst>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 ;[Red]\-#,##0\ "/>
    <numFmt numFmtId="165" formatCode="\з\а\ mmm/yy"/>
    <numFmt numFmtId="166" formatCode="#,##0.00_ ;[Red]\-#,##0.00\ "/>
    <numFmt numFmtId="167" formatCode="#,##0.000"/>
    <numFmt numFmtId="168" formatCode="#,##0.0"/>
    <numFmt numFmtId="169" formatCode="#,##0.0000"/>
  </numFmts>
  <fonts count="38" x14ac:knownFonts="1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indexed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3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0"/>
      <name val="Arial"/>
      <family val="2"/>
      <charset val="204"/>
    </font>
    <font>
      <b/>
      <sz val="6"/>
      <name val="Arial"/>
      <family val="2"/>
      <charset val="204"/>
    </font>
    <font>
      <b/>
      <sz val="9"/>
      <name val="Arial"/>
      <family val="2"/>
      <charset val="204"/>
    </font>
    <font>
      <b/>
      <sz val="12"/>
      <color indexed="10"/>
      <name val="Times New Roman"/>
      <family val="1"/>
      <charset val="204"/>
    </font>
    <font>
      <sz val="10"/>
      <color indexed="40"/>
      <name val="Times New Roman"/>
      <family val="1"/>
      <charset val="204"/>
    </font>
    <font>
      <sz val="8"/>
      <name val="Arial"/>
      <family val="2"/>
      <charset val="204"/>
    </font>
    <font>
      <b/>
      <sz val="10"/>
      <color rgb="FF7030A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rgb="FF0070C0"/>
      <name val="Times New Roman"/>
      <family val="1"/>
      <charset val="204"/>
    </font>
    <font>
      <sz val="10"/>
      <color theme="1"/>
      <name val="Arial Cyr"/>
      <charset val="204"/>
    </font>
    <font>
      <b/>
      <i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/>
    <xf numFmtId="1" fontId="2" fillId="0" borderId="0" xfId="0" applyNumberFormat="1" applyFont="1" applyFill="1"/>
    <xf numFmtId="0" fontId="2" fillId="0" borderId="0" xfId="0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4" fontId="2" fillId="0" borderId="0" xfId="0" applyNumberFormat="1" applyFont="1" applyFill="1" applyAlignment="1">
      <alignment horizontal="center"/>
    </xf>
    <xf numFmtId="166" fontId="3" fillId="0" borderId="0" xfId="0" applyNumberFormat="1" applyFont="1" applyFill="1" applyAlignment="1">
      <alignment horizontal="center"/>
    </xf>
    <xf numFmtId="3" fontId="15" fillId="3" borderId="1" xfId="0" applyNumberFormat="1" applyFont="1" applyFill="1" applyBorder="1" applyAlignment="1">
      <alignment horizontal="center"/>
    </xf>
    <xf numFmtId="4" fontId="3" fillId="0" borderId="0" xfId="0" applyNumberFormat="1" applyFont="1" applyFill="1" applyAlignment="1">
      <alignment horizontal="center"/>
    </xf>
    <xf numFmtId="4" fontId="2" fillId="0" borderId="0" xfId="0" applyNumberFormat="1" applyFont="1" applyFill="1"/>
    <xf numFmtId="0" fontId="2" fillId="0" borderId="2" xfId="0" applyFont="1" applyFill="1" applyBorder="1"/>
    <xf numFmtId="0" fontId="16" fillId="0" borderId="0" xfId="0" applyFont="1" applyFill="1"/>
    <xf numFmtId="0" fontId="16" fillId="0" borderId="0" xfId="0" applyFont="1"/>
    <xf numFmtId="4" fontId="0" fillId="0" borderId="0" xfId="0" applyNumberFormat="1"/>
    <xf numFmtId="4" fontId="0" fillId="0" borderId="0" xfId="0" applyNumberFormat="1" applyFill="1"/>
    <xf numFmtId="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Fill="1" applyAlignment="1">
      <alignment horizontal="center"/>
    </xf>
    <xf numFmtId="0" fontId="0" fillId="0" borderId="0" xfId="0" applyFill="1"/>
    <xf numFmtId="4" fontId="1" fillId="0" borderId="0" xfId="0" applyNumberFormat="1" applyFont="1" applyFill="1"/>
    <xf numFmtId="4" fontId="9" fillId="0" borderId="0" xfId="0" applyNumberFormat="1" applyFont="1" applyFill="1"/>
    <xf numFmtId="4" fontId="0" fillId="0" borderId="0" xfId="0" applyNumberFormat="1" applyFill="1" applyAlignment="1">
      <alignment horizontal="right"/>
    </xf>
    <xf numFmtId="0" fontId="2" fillId="0" borderId="0" xfId="0" applyFont="1" applyFill="1" applyBorder="1" applyAlignment="1">
      <alignment horizontal="center"/>
    </xf>
    <xf numFmtId="4" fontId="9" fillId="0" borderId="0" xfId="0" applyNumberFormat="1" applyFont="1" applyFill="1" applyAlignment="1">
      <alignment horizontal="center"/>
    </xf>
    <xf numFmtId="0" fontId="16" fillId="0" borderId="2" xfId="0" applyFont="1" applyFill="1" applyBorder="1"/>
    <xf numFmtId="0" fontId="16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1" fontId="3" fillId="4" borderId="2" xfId="0" applyNumberFormat="1" applyFont="1" applyFill="1" applyBorder="1" applyAlignment="1">
      <alignment horizontal="center"/>
    </xf>
    <xf numFmtId="4" fontId="0" fillId="0" borderId="2" xfId="0" applyNumberFormat="1" applyFill="1" applyBorder="1"/>
    <xf numFmtId="4" fontId="1" fillId="0" borderId="2" xfId="0" applyNumberFormat="1" applyFont="1" applyFill="1" applyBorder="1"/>
    <xf numFmtId="4" fontId="0" fillId="0" borderId="2" xfId="0" applyNumberFormat="1" applyFill="1" applyBorder="1" applyAlignment="1">
      <alignment horizontal="right"/>
    </xf>
    <xf numFmtId="0" fontId="16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4" fontId="9" fillId="4" borderId="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right" vertical="center" wrapText="1"/>
    </xf>
    <xf numFmtId="0" fontId="17" fillId="0" borderId="2" xfId="0" applyFont="1" applyFill="1" applyBorder="1"/>
    <xf numFmtId="4" fontId="0" fillId="5" borderId="2" xfId="0" applyNumberFormat="1" applyFill="1" applyBorder="1"/>
    <xf numFmtId="1" fontId="2" fillId="4" borderId="2" xfId="0" applyNumberFormat="1" applyFont="1" applyFill="1" applyBorder="1" applyAlignment="1">
      <alignment horizontal="center"/>
    </xf>
    <xf numFmtId="4" fontId="0" fillId="4" borderId="2" xfId="0" applyNumberFormat="1" applyFill="1" applyBorder="1"/>
    <xf numFmtId="0" fontId="2" fillId="4" borderId="2" xfId="0" applyFont="1" applyFill="1" applyBorder="1" applyAlignment="1">
      <alignment horizontal="center"/>
    </xf>
    <xf numFmtId="4" fontId="0" fillId="4" borderId="2" xfId="0" applyNumberFormat="1" applyFill="1" applyBorder="1" applyAlignment="1">
      <alignment horizontal="center"/>
    </xf>
    <xf numFmtId="4" fontId="9" fillId="4" borderId="2" xfId="0" applyNumberFormat="1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3" fontId="16" fillId="0" borderId="2" xfId="0" applyNumberFormat="1" applyFont="1" applyFill="1" applyBorder="1" applyAlignment="1">
      <alignment horizontal="center"/>
    </xf>
    <xf numFmtId="3" fontId="2" fillId="5" borderId="2" xfId="0" applyNumberFormat="1" applyFont="1" applyFill="1" applyBorder="1" applyAlignment="1">
      <alignment horizontal="center"/>
    </xf>
    <xf numFmtId="3" fontId="2" fillId="4" borderId="2" xfId="0" applyNumberFormat="1" applyFon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3" fontId="16" fillId="5" borderId="2" xfId="0" applyNumberFormat="1" applyFont="1" applyFill="1" applyBorder="1" applyAlignment="1">
      <alignment horizontal="center"/>
    </xf>
    <xf numFmtId="3" fontId="18" fillId="4" borderId="2" xfId="0" applyNumberFormat="1" applyFont="1" applyFill="1" applyBorder="1" applyAlignment="1">
      <alignment horizontal="center"/>
    </xf>
    <xf numFmtId="3" fontId="16" fillId="4" borderId="2" xfId="0" applyNumberFormat="1" applyFont="1" applyFill="1" applyBorder="1" applyAlignment="1">
      <alignment horizontal="center"/>
    </xf>
    <xf numFmtId="4" fontId="2" fillId="4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3" fontId="18" fillId="5" borderId="2" xfId="0" applyNumberFormat="1" applyFont="1" applyFill="1" applyBorder="1" applyAlignment="1">
      <alignment horizontal="center"/>
    </xf>
    <xf numFmtId="0" fontId="17" fillId="0" borderId="2" xfId="0" applyFont="1" applyFill="1" applyBorder="1" applyAlignment="1">
      <alignment horizontal="left"/>
    </xf>
    <xf numFmtId="0" fontId="16" fillId="0" borderId="2" xfId="0" applyFont="1" applyBorder="1" applyAlignment="1">
      <alignment horizontal="left"/>
    </xf>
    <xf numFmtId="167" fontId="2" fillId="5" borderId="2" xfId="0" applyNumberFormat="1" applyFont="1" applyFill="1" applyBorder="1" applyAlignment="1">
      <alignment horizontal="center"/>
    </xf>
    <xf numFmtId="0" fontId="16" fillId="3" borderId="2" xfId="0" applyFont="1" applyFill="1" applyBorder="1" applyAlignment="1">
      <alignment horizontal="left"/>
    </xf>
    <xf numFmtId="0" fontId="19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3" fontId="18" fillId="0" borderId="2" xfId="0" applyNumberFormat="1" applyFont="1" applyFill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2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4" fontId="16" fillId="4" borderId="2" xfId="0" applyNumberFormat="1" applyFont="1" applyFill="1" applyBorder="1" applyAlignment="1">
      <alignment horizontal="center"/>
    </xf>
    <xf numFmtId="0" fontId="23" fillId="0" borderId="2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center"/>
    </xf>
    <xf numFmtId="3" fontId="3" fillId="4" borderId="2" xfId="0" applyNumberFormat="1" applyFont="1" applyFill="1" applyBorder="1" applyAlignment="1">
      <alignment horizontal="center"/>
    </xf>
    <xf numFmtId="0" fontId="16" fillId="2" borderId="2" xfId="0" applyFont="1" applyFill="1" applyBorder="1" applyAlignment="1">
      <alignment horizontal="left"/>
    </xf>
    <xf numFmtId="0" fontId="25" fillId="0" borderId="2" xfId="0" applyFont="1" applyFill="1" applyBorder="1"/>
    <xf numFmtId="167" fontId="18" fillId="5" borderId="2" xfId="0" applyNumberFormat="1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horizontal="center"/>
    </xf>
    <xf numFmtId="0" fontId="23" fillId="6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3" fontId="3" fillId="5" borderId="2" xfId="0" applyNumberFormat="1" applyFont="1" applyFill="1" applyBorder="1" applyAlignment="1">
      <alignment horizontal="center"/>
    </xf>
    <xf numFmtId="4" fontId="23" fillId="7" borderId="2" xfId="0" applyNumberFormat="1" applyFont="1" applyFill="1" applyBorder="1" applyAlignment="1">
      <alignment horizontal="left"/>
    </xf>
    <xf numFmtId="4" fontId="5" fillId="7" borderId="2" xfId="0" applyNumberFormat="1" applyFont="1" applyFill="1" applyBorder="1" applyAlignment="1">
      <alignment horizontal="center"/>
    </xf>
    <xf numFmtId="4" fontId="3" fillId="7" borderId="2" xfId="0" applyNumberFormat="1" applyFont="1" applyFill="1" applyBorder="1" applyAlignment="1">
      <alignment horizontal="center"/>
    </xf>
    <xf numFmtId="4" fontId="3" fillId="7" borderId="2" xfId="0" applyNumberFormat="1" applyFont="1" applyFill="1" applyBorder="1" applyAlignment="1">
      <alignment horizontal="right"/>
    </xf>
    <xf numFmtId="168" fontId="2" fillId="5" borderId="2" xfId="0" applyNumberFormat="1" applyFont="1" applyFill="1" applyBorder="1" applyAlignment="1">
      <alignment horizontal="center"/>
    </xf>
    <xf numFmtId="164" fontId="2" fillId="5" borderId="2" xfId="0" applyNumberFormat="1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/>
    </xf>
    <xf numFmtId="0" fontId="26" fillId="0" borderId="2" xfId="0" applyFont="1" applyFill="1" applyBorder="1" applyAlignment="1">
      <alignment horizontal="left"/>
    </xf>
    <xf numFmtId="2" fontId="16" fillId="0" borderId="2" xfId="0" applyNumberFormat="1" applyFont="1" applyFill="1" applyBorder="1" applyAlignment="1">
      <alignment horizontal="center"/>
    </xf>
    <xf numFmtId="164" fontId="3" fillId="4" borderId="2" xfId="0" applyNumberFormat="1" applyFont="1" applyFill="1" applyBorder="1" applyAlignment="1">
      <alignment horizontal="center"/>
    </xf>
    <xf numFmtId="2" fontId="2" fillId="4" borderId="2" xfId="0" applyNumberFormat="1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0" fontId="23" fillId="8" borderId="2" xfId="0" applyFont="1" applyFill="1" applyBorder="1" applyAlignment="1">
      <alignment horizontal="left"/>
    </xf>
    <xf numFmtId="0" fontId="27" fillId="8" borderId="2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center"/>
    </xf>
    <xf numFmtId="3" fontId="15" fillId="0" borderId="2" xfId="0" applyNumberFormat="1" applyFont="1" applyFill="1" applyBorder="1" applyAlignment="1">
      <alignment horizontal="center"/>
    </xf>
    <xf numFmtId="4" fontId="18" fillId="4" borderId="2" xfId="0" applyNumberFormat="1" applyFont="1" applyFill="1" applyBorder="1" applyAlignment="1">
      <alignment horizontal="center"/>
    </xf>
    <xf numFmtId="4" fontId="18" fillId="0" borderId="2" xfId="0" applyNumberFormat="1" applyFont="1" applyFill="1" applyBorder="1" applyAlignment="1">
      <alignment horizontal="center"/>
    </xf>
    <xf numFmtId="0" fontId="16" fillId="8" borderId="2" xfId="0" applyFont="1" applyFill="1" applyBorder="1" applyAlignment="1">
      <alignment horizontal="left"/>
    </xf>
    <xf numFmtId="0" fontId="23" fillId="0" borderId="2" xfId="0" applyFont="1" applyFill="1" applyBorder="1" applyAlignment="1">
      <alignment horizontal="center"/>
    </xf>
    <xf numFmtId="3" fontId="23" fillId="5" borderId="2" xfId="0" applyNumberFormat="1" applyFont="1" applyFill="1" applyBorder="1" applyAlignment="1">
      <alignment horizontal="center"/>
    </xf>
    <xf numFmtId="167" fontId="16" fillId="5" borderId="2" xfId="0" applyNumberFormat="1" applyFont="1" applyFill="1" applyBorder="1" applyAlignment="1">
      <alignment horizontal="center"/>
    </xf>
    <xf numFmtId="0" fontId="28" fillId="8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4" fontId="23" fillId="9" borderId="2" xfId="0" applyNumberFormat="1" applyFont="1" applyFill="1" applyBorder="1" applyAlignment="1">
      <alignment horizontal="left"/>
    </xf>
    <xf numFmtId="4" fontId="18" fillId="9" borderId="2" xfId="0" applyNumberFormat="1" applyFont="1" applyFill="1" applyBorder="1" applyAlignment="1">
      <alignment horizontal="center"/>
    </xf>
    <xf numFmtId="4" fontId="3" fillId="9" borderId="2" xfId="0" applyNumberFormat="1" applyFont="1" applyFill="1" applyBorder="1" applyAlignment="1">
      <alignment horizontal="center"/>
    </xf>
    <xf numFmtId="4" fontId="16" fillId="7" borderId="2" xfId="0" applyNumberFormat="1" applyFont="1" applyFill="1" applyBorder="1"/>
    <xf numFmtId="4" fontId="23" fillId="7" borderId="2" xfId="0" applyNumberFormat="1" applyFont="1" applyFill="1" applyBorder="1"/>
    <xf numFmtId="4" fontId="2" fillId="7" borderId="2" xfId="0" applyNumberFormat="1" applyFont="1" applyFill="1" applyBorder="1" applyAlignment="1">
      <alignment horizontal="center"/>
    </xf>
    <xf numFmtId="4" fontId="0" fillId="0" borderId="0" xfId="0" applyNumberFormat="1" applyFill="1" applyBorder="1"/>
    <xf numFmtId="4" fontId="9" fillId="0" borderId="0" xfId="0" applyNumberFormat="1" applyFont="1" applyFill="1" applyBorder="1"/>
    <xf numFmtId="4" fontId="0" fillId="0" borderId="0" xfId="0" applyNumberForma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4" fontId="0" fillId="0" borderId="0" xfId="0" applyNumberFormat="1" applyFill="1" applyBorder="1" applyAlignment="1">
      <alignment horizontal="right"/>
    </xf>
    <xf numFmtId="4" fontId="0" fillId="0" borderId="0" xfId="0" applyNumberFormat="1" applyBorder="1"/>
    <xf numFmtId="0" fontId="0" fillId="0" borderId="0" xfId="0" applyBorder="1"/>
    <xf numFmtId="9" fontId="4" fillId="0" borderId="0" xfId="0" applyNumberFormat="1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4" fontId="0" fillId="10" borderId="2" xfId="0" applyNumberFormat="1" applyFill="1" applyBorder="1"/>
    <xf numFmtId="4" fontId="9" fillId="10" borderId="2" xfId="0" applyNumberFormat="1" applyFont="1" applyFill="1" applyBorder="1"/>
    <xf numFmtId="3" fontId="2" fillId="10" borderId="2" xfId="0" applyNumberFormat="1" applyFont="1" applyFill="1" applyBorder="1" applyAlignment="1">
      <alignment horizontal="center"/>
    </xf>
    <xf numFmtId="1" fontId="23" fillId="10" borderId="2" xfId="0" applyNumberFormat="1" applyFont="1" applyFill="1" applyBorder="1" applyAlignment="1">
      <alignment horizontal="center"/>
    </xf>
    <xf numFmtId="164" fontId="23" fillId="10" borderId="2" xfId="0" applyNumberFormat="1" applyFont="1" applyFill="1" applyBorder="1" applyAlignment="1">
      <alignment horizontal="center"/>
    </xf>
    <xf numFmtId="0" fontId="29" fillId="0" borderId="0" xfId="0" applyFont="1" applyBorder="1"/>
    <xf numFmtId="0" fontId="29" fillId="0" borderId="0" xfId="0" applyFont="1" applyFill="1" applyBorder="1" applyAlignment="1">
      <alignment horizontal="left"/>
    </xf>
    <xf numFmtId="165" fontId="29" fillId="0" borderId="0" xfId="0" applyNumberFormat="1" applyFont="1" applyBorder="1"/>
    <xf numFmtId="4" fontId="9" fillId="5" borderId="2" xfId="0" applyNumberFormat="1" applyFont="1" applyFill="1" applyBorder="1"/>
    <xf numFmtId="4" fontId="10" fillId="0" borderId="0" xfId="0" applyNumberFormat="1" applyFont="1" applyFill="1"/>
    <xf numFmtId="0" fontId="11" fillId="0" borderId="2" xfId="0" applyFont="1" applyBorder="1" applyAlignment="1">
      <alignment wrapText="1"/>
    </xf>
    <xf numFmtId="0" fontId="16" fillId="7" borderId="2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left"/>
    </xf>
    <xf numFmtId="0" fontId="11" fillId="0" borderId="2" xfId="0" applyFont="1" applyFill="1" applyBorder="1" applyAlignment="1">
      <alignment wrapText="1"/>
    </xf>
    <xf numFmtId="0" fontId="2" fillId="7" borderId="2" xfId="0" applyFont="1" applyFill="1" applyBorder="1" applyAlignment="1">
      <alignment horizontal="center" vertical="center" wrapText="1"/>
    </xf>
    <xf numFmtId="4" fontId="9" fillId="4" borderId="2" xfId="0" applyNumberFormat="1" applyFont="1" applyFill="1" applyBorder="1"/>
    <xf numFmtId="4" fontId="9" fillId="7" borderId="2" xfId="0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1" fontId="16" fillId="0" borderId="0" xfId="0" applyNumberFormat="1" applyFont="1" applyFill="1"/>
    <xf numFmtId="0" fontId="31" fillId="0" borderId="2" xfId="0" applyFont="1" applyFill="1" applyBorder="1" applyAlignment="1">
      <alignment horizontal="left"/>
    </xf>
    <xf numFmtId="0" fontId="32" fillId="3" borderId="2" xfId="0" applyFont="1" applyFill="1" applyBorder="1" applyAlignment="1">
      <alignment horizontal="left"/>
    </xf>
    <xf numFmtId="3" fontId="23" fillId="10" borderId="2" xfId="0" applyNumberFormat="1" applyFont="1" applyFill="1" applyBorder="1" applyAlignment="1">
      <alignment horizontal="center"/>
    </xf>
    <xf numFmtId="0" fontId="33" fillId="0" borderId="2" xfId="0" applyFont="1" applyFill="1" applyBorder="1" applyAlignment="1">
      <alignment horizontal="left"/>
    </xf>
    <xf numFmtId="4" fontId="0" fillId="9" borderId="2" xfId="0" applyNumberFormat="1" applyFill="1" applyBorder="1"/>
    <xf numFmtId="4" fontId="9" fillId="7" borderId="2" xfId="0" applyNumberFormat="1" applyFont="1" applyFill="1" applyBorder="1"/>
    <xf numFmtId="0" fontId="32" fillId="0" borderId="2" xfId="0" applyFont="1" applyFill="1" applyBorder="1" applyAlignment="1">
      <alignment horizontal="left"/>
    </xf>
    <xf numFmtId="2" fontId="2" fillId="5" borderId="2" xfId="0" applyNumberFormat="1" applyFont="1" applyFill="1" applyBorder="1" applyAlignment="1">
      <alignment horizontal="center"/>
    </xf>
    <xf numFmtId="3" fontId="3" fillId="10" borderId="2" xfId="0" applyNumberFormat="1" applyFont="1" applyFill="1" applyBorder="1" applyAlignment="1">
      <alignment horizontal="center"/>
    </xf>
    <xf numFmtId="3" fontId="3" fillId="7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0" fontId="2" fillId="11" borderId="2" xfId="0" applyFont="1" applyFill="1" applyBorder="1" applyAlignment="1">
      <alignment horizontal="center"/>
    </xf>
    <xf numFmtId="3" fontId="16" fillId="11" borderId="2" xfId="0" applyNumberFormat="1" applyFont="1" applyFill="1" applyBorder="1" applyAlignment="1">
      <alignment horizontal="center"/>
    </xf>
    <xf numFmtId="3" fontId="2" fillId="11" borderId="2" xfId="0" applyNumberFormat="1" applyFont="1" applyFill="1" applyBorder="1" applyAlignment="1">
      <alignment horizontal="center"/>
    </xf>
    <xf numFmtId="4" fontId="0" fillId="11" borderId="2" xfId="0" applyNumberFormat="1" applyFill="1" applyBorder="1"/>
    <xf numFmtId="169" fontId="2" fillId="11" borderId="2" xfId="0" applyNumberFormat="1" applyFont="1" applyFill="1" applyBorder="1" applyAlignment="1">
      <alignment horizontal="center"/>
    </xf>
    <xf numFmtId="3" fontId="3" fillId="9" borderId="2" xfId="0" applyNumberFormat="1" applyFont="1" applyFill="1" applyBorder="1" applyAlignment="1">
      <alignment horizontal="center"/>
    </xf>
    <xf numFmtId="3" fontId="16" fillId="10" borderId="2" xfId="0" applyNumberFormat="1" applyFont="1" applyFill="1" applyBorder="1" applyAlignment="1">
      <alignment horizontal="center"/>
    </xf>
    <xf numFmtId="4" fontId="34" fillId="0" borderId="0" xfId="0" applyNumberFormat="1" applyFont="1" applyFill="1"/>
    <xf numFmtId="4" fontId="35" fillId="0" borderId="0" xfId="0" applyNumberFormat="1" applyFont="1" applyFill="1"/>
    <xf numFmtId="2" fontId="36" fillId="0" borderId="0" xfId="0" applyNumberFormat="1" applyFont="1" applyFill="1" applyAlignment="1">
      <alignment horizontal="center"/>
    </xf>
    <xf numFmtId="4" fontId="34" fillId="0" borderId="0" xfId="0" applyNumberFormat="1" applyFont="1" applyFill="1" applyAlignment="1">
      <alignment horizontal="center"/>
    </xf>
    <xf numFmtId="4" fontId="35" fillId="0" borderId="0" xfId="0" applyNumberFormat="1" applyFont="1" applyFill="1" applyAlignment="1">
      <alignment horizontal="center"/>
    </xf>
    <xf numFmtId="4" fontId="1" fillId="4" borderId="2" xfId="0" applyNumberFormat="1" applyFont="1" applyFill="1" applyBorder="1"/>
    <xf numFmtId="0" fontId="23" fillId="3" borderId="2" xfId="0" applyFont="1" applyFill="1" applyBorder="1" applyAlignment="1">
      <alignment horizontal="center"/>
    </xf>
    <xf numFmtId="3" fontId="16" fillId="3" borderId="2" xfId="0" applyNumberFormat="1" applyFont="1" applyFill="1" applyBorder="1" applyAlignment="1">
      <alignment horizontal="center"/>
    </xf>
    <xf numFmtId="4" fontId="0" fillId="3" borderId="2" xfId="0" applyNumberFormat="1" applyFill="1" applyBorder="1"/>
    <xf numFmtId="3" fontId="23" fillId="0" borderId="2" xfId="0" applyNumberFormat="1" applyFont="1" applyFill="1" applyBorder="1" applyAlignment="1">
      <alignment horizontal="center"/>
    </xf>
    <xf numFmtId="4" fontId="9" fillId="0" borderId="2" xfId="0" applyNumberFormat="1" applyFont="1" applyFill="1" applyBorder="1"/>
    <xf numFmtId="0" fontId="4" fillId="0" borderId="0" xfId="0" applyFont="1" applyFill="1" applyBorder="1" applyAlignment="1">
      <alignment horizontal="center"/>
    </xf>
    <xf numFmtId="9" fontId="37" fillId="0" borderId="0" xfId="0" applyNumberFormat="1" applyFont="1" applyFill="1" applyBorder="1" applyAlignment="1">
      <alignment horizontal="center" wrapText="1"/>
    </xf>
    <xf numFmtId="9" fontId="37" fillId="0" borderId="3" xfId="0" applyNumberFormat="1" applyFont="1" applyFill="1" applyBorder="1" applyAlignment="1">
      <alignment horizontal="center" wrapText="1"/>
    </xf>
    <xf numFmtId="4" fontId="1" fillId="10" borderId="4" xfId="0" applyNumberFormat="1" applyFont="1" applyFill="1" applyBorder="1" applyAlignment="1">
      <alignment horizontal="center"/>
    </xf>
    <xf numFmtId="4" fontId="1" fillId="10" borderId="5" xfId="0" applyNumberFormat="1" applyFont="1" applyFill="1" applyBorder="1" applyAlignment="1">
      <alignment horizontal="center"/>
    </xf>
    <xf numFmtId="4" fontId="1" fillId="10" borderId="6" xfId="0" applyNumberFormat="1" applyFont="1" applyFill="1" applyBorder="1" applyAlignment="1">
      <alignment horizontal="center"/>
    </xf>
    <xf numFmtId="2" fontId="2" fillId="5" borderId="2" xfId="0" applyNumberFormat="1" applyFont="1" applyFill="1" applyBorder="1" applyAlignment="1">
      <alignment horizontal="center"/>
    </xf>
    <xf numFmtId="1" fontId="2" fillId="4" borderId="4" xfId="0" applyNumberFormat="1" applyFont="1" applyFill="1" applyBorder="1" applyAlignment="1">
      <alignment horizontal="center"/>
    </xf>
    <xf numFmtId="1" fontId="2" fillId="4" borderId="5" xfId="0" applyNumberFormat="1" applyFont="1" applyFill="1" applyBorder="1" applyAlignment="1">
      <alignment horizontal="center"/>
    </xf>
    <xf numFmtId="1" fontId="2" fillId="4" borderId="6" xfId="0" applyNumberFormat="1" applyFont="1" applyFill="1" applyBorder="1" applyAlignment="1">
      <alignment horizontal="center"/>
    </xf>
  </cellXfs>
  <cellStyles count="1">
    <cellStyle name="Обычный" xfId="0" builtinId="0"/>
  </cellStyles>
  <dxfs count="1">
    <dxf>
      <font>
        <condense val="0"/>
        <extend val="0"/>
        <color indexed="55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43"/>
  <sheetViews>
    <sheetView tabSelected="1" zoomScale="145" zoomScaleNormal="145" workbookViewId="0">
      <pane xSplit="2" ySplit="9" topLeftCell="U10" activePane="bottomRight" state="frozen"/>
      <selection pane="topRight" activeCell="C1" sqref="C1"/>
      <selection pane="bottomLeft" activeCell="A10" sqref="A10"/>
      <selection pane="bottomRight" activeCell="AG63" sqref="AG63:AG64"/>
    </sheetView>
  </sheetViews>
  <sheetFormatPr defaultRowHeight="12.75" x14ac:dyDescent="0.2"/>
  <cols>
    <col min="1" max="1" width="13.5703125" style="15" bestFit="1" customWidth="1"/>
    <col min="2" max="2" width="26.140625" style="14" customWidth="1"/>
    <col min="3" max="3" width="38.7109375" style="14" customWidth="1"/>
    <col min="4" max="4" width="13.42578125" style="14" customWidth="1"/>
    <col min="5" max="5" width="8.42578125" style="3" bestFit="1" customWidth="1"/>
    <col min="6" max="6" width="8.5703125" style="3" customWidth="1"/>
    <col min="7" max="7" width="7.5703125" style="3" bestFit="1" customWidth="1"/>
    <col min="8" max="8" width="11.42578125" style="5" customWidth="1"/>
    <col min="9" max="9" width="8.85546875" style="17" bestFit="1" customWidth="1"/>
    <col min="10" max="10" width="8.5703125" style="17" bestFit="1" customWidth="1"/>
    <col min="11" max="11" width="9.5703125" style="23" customWidth="1"/>
    <col min="12" max="12" width="10.5703125" style="17" customWidth="1"/>
    <col min="13" max="13" width="11.42578125" style="17" customWidth="1"/>
    <col min="14" max="14" width="10.5703125" style="3" customWidth="1"/>
    <col min="15" max="15" width="8" style="17" bestFit="1" customWidth="1"/>
    <col min="16" max="16" width="8.42578125" style="17" bestFit="1" customWidth="1"/>
    <col min="17" max="17" width="8.42578125" style="23" customWidth="1"/>
    <col min="18" max="18" width="9.42578125" style="17" customWidth="1"/>
    <col min="19" max="20" width="7.5703125" style="3" bestFit="1" customWidth="1"/>
    <col min="21" max="21" width="11.42578125" style="17" customWidth="1"/>
    <col min="22" max="23" width="9.42578125" style="17" customWidth="1"/>
    <col min="24" max="24" width="9.42578125" style="23" customWidth="1"/>
    <col min="25" max="25" width="11.42578125" style="5" customWidth="1"/>
    <col min="26" max="27" width="9.42578125" style="20" customWidth="1"/>
    <col min="28" max="29" width="9.42578125" style="26" customWidth="1"/>
    <col min="30" max="30" width="10.5703125" style="5" customWidth="1"/>
    <col min="31" max="31" width="7.42578125" style="5" customWidth="1"/>
    <col min="32" max="32" width="9.42578125" style="5" customWidth="1"/>
    <col min="33" max="37" width="9.42578125" style="17" customWidth="1"/>
    <col min="38" max="38" width="9.42578125" style="24" customWidth="1"/>
    <col min="39" max="40" width="9.42578125" style="16" customWidth="1"/>
  </cols>
  <sheetData>
    <row r="1" spans="1:40" x14ac:dyDescent="0.2">
      <c r="B1" s="14" t="s">
        <v>57</v>
      </c>
      <c r="AK1" s="22" t="s">
        <v>2</v>
      </c>
    </row>
    <row r="2" spans="1:40" s="118" customFormat="1" ht="15.75" x14ac:dyDescent="0.25">
      <c r="A2" s="126" t="s">
        <v>37</v>
      </c>
      <c r="B2" s="127">
        <v>0.52336000000000005</v>
      </c>
      <c r="C2" s="133" t="s">
        <v>122</v>
      </c>
      <c r="D2" s="127"/>
      <c r="E2" s="2"/>
      <c r="F2" s="25"/>
      <c r="G2" s="25"/>
      <c r="H2" s="1"/>
      <c r="I2" s="111"/>
      <c r="J2" s="111"/>
      <c r="K2" s="112"/>
      <c r="L2" s="111"/>
      <c r="M2" s="111"/>
      <c r="N2" s="1"/>
      <c r="O2" s="111"/>
      <c r="P2" s="111"/>
      <c r="Q2" s="112"/>
      <c r="R2" s="111"/>
      <c r="S2" s="169"/>
      <c r="T2" s="169"/>
      <c r="U2" s="111"/>
      <c r="V2" s="111"/>
      <c r="W2" s="111"/>
      <c r="X2" s="112"/>
      <c r="Y2" s="1"/>
      <c r="Z2" s="113"/>
      <c r="AA2" s="113"/>
      <c r="AB2" s="114"/>
      <c r="AC2" s="114"/>
      <c r="AD2" s="115"/>
      <c r="AE2" s="115"/>
      <c r="AF2" s="115"/>
      <c r="AG2" s="111"/>
      <c r="AH2" s="111"/>
      <c r="AI2" s="111"/>
      <c r="AJ2" s="111"/>
      <c r="AK2" s="111"/>
      <c r="AL2" s="116"/>
      <c r="AM2" s="117"/>
      <c r="AN2" s="117"/>
    </row>
    <row r="3" spans="1:40" s="118" customFormat="1" ht="15.75" x14ac:dyDescent="0.25">
      <c r="A3" s="126" t="s">
        <v>38</v>
      </c>
      <c r="B3" s="127">
        <v>9.4210000000000002E-2</v>
      </c>
      <c r="C3" s="133" t="s">
        <v>123</v>
      </c>
      <c r="D3" s="127"/>
      <c r="E3" s="25"/>
      <c r="F3" s="25"/>
      <c r="G3" s="25"/>
      <c r="H3" s="1"/>
      <c r="I3" s="111"/>
      <c r="J3" s="111"/>
      <c r="K3" s="112"/>
      <c r="L3" s="111"/>
      <c r="M3" s="111"/>
      <c r="N3" s="1"/>
      <c r="O3" s="111"/>
      <c r="P3" s="111"/>
      <c r="Q3" s="112"/>
      <c r="R3" s="111"/>
      <c r="S3" s="1"/>
      <c r="T3" s="1"/>
      <c r="U3" s="111"/>
      <c r="V3" s="111"/>
      <c r="W3" s="111"/>
      <c r="X3" s="112"/>
      <c r="Y3" s="1"/>
      <c r="Z3" s="113"/>
      <c r="AA3" s="113"/>
      <c r="AB3" s="114"/>
      <c r="AC3" s="114"/>
      <c r="AD3" s="115"/>
      <c r="AE3" s="115"/>
      <c r="AF3" s="115"/>
      <c r="AG3" s="111"/>
      <c r="AH3" s="111"/>
      <c r="AI3" s="111"/>
      <c r="AJ3" s="111"/>
      <c r="AK3" s="111"/>
      <c r="AL3" s="116"/>
      <c r="AM3" s="117"/>
      <c r="AN3" s="117"/>
    </row>
    <row r="4" spans="1:40" s="118" customFormat="1" ht="15.75" x14ac:dyDescent="0.25">
      <c r="A4" s="126" t="s">
        <v>39</v>
      </c>
      <c r="B4" s="127">
        <v>0.16847799999999999</v>
      </c>
      <c r="C4" s="133" t="s">
        <v>124</v>
      </c>
      <c r="D4" s="127"/>
      <c r="E4" s="2"/>
      <c r="F4" s="2"/>
      <c r="G4" s="2"/>
      <c r="H4" s="1"/>
      <c r="I4" s="166"/>
      <c r="J4" s="111"/>
      <c r="K4" s="112"/>
      <c r="L4" s="111"/>
      <c r="M4" s="111"/>
      <c r="N4" s="1"/>
      <c r="O4" s="111"/>
      <c r="P4" s="111"/>
      <c r="Q4" s="112"/>
      <c r="R4" s="111"/>
      <c r="S4" s="25"/>
      <c r="T4" s="25"/>
      <c r="U4" s="111"/>
      <c r="V4" s="111"/>
      <c r="W4" s="111"/>
      <c r="X4" s="112"/>
      <c r="Y4" s="115"/>
      <c r="Z4" s="113"/>
      <c r="AA4" s="113"/>
      <c r="AB4" s="114"/>
      <c r="AC4" s="114"/>
      <c r="AD4" s="170" t="s">
        <v>148</v>
      </c>
      <c r="AE4" s="119"/>
      <c r="AF4" s="119"/>
      <c r="AG4" s="111"/>
      <c r="AH4" s="111"/>
      <c r="AI4" s="111"/>
      <c r="AJ4" s="111"/>
      <c r="AK4" s="111"/>
      <c r="AL4" s="116"/>
      <c r="AM4" s="117"/>
      <c r="AN4" s="117"/>
    </row>
    <row r="5" spans="1:40" s="118" customFormat="1" ht="15.75" x14ac:dyDescent="0.25">
      <c r="A5" s="126" t="s">
        <v>40</v>
      </c>
      <c r="B5" s="127">
        <v>1.0109E-2</v>
      </c>
      <c r="C5" s="133" t="s">
        <v>125</v>
      </c>
      <c r="D5" s="127"/>
      <c r="E5" s="2"/>
      <c r="F5" s="2"/>
      <c r="G5" s="2"/>
      <c r="H5" s="1"/>
      <c r="I5" s="111"/>
      <c r="J5" s="111"/>
      <c r="K5" s="112"/>
      <c r="L5" s="111"/>
      <c r="M5" s="111"/>
      <c r="N5" s="1"/>
      <c r="O5" s="111"/>
      <c r="P5" s="111"/>
      <c r="Q5" s="112"/>
      <c r="R5" s="111"/>
      <c r="S5" s="1"/>
      <c r="T5" s="1"/>
      <c r="U5" s="111"/>
      <c r="V5" s="111"/>
      <c r="W5" s="111"/>
      <c r="X5" s="112"/>
      <c r="Y5" s="1"/>
      <c r="Z5" s="113"/>
      <c r="AA5" s="113"/>
      <c r="AB5" s="114"/>
      <c r="AC5" s="114"/>
      <c r="AD5" s="170"/>
      <c r="AE5" s="1"/>
      <c r="AF5" s="1"/>
      <c r="AG5" s="111"/>
      <c r="AH5" s="111"/>
      <c r="AI5" s="111"/>
      <c r="AJ5" s="111"/>
      <c r="AK5" s="111"/>
      <c r="AL5" s="116"/>
      <c r="AM5" s="117"/>
      <c r="AN5" s="117"/>
    </row>
    <row r="6" spans="1:40" s="118" customFormat="1" ht="15.75" x14ac:dyDescent="0.25">
      <c r="A6" s="126" t="s">
        <v>25</v>
      </c>
      <c r="B6" s="127">
        <v>4.7368420000000002</v>
      </c>
      <c r="C6" s="133" t="s">
        <v>126</v>
      </c>
      <c r="D6" s="127"/>
      <c r="E6" s="2"/>
      <c r="F6" s="2"/>
      <c r="G6" s="2"/>
      <c r="H6" s="1"/>
      <c r="I6" s="111"/>
      <c r="J6" s="111"/>
      <c r="K6" s="112"/>
      <c r="L6" s="111"/>
      <c r="M6" s="111"/>
      <c r="N6" s="1"/>
      <c r="O6" s="111"/>
      <c r="P6" s="111"/>
      <c r="Q6" s="112"/>
      <c r="R6" s="111"/>
      <c r="S6" s="1"/>
      <c r="T6" s="1"/>
      <c r="U6" s="111"/>
      <c r="V6" s="111"/>
      <c r="W6" s="111"/>
      <c r="X6" s="112"/>
      <c r="Y6" s="1"/>
      <c r="Z6" s="113"/>
      <c r="AA6" s="113"/>
      <c r="AB6" s="114"/>
      <c r="AC6" s="114"/>
      <c r="AD6" s="170"/>
      <c r="AE6" s="1"/>
      <c r="AF6" s="1"/>
      <c r="AG6" s="111"/>
      <c r="AH6" s="111"/>
      <c r="AI6" s="111"/>
      <c r="AJ6" s="111"/>
      <c r="AK6" s="111"/>
      <c r="AL6" s="116"/>
      <c r="AM6" s="117"/>
      <c r="AN6" s="117"/>
    </row>
    <row r="7" spans="1:40" s="118" customFormat="1" ht="15.75" x14ac:dyDescent="0.25">
      <c r="A7" s="128" t="s">
        <v>41</v>
      </c>
      <c r="B7" s="127">
        <v>2.7913000000000001</v>
      </c>
      <c r="C7" s="133" t="s">
        <v>127</v>
      </c>
      <c r="D7" s="127"/>
      <c r="E7" s="2"/>
      <c r="F7" s="2"/>
      <c r="G7" s="2"/>
      <c r="H7" s="1"/>
      <c r="I7" s="111"/>
      <c r="J7" s="111"/>
      <c r="K7" s="112"/>
      <c r="L7" s="111"/>
      <c r="M7" s="111"/>
      <c r="N7" s="1"/>
      <c r="O7" s="111"/>
      <c r="P7" s="111"/>
      <c r="Q7" s="112"/>
      <c r="R7" s="111"/>
      <c r="S7" s="1"/>
      <c r="T7" s="1"/>
      <c r="U7" s="111"/>
      <c r="V7" s="111"/>
      <c r="W7" s="111"/>
      <c r="X7" s="112"/>
      <c r="Y7" s="1"/>
      <c r="Z7" s="113"/>
      <c r="AA7" s="113"/>
      <c r="AB7" s="114"/>
      <c r="AC7" s="114"/>
      <c r="AD7" s="170"/>
      <c r="AE7" s="1"/>
      <c r="AF7" s="1"/>
      <c r="AG7" s="111"/>
      <c r="AH7" s="111"/>
      <c r="AI7" s="111"/>
      <c r="AJ7" s="111"/>
      <c r="AK7" s="111"/>
      <c r="AL7" s="116"/>
      <c r="AM7" s="117"/>
      <c r="AN7" s="117"/>
    </row>
    <row r="8" spans="1:40" ht="15.75" x14ac:dyDescent="0.25">
      <c r="A8" s="128"/>
      <c r="B8" s="127"/>
      <c r="C8" s="133"/>
      <c r="D8" s="28"/>
      <c r="E8" s="13"/>
      <c r="F8" s="29"/>
      <c r="G8" s="29"/>
      <c r="H8" s="172" t="s">
        <v>50</v>
      </c>
      <c r="I8" s="173"/>
      <c r="J8" s="173"/>
      <c r="K8" s="173"/>
      <c r="L8" s="173"/>
      <c r="M8" s="174"/>
      <c r="N8" s="175" t="s">
        <v>51</v>
      </c>
      <c r="O8" s="175"/>
      <c r="P8" s="175"/>
      <c r="Q8" s="175"/>
      <c r="R8" s="175"/>
      <c r="S8" s="176" t="s">
        <v>52</v>
      </c>
      <c r="T8" s="177"/>
      <c r="U8" s="177"/>
      <c r="V8" s="177"/>
      <c r="W8" s="177"/>
      <c r="X8" s="177"/>
      <c r="Y8" s="177"/>
      <c r="Z8" s="177"/>
      <c r="AA8" s="177"/>
      <c r="AB8" s="177"/>
      <c r="AC8" s="178"/>
      <c r="AD8" s="171"/>
      <c r="AE8" s="29"/>
      <c r="AF8" s="29"/>
      <c r="AG8" s="31"/>
      <c r="AH8" s="31"/>
      <c r="AI8" s="31"/>
      <c r="AJ8" s="31"/>
      <c r="AK8" s="32" t="s">
        <v>35</v>
      </c>
      <c r="AL8" s="33"/>
    </row>
    <row r="9" spans="1:40" s="19" customFormat="1" ht="115.5" x14ac:dyDescent="0.2">
      <c r="A9" s="34"/>
      <c r="B9" s="132" t="s">
        <v>58</v>
      </c>
      <c r="C9" s="132" t="s">
        <v>91</v>
      </c>
      <c r="D9" s="34" t="s">
        <v>167</v>
      </c>
      <c r="E9" s="135" t="s">
        <v>151</v>
      </c>
      <c r="F9" s="35" t="s">
        <v>3</v>
      </c>
      <c r="G9" s="35" t="s">
        <v>4</v>
      </c>
      <c r="H9" s="135" t="s">
        <v>128</v>
      </c>
      <c r="I9" s="135" t="s">
        <v>129</v>
      </c>
      <c r="J9" s="135" t="s">
        <v>130</v>
      </c>
      <c r="K9" s="135" t="s">
        <v>131</v>
      </c>
      <c r="L9" s="135" t="s">
        <v>132</v>
      </c>
      <c r="M9" s="135" t="s">
        <v>133</v>
      </c>
      <c r="N9" s="135" t="s">
        <v>138</v>
      </c>
      <c r="O9" s="135" t="s">
        <v>134</v>
      </c>
      <c r="P9" s="135" t="s">
        <v>135</v>
      </c>
      <c r="Q9" s="135" t="s">
        <v>136</v>
      </c>
      <c r="R9" s="135" t="s">
        <v>137</v>
      </c>
      <c r="S9" s="36" t="s">
        <v>3</v>
      </c>
      <c r="T9" s="36" t="s">
        <v>4</v>
      </c>
      <c r="U9" s="135" t="s">
        <v>139</v>
      </c>
      <c r="V9" s="135" t="s">
        <v>140</v>
      </c>
      <c r="W9" s="135" t="s">
        <v>141</v>
      </c>
      <c r="X9" s="137" t="s">
        <v>142</v>
      </c>
      <c r="Y9" s="138" t="s">
        <v>143</v>
      </c>
      <c r="Z9" s="138" t="s">
        <v>144</v>
      </c>
      <c r="AA9" s="138" t="s">
        <v>145</v>
      </c>
      <c r="AB9" s="138" t="s">
        <v>146</v>
      </c>
      <c r="AC9" s="37" t="s">
        <v>6</v>
      </c>
      <c r="AD9" s="135" t="s">
        <v>147</v>
      </c>
      <c r="AE9" s="35" t="s">
        <v>42</v>
      </c>
      <c r="AF9" s="135" t="s">
        <v>149</v>
      </c>
      <c r="AG9" s="135" t="s">
        <v>150</v>
      </c>
      <c r="AH9" s="38" t="s">
        <v>45</v>
      </c>
      <c r="AI9" s="38" t="s">
        <v>43</v>
      </c>
      <c r="AJ9" s="38" t="s">
        <v>1</v>
      </c>
      <c r="AK9" s="38" t="s">
        <v>44</v>
      </c>
      <c r="AL9" s="39" t="s">
        <v>46</v>
      </c>
      <c r="AM9" s="18"/>
      <c r="AN9" s="18"/>
    </row>
    <row r="10" spans="1:40" x14ac:dyDescent="0.2">
      <c r="A10" s="40" t="s">
        <v>181</v>
      </c>
      <c r="B10" s="131" t="s">
        <v>64</v>
      </c>
      <c r="C10" s="131" t="s">
        <v>95</v>
      </c>
      <c r="D10" s="27"/>
      <c r="E10" s="29">
        <v>16.829999999999998</v>
      </c>
      <c r="F10" s="29">
        <v>6334</v>
      </c>
      <c r="G10" s="29">
        <v>6334</v>
      </c>
      <c r="H10" s="120">
        <f>G10-F10</f>
        <v>0</v>
      </c>
      <c r="I10" s="121">
        <f t="shared" ref="I10:I79" si="0">ROUND((H10*$B$2),2)</f>
        <v>0</v>
      </c>
      <c r="J10" s="121">
        <f>ROUND((I10*0.2),2)</f>
        <v>0</v>
      </c>
      <c r="K10" s="122">
        <f>I10+J10</f>
        <v>0</v>
      </c>
      <c r="L10" s="121">
        <f>H10</f>
        <v>0</v>
      </c>
      <c r="M10" s="121">
        <f t="shared" ref="M10:M16" si="1">ROUND((L10*$B$3),2)</f>
        <v>0</v>
      </c>
      <c r="N10" s="147"/>
      <c r="O10" s="41">
        <f>ROUND((N10*$B$4),2)</f>
        <v>0</v>
      </c>
      <c r="P10" s="41">
        <f>ROUND((O10*0.2),2)</f>
        <v>0</v>
      </c>
      <c r="Q10" s="129">
        <f>O10+P10</f>
        <v>0</v>
      </c>
      <c r="R10" s="41">
        <f>ROUND((N10*$B$5),2)</f>
        <v>0</v>
      </c>
      <c r="S10" s="42"/>
      <c r="T10" s="42"/>
      <c r="U10" s="43">
        <f>T10-S10</f>
        <v>0</v>
      </c>
      <c r="V10" s="43">
        <f>ROUND((U10*$B$6),2)</f>
        <v>0</v>
      </c>
      <c r="W10" s="43">
        <f>ROUND((V10*0.2),2)</f>
        <v>0</v>
      </c>
      <c r="X10" s="136">
        <f>V10+W10</f>
        <v>0</v>
      </c>
      <c r="Y10" s="44"/>
      <c r="Z10" s="45">
        <f>ROUND((Y10*$B$7),2)</f>
        <v>0</v>
      </c>
      <c r="AA10" s="45">
        <f>ROUND((Z10*0.2),2)</f>
        <v>0</v>
      </c>
      <c r="AB10" s="46">
        <f>Z10+AA10</f>
        <v>0</v>
      </c>
      <c r="AC10" s="46">
        <f t="shared" ref="AC10:AC83" si="2">V10+W10+Z10+AA10</f>
        <v>0</v>
      </c>
      <c r="AD10" s="29"/>
      <c r="AE10" s="29"/>
      <c r="AF10" s="29"/>
      <c r="AG10" s="31">
        <f>ROUND((AF10*E10),2)</f>
        <v>0</v>
      </c>
      <c r="AH10" s="31"/>
      <c r="AI10" s="31">
        <f t="shared" ref="AI10:AI83" si="3">ROUND((I10+O10+V10+Z10),2)</f>
        <v>0</v>
      </c>
      <c r="AJ10" s="31">
        <f>ROUND((AI10*0.2),2)</f>
        <v>0</v>
      </c>
      <c r="AK10" s="31">
        <f t="shared" ref="AK10:AK83" si="4">AG10+AD10+AA10+Z10+W10+V10+R10+P10+O10+M10+J10+I10</f>
        <v>0</v>
      </c>
      <c r="AL10" s="33">
        <f t="shared" ref="AL10:AL83" si="5">M10+R10+AD10</f>
        <v>0</v>
      </c>
      <c r="AM10" s="16">
        <f>H10*$B$2</f>
        <v>0</v>
      </c>
      <c r="AN10" s="16">
        <f>I10-AM10</f>
        <v>0</v>
      </c>
    </row>
    <row r="11" spans="1:40" ht="24" x14ac:dyDescent="0.2">
      <c r="A11" s="28">
        <v>101</v>
      </c>
      <c r="B11" s="131" t="s">
        <v>76</v>
      </c>
      <c r="C11" s="131" t="s">
        <v>154</v>
      </c>
      <c r="D11" s="28"/>
      <c r="E11" s="47">
        <v>34.57</v>
      </c>
      <c r="F11" s="48">
        <v>32629</v>
      </c>
      <c r="G11" s="48">
        <v>32938</v>
      </c>
      <c r="H11" s="120">
        <f t="shared" ref="H11:H84" si="6">G11-F11</f>
        <v>309</v>
      </c>
      <c r="I11" s="121">
        <f t="shared" si="0"/>
        <v>161.72</v>
      </c>
      <c r="J11" s="121">
        <f t="shared" ref="J11:J84" si="7">ROUND((I11*0.2),2)</f>
        <v>32.340000000000003</v>
      </c>
      <c r="K11" s="122">
        <f t="shared" ref="K11:K84" si="8">I11+J11</f>
        <v>194.06</v>
      </c>
      <c r="L11" s="121">
        <f>H11</f>
        <v>309</v>
      </c>
      <c r="M11" s="121">
        <f t="shared" si="1"/>
        <v>29.11</v>
      </c>
      <c r="N11" s="49">
        <v>322</v>
      </c>
      <c r="O11" s="41">
        <f t="shared" ref="O11:O84" si="9">ROUND((N11*$B$4),2)</f>
        <v>54.25</v>
      </c>
      <c r="P11" s="41">
        <f t="shared" ref="P11:P84" si="10">ROUND((O11*0.2),2)</f>
        <v>10.85</v>
      </c>
      <c r="Q11" s="129">
        <f t="shared" ref="Q11:Q84" si="11">O11+P11</f>
        <v>65.099999999999994</v>
      </c>
      <c r="R11" s="41">
        <f>ROUND((N11*$B$5),2)</f>
        <v>3.26</v>
      </c>
      <c r="S11" s="50"/>
      <c r="T11" s="50"/>
      <c r="U11" s="43">
        <f t="shared" ref="U11:U84" si="12">T11-S11</f>
        <v>0</v>
      </c>
      <c r="V11" s="43">
        <f t="shared" ref="V11:V84" si="13">ROUND((U11*$B$6),2)</f>
        <v>0</v>
      </c>
      <c r="W11" s="43">
        <f t="shared" ref="W11:W84" si="14">ROUND((V11*0.2),2)</f>
        <v>0</v>
      </c>
      <c r="X11" s="136">
        <f t="shared" ref="X11:X84" si="15">V11+W11</f>
        <v>0</v>
      </c>
      <c r="Y11" s="50"/>
      <c r="Z11" s="45">
        <f t="shared" ref="Z11:Z84" si="16">ROUND((Y11*$B$7),2)</f>
        <v>0</v>
      </c>
      <c r="AA11" s="45">
        <f t="shared" ref="AA11:AA84" si="17">ROUND((Z11*0.2),2)</f>
        <v>0</v>
      </c>
      <c r="AB11" s="46">
        <f t="shared" ref="AB11:AB84" si="18">Z11+AA11</f>
        <v>0</v>
      </c>
      <c r="AC11" s="46">
        <f t="shared" si="2"/>
        <v>0</v>
      </c>
      <c r="AD11" s="51"/>
      <c r="AE11" s="51"/>
      <c r="AF11" s="29">
        <v>2.4</v>
      </c>
      <c r="AG11" s="31">
        <f>ROUND((AF11*E11),2)</f>
        <v>82.97</v>
      </c>
      <c r="AH11" s="31"/>
      <c r="AI11" s="31">
        <f t="shared" si="3"/>
        <v>215.97</v>
      </c>
      <c r="AJ11" s="31">
        <f t="shared" ref="AJ11:AJ84" si="19">ROUND((AI11*0.2),2)</f>
        <v>43.19</v>
      </c>
      <c r="AK11" s="31">
        <f>AG11+AD11+AA11+Z11+W11+V11+R11+P11+O11+M11+J11+I11</f>
        <v>374.5</v>
      </c>
      <c r="AL11" s="33">
        <f t="shared" si="5"/>
        <v>32.369999999999997</v>
      </c>
      <c r="AM11" s="16">
        <f t="shared" ref="AM11:AM84" si="20">H11*$B$2</f>
        <v>161.71824000000001</v>
      </c>
      <c r="AN11" s="16">
        <f t="shared" ref="AN11:AN84" si="21">I11-AM11</f>
        <v>1.7599999999902138E-3</v>
      </c>
    </row>
    <row r="12" spans="1:40" ht="13.5" customHeight="1" x14ac:dyDescent="0.2">
      <c r="A12" s="28">
        <v>102</v>
      </c>
      <c r="B12" s="131" t="s">
        <v>193</v>
      </c>
      <c r="C12" s="131" t="s">
        <v>168</v>
      </c>
      <c r="D12" s="28" t="s">
        <v>176</v>
      </c>
      <c r="E12" s="29">
        <v>22.2</v>
      </c>
      <c r="F12" s="51">
        <v>56746</v>
      </c>
      <c r="G12" s="51">
        <v>56897</v>
      </c>
      <c r="H12" s="123">
        <f>G12-F12</f>
        <v>151</v>
      </c>
      <c r="I12" s="121">
        <f t="shared" si="0"/>
        <v>79.03</v>
      </c>
      <c r="J12" s="121">
        <f t="shared" si="7"/>
        <v>15.81</v>
      </c>
      <c r="K12" s="122">
        <f t="shared" si="8"/>
        <v>94.84</v>
      </c>
      <c r="L12" s="121">
        <f>H12</f>
        <v>151</v>
      </c>
      <c r="M12" s="121">
        <f t="shared" si="1"/>
        <v>14.23</v>
      </c>
      <c r="N12" s="49">
        <v>206</v>
      </c>
      <c r="O12" s="41">
        <f t="shared" si="9"/>
        <v>34.71</v>
      </c>
      <c r="P12" s="41">
        <f t="shared" si="10"/>
        <v>6.94</v>
      </c>
      <c r="Q12" s="129">
        <f t="shared" si="11"/>
        <v>41.65</v>
      </c>
      <c r="R12" s="41">
        <f>ROUND((N12*$B$5),2)</f>
        <v>2.08</v>
      </c>
      <c r="S12" s="50"/>
      <c r="T12" s="50"/>
      <c r="U12" s="43">
        <f t="shared" si="12"/>
        <v>0</v>
      </c>
      <c r="V12" s="43">
        <f t="shared" si="13"/>
        <v>0</v>
      </c>
      <c r="W12" s="43">
        <f t="shared" si="14"/>
        <v>0</v>
      </c>
      <c r="X12" s="136">
        <f t="shared" si="15"/>
        <v>0</v>
      </c>
      <c r="Y12" s="50"/>
      <c r="Z12" s="45">
        <f t="shared" si="16"/>
        <v>0</v>
      </c>
      <c r="AA12" s="45">
        <f t="shared" si="17"/>
        <v>0</v>
      </c>
      <c r="AB12" s="46">
        <f t="shared" si="18"/>
        <v>0</v>
      </c>
      <c r="AC12" s="46">
        <f t="shared" si="2"/>
        <v>0</v>
      </c>
      <c r="AD12" s="51"/>
      <c r="AE12" s="51"/>
      <c r="AF12" s="29">
        <v>2.4</v>
      </c>
      <c r="AG12" s="32">
        <f>ROUND((AF12*E12),2)</f>
        <v>53.28</v>
      </c>
      <c r="AH12" s="31"/>
      <c r="AI12" s="31">
        <f t="shared" si="3"/>
        <v>113.74</v>
      </c>
      <c r="AJ12" s="31">
        <f t="shared" si="19"/>
        <v>22.75</v>
      </c>
      <c r="AK12" s="31">
        <f t="shared" si="4"/>
        <v>206.07999999999998</v>
      </c>
      <c r="AL12" s="33">
        <f t="shared" si="5"/>
        <v>16.310000000000002</v>
      </c>
      <c r="AM12" s="16">
        <f t="shared" si="20"/>
        <v>79.027360000000002</v>
      </c>
      <c r="AN12" s="16">
        <f t="shared" si="21"/>
        <v>2.6399999999995316E-3</v>
      </c>
    </row>
    <row r="13" spans="1:40" x14ac:dyDescent="0.2">
      <c r="A13" s="28">
        <v>104</v>
      </c>
      <c r="B13" s="131" t="s">
        <v>94</v>
      </c>
      <c r="C13" s="131" t="s">
        <v>93</v>
      </c>
      <c r="D13" s="28" t="s">
        <v>158</v>
      </c>
      <c r="E13" s="52"/>
      <c r="F13" s="48">
        <v>56966</v>
      </c>
      <c r="G13" s="48">
        <v>58333</v>
      </c>
      <c r="H13" s="120">
        <f t="shared" si="6"/>
        <v>1367</v>
      </c>
      <c r="I13" s="121">
        <f t="shared" si="0"/>
        <v>715.43</v>
      </c>
      <c r="J13" s="121">
        <f t="shared" si="7"/>
        <v>143.09</v>
      </c>
      <c r="K13" s="122">
        <f t="shared" si="8"/>
        <v>858.52</v>
      </c>
      <c r="L13" s="121"/>
      <c r="M13" s="121">
        <f t="shared" si="1"/>
        <v>0</v>
      </c>
      <c r="N13" s="53"/>
      <c r="O13" s="41">
        <f t="shared" si="9"/>
        <v>0</v>
      </c>
      <c r="P13" s="41">
        <f t="shared" si="10"/>
        <v>0</v>
      </c>
      <c r="Q13" s="129">
        <f t="shared" si="11"/>
        <v>0</v>
      </c>
      <c r="R13" s="41">
        <f>ROUND((N13*$B$5),2)</f>
        <v>0</v>
      </c>
      <c r="S13" s="54"/>
      <c r="T13" s="54"/>
      <c r="U13" s="43">
        <f t="shared" si="12"/>
        <v>0</v>
      </c>
      <c r="V13" s="43">
        <f t="shared" si="13"/>
        <v>0</v>
      </c>
      <c r="W13" s="43">
        <f t="shared" si="14"/>
        <v>0</v>
      </c>
      <c r="X13" s="136">
        <f t="shared" si="15"/>
        <v>0</v>
      </c>
      <c r="Y13" s="50"/>
      <c r="Z13" s="45">
        <f t="shared" si="16"/>
        <v>0</v>
      </c>
      <c r="AA13" s="45">
        <f t="shared" si="17"/>
        <v>0</v>
      </c>
      <c r="AB13" s="46">
        <f t="shared" si="18"/>
        <v>0</v>
      </c>
      <c r="AC13" s="46">
        <f t="shared" si="2"/>
        <v>0</v>
      </c>
      <c r="AD13" s="51"/>
      <c r="AE13" s="51"/>
      <c r="AF13" s="29">
        <v>1</v>
      </c>
      <c r="AG13" s="31"/>
      <c r="AH13" s="31">
        <f>ROUND((AF13*E13),2)</f>
        <v>0</v>
      </c>
      <c r="AI13" s="31">
        <f t="shared" si="3"/>
        <v>715.43</v>
      </c>
      <c r="AJ13" s="31">
        <f t="shared" si="19"/>
        <v>143.09</v>
      </c>
      <c r="AK13" s="31">
        <f>AG13+AD13+AA13+Z13+W13+V13+R13+P13+O13+M13+J13+I13</f>
        <v>858.52</v>
      </c>
      <c r="AL13" s="33">
        <f t="shared" si="5"/>
        <v>0</v>
      </c>
      <c r="AM13" s="16">
        <f t="shared" si="20"/>
        <v>715.43312000000003</v>
      </c>
      <c r="AN13" s="16">
        <f t="shared" si="21"/>
        <v>-3.1200000000808359E-3</v>
      </c>
    </row>
    <row r="14" spans="1:40" x14ac:dyDescent="0.2">
      <c r="A14" s="28">
        <v>104</v>
      </c>
      <c r="B14" s="131" t="s">
        <v>94</v>
      </c>
      <c r="C14" s="131" t="s">
        <v>93</v>
      </c>
      <c r="D14" s="28"/>
      <c r="E14" s="29">
        <v>303.45</v>
      </c>
      <c r="F14" s="51">
        <v>469338</v>
      </c>
      <c r="G14" s="51">
        <v>478049</v>
      </c>
      <c r="H14" s="120">
        <f t="shared" si="6"/>
        <v>8711</v>
      </c>
      <c r="I14" s="121">
        <f t="shared" si="0"/>
        <v>4558.99</v>
      </c>
      <c r="J14" s="121">
        <f>ROUND((I14*0.2),2)</f>
        <v>911.8</v>
      </c>
      <c r="K14" s="122">
        <f t="shared" si="8"/>
        <v>5470.79</v>
      </c>
      <c r="L14" s="121"/>
      <c r="M14" s="121">
        <f t="shared" si="1"/>
        <v>0</v>
      </c>
      <c r="N14" s="49">
        <v>4676</v>
      </c>
      <c r="O14" s="41">
        <f t="shared" si="9"/>
        <v>787.8</v>
      </c>
      <c r="P14" s="41">
        <f t="shared" si="10"/>
        <v>157.56</v>
      </c>
      <c r="Q14" s="129">
        <f t="shared" si="11"/>
        <v>945.3599999999999</v>
      </c>
      <c r="R14" s="41"/>
      <c r="S14" s="55">
        <v>441</v>
      </c>
      <c r="T14" s="55">
        <v>452</v>
      </c>
      <c r="U14" s="43">
        <f t="shared" si="12"/>
        <v>11</v>
      </c>
      <c r="V14" s="43">
        <f t="shared" si="13"/>
        <v>52.11</v>
      </c>
      <c r="W14" s="43">
        <f t="shared" si="14"/>
        <v>10.42</v>
      </c>
      <c r="X14" s="136">
        <f t="shared" si="15"/>
        <v>62.53</v>
      </c>
      <c r="Y14" s="56">
        <v>1.32</v>
      </c>
      <c r="Z14" s="45">
        <f>ROUND((Y14*$B$7),2)+0.01</f>
        <v>3.69</v>
      </c>
      <c r="AA14" s="45">
        <f t="shared" si="17"/>
        <v>0.74</v>
      </c>
      <c r="AB14" s="46">
        <f t="shared" si="18"/>
        <v>4.43</v>
      </c>
      <c r="AC14" s="46">
        <f t="shared" si="2"/>
        <v>66.959999999999994</v>
      </c>
      <c r="AD14" s="57"/>
      <c r="AE14" s="57">
        <v>78.05</v>
      </c>
      <c r="AF14" s="29">
        <v>1</v>
      </c>
      <c r="AG14" s="31"/>
      <c r="AH14" s="31">
        <f>ROUND((AF14*E14),2)</f>
        <v>303.45</v>
      </c>
      <c r="AI14" s="31">
        <f t="shared" si="3"/>
        <v>5402.59</v>
      </c>
      <c r="AJ14" s="31">
        <f t="shared" si="19"/>
        <v>1080.52</v>
      </c>
      <c r="AK14" s="31">
        <f>AG14+AD14+AA14+Z14+W14+V14+R14+P14+O14+M14+J14+I14</f>
        <v>6483.11</v>
      </c>
      <c r="AL14" s="33">
        <f t="shared" si="5"/>
        <v>0</v>
      </c>
      <c r="AM14" s="16">
        <f t="shared" si="20"/>
        <v>4558.9889600000006</v>
      </c>
      <c r="AN14" s="16">
        <f t="shared" si="21"/>
        <v>1.0399999991932418E-3</v>
      </c>
    </row>
    <row r="15" spans="1:40" x14ac:dyDescent="0.2">
      <c r="A15" s="28">
        <v>106</v>
      </c>
      <c r="B15" s="131" t="s">
        <v>94</v>
      </c>
      <c r="C15" s="131" t="s">
        <v>93</v>
      </c>
      <c r="D15" s="28"/>
      <c r="E15" s="47">
        <v>199.25</v>
      </c>
      <c r="F15" s="48">
        <v>4</v>
      </c>
      <c r="G15" s="48">
        <v>4</v>
      </c>
      <c r="H15" s="120">
        <f t="shared" si="6"/>
        <v>0</v>
      </c>
      <c r="I15" s="121">
        <f t="shared" si="0"/>
        <v>0</v>
      </c>
      <c r="J15" s="121">
        <f t="shared" si="7"/>
        <v>0</v>
      </c>
      <c r="K15" s="122">
        <f t="shared" si="8"/>
        <v>0</v>
      </c>
      <c r="L15" s="121"/>
      <c r="M15" s="121">
        <f t="shared" si="1"/>
        <v>0</v>
      </c>
      <c r="N15" s="58"/>
      <c r="O15" s="41">
        <f t="shared" si="9"/>
        <v>0</v>
      </c>
      <c r="P15" s="41">
        <f t="shared" si="10"/>
        <v>0</v>
      </c>
      <c r="Q15" s="129">
        <f t="shared" si="11"/>
        <v>0</v>
      </c>
      <c r="R15" s="41">
        <f t="shared" ref="R15:R29" si="22">ROUND((N15*$B$5),2)</f>
        <v>0</v>
      </c>
      <c r="S15" s="50"/>
      <c r="T15" s="50"/>
      <c r="U15" s="43">
        <f t="shared" si="12"/>
        <v>0</v>
      </c>
      <c r="V15" s="43">
        <f t="shared" si="13"/>
        <v>0</v>
      </c>
      <c r="W15" s="43">
        <f t="shared" si="14"/>
        <v>0</v>
      </c>
      <c r="X15" s="136">
        <f t="shared" si="15"/>
        <v>0</v>
      </c>
      <c r="Y15" s="50"/>
      <c r="Z15" s="45">
        <f t="shared" si="16"/>
        <v>0</v>
      </c>
      <c r="AA15" s="45">
        <f t="shared" si="17"/>
        <v>0</v>
      </c>
      <c r="AB15" s="46">
        <f t="shared" si="18"/>
        <v>0</v>
      </c>
      <c r="AC15" s="46">
        <f t="shared" si="2"/>
        <v>0</v>
      </c>
      <c r="AD15" s="57"/>
      <c r="AE15" s="57">
        <v>3.9</v>
      </c>
      <c r="AF15" s="29">
        <v>1</v>
      </c>
      <c r="AG15" s="31"/>
      <c r="AH15" s="31">
        <f>ROUND((AF15*E15),2)</f>
        <v>199.25</v>
      </c>
      <c r="AI15" s="31">
        <f t="shared" si="3"/>
        <v>0</v>
      </c>
      <c r="AJ15" s="31">
        <f t="shared" si="19"/>
        <v>0</v>
      </c>
      <c r="AK15" s="31">
        <f t="shared" si="4"/>
        <v>0</v>
      </c>
      <c r="AL15" s="33">
        <f t="shared" si="5"/>
        <v>0</v>
      </c>
      <c r="AM15" s="16">
        <f t="shared" si="20"/>
        <v>0</v>
      </c>
      <c r="AN15" s="16">
        <f t="shared" si="21"/>
        <v>0</v>
      </c>
    </row>
    <row r="16" spans="1:40" x14ac:dyDescent="0.2">
      <c r="A16" s="28" t="s">
        <v>30</v>
      </c>
      <c r="B16" s="131" t="s">
        <v>194</v>
      </c>
      <c r="C16" s="131" t="s">
        <v>96</v>
      </c>
      <c r="D16" s="28"/>
      <c r="E16" s="29">
        <v>1</v>
      </c>
      <c r="F16" s="51"/>
      <c r="G16" s="51"/>
      <c r="H16" s="120">
        <v>64</v>
      </c>
      <c r="I16" s="121">
        <f t="shared" si="0"/>
        <v>33.5</v>
      </c>
      <c r="J16" s="121">
        <f t="shared" si="7"/>
        <v>6.7</v>
      </c>
      <c r="K16" s="122">
        <f t="shared" si="8"/>
        <v>40.200000000000003</v>
      </c>
      <c r="L16" s="121"/>
      <c r="M16" s="121">
        <f t="shared" si="1"/>
        <v>0</v>
      </c>
      <c r="N16" s="58"/>
      <c r="O16" s="41">
        <f t="shared" si="9"/>
        <v>0</v>
      </c>
      <c r="P16" s="41">
        <f t="shared" si="10"/>
        <v>0</v>
      </c>
      <c r="Q16" s="129">
        <f t="shared" si="11"/>
        <v>0</v>
      </c>
      <c r="R16" s="41">
        <f t="shared" si="22"/>
        <v>0</v>
      </c>
      <c r="S16" s="50"/>
      <c r="T16" s="50"/>
      <c r="U16" s="43">
        <f t="shared" si="12"/>
        <v>0</v>
      </c>
      <c r="V16" s="43">
        <f t="shared" si="13"/>
        <v>0</v>
      </c>
      <c r="W16" s="43">
        <f t="shared" si="14"/>
        <v>0</v>
      </c>
      <c r="X16" s="136">
        <f t="shared" si="15"/>
        <v>0</v>
      </c>
      <c r="Y16" s="50"/>
      <c r="Z16" s="45">
        <f t="shared" si="16"/>
        <v>0</v>
      </c>
      <c r="AA16" s="45">
        <f t="shared" si="17"/>
        <v>0</v>
      </c>
      <c r="AB16" s="46">
        <f t="shared" si="18"/>
        <v>0</v>
      </c>
      <c r="AC16" s="46">
        <f t="shared" si="2"/>
        <v>0</v>
      </c>
      <c r="AD16" s="57"/>
      <c r="AE16" s="57"/>
      <c r="AF16" s="29"/>
      <c r="AG16" s="31">
        <f t="shared" ref="AG16:AG75" si="23">ROUND((AF16*E16),2)</f>
        <v>0</v>
      </c>
      <c r="AH16" s="31"/>
      <c r="AI16" s="31">
        <f t="shared" si="3"/>
        <v>33.5</v>
      </c>
      <c r="AJ16" s="31">
        <f t="shared" si="19"/>
        <v>6.7</v>
      </c>
      <c r="AK16" s="31">
        <f t="shared" si="4"/>
        <v>40.200000000000003</v>
      </c>
      <c r="AL16" s="33">
        <f t="shared" si="5"/>
        <v>0</v>
      </c>
      <c r="AM16" s="16">
        <f t="shared" si="20"/>
        <v>33.495040000000003</v>
      </c>
      <c r="AN16" s="16">
        <f t="shared" si="21"/>
        <v>4.9599999999969668E-3</v>
      </c>
    </row>
    <row r="17" spans="1:40" x14ac:dyDescent="0.2">
      <c r="A17" s="63" t="s">
        <v>182</v>
      </c>
      <c r="B17" s="131" t="s">
        <v>183</v>
      </c>
      <c r="C17" s="131" t="s">
        <v>184</v>
      </c>
      <c r="D17" s="71"/>
      <c r="E17" s="29">
        <v>1</v>
      </c>
      <c r="F17" s="51">
        <v>985</v>
      </c>
      <c r="G17" s="51">
        <v>1051</v>
      </c>
      <c r="H17" s="148">
        <f>G17-F17-50</f>
        <v>16</v>
      </c>
      <c r="I17" s="121">
        <f>ROUND((H17*$B$2),2)</f>
        <v>8.3699999999999992</v>
      </c>
      <c r="J17" s="121">
        <f>ROUND((I17*0.2),2)</f>
        <v>1.67</v>
      </c>
      <c r="K17" s="122">
        <f>I17+J17</f>
        <v>10.039999999999999</v>
      </c>
      <c r="L17" s="121"/>
      <c r="M17" s="121"/>
      <c r="N17" s="58"/>
      <c r="O17" s="41"/>
      <c r="P17" s="41"/>
      <c r="Q17" s="129"/>
      <c r="R17" s="41"/>
      <c r="S17" s="50"/>
      <c r="T17" s="50"/>
      <c r="U17" s="43"/>
      <c r="V17" s="43"/>
      <c r="W17" s="43"/>
      <c r="X17" s="136"/>
      <c r="Y17" s="50"/>
      <c r="Z17" s="45"/>
      <c r="AA17" s="45"/>
      <c r="AB17" s="46"/>
      <c r="AC17" s="46"/>
      <c r="AD17" s="57"/>
      <c r="AE17" s="57"/>
      <c r="AF17" s="29"/>
      <c r="AG17" s="31"/>
      <c r="AH17" s="31"/>
      <c r="AI17" s="31">
        <f t="shared" si="3"/>
        <v>8.3699999999999992</v>
      </c>
      <c r="AJ17" s="31">
        <f t="shared" si="19"/>
        <v>1.67</v>
      </c>
      <c r="AK17" s="31">
        <f t="shared" si="4"/>
        <v>10.039999999999999</v>
      </c>
      <c r="AL17" s="33"/>
      <c r="AM17" s="16">
        <f>H17*$B$2</f>
        <v>8.3737600000000008</v>
      </c>
      <c r="AN17" s="16">
        <f>I17-AM17</f>
        <v>-3.7600000000015399E-3</v>
      </c>
    </row>
    <row r="18" spans="1:40" x14ac:dyDescent="0.2">
      <c r="A18" s="63" t="s">
        <v>216</v>
      </c>
      <c r="B18" s="131" t="s">
        <v>217</v>
      </c>
      <c r="C18" s="131" t="s">
        <v>223</v>
      </c>
      <c r="D18" s="71"/>
      <c r="E18" s="29">
        <v>1</v>
      </c>
      <c r="F18" s="51">
        <v>643</v>
      </c>
      <c r="G18" s="51">
        <v>712</v>
      </c>
      <c r="H18" s="123">
        <f>G18-F18</f>
        <v>69</v>
      </c>
      <c r="I18" s="121">
        <f>ROUND((H18*$B$2),2)</f>
        <v>36.11</v>
      </c>
      <c r="J18" s="121">
        <f>ROUND((I18*0.2),2)</f>
        <v>7.22</v>
      </c>
      <c r="K18" s="122">
        <f>I18+J18</f>
        <v>43.33</v>
      </c>
      <c r="L18" s="121"/>
      <c r="M18" s="121"/>
      <c r="N18" s="58"/>
      <c r="O18" s="41"/>
      <c r="P18" s="41"/>
      <c r="Q18" s="129"/>
      <c r="R18" s="41"/>
      <c r="S18" s="50"/>
      <c r="T18" s="50"/>
      <c r="U18" s="43"/>
      <c r="V18" s="43"/>
      <c r="W18" s="43"/>
      <c r="X18" s="136"/>
      <c r="Y18" s="50"/>
      <c r="Z18" s="45"/>
      <c r="AA18" s="45"/>
      <c r="AB18" s="46"/>
      <c r="AC18" s="46"/>
      <c r="AD18" s="57"/>
      <c r="AE18" s="57"/>
      <c r="AF18" s="29"/>
      <c r="AG18" s="31"/>
      <c r="AH18" s="31"/>
      <c r="AI18" s="31">
        <f t="shared" si="3"/>
        <v>36.11</v>
      </c>
      <c r="AJ18" s="31">
        <f t="shared" si="19"/>
        <v>7.22</v>
      </c>
      <c r="AK18" s="31">
        <f t="shared" si="4"/>
        <v>43.33</v>
      </c>
      <c r="AL18" s="33"/>
    </row>
    <row r="19" spans="1:40" x14ac:dyDescent="0.2">
      <c r="A19" s="59" t="s">
        <v>29</v>
      </c>
      <c r="B19" s="131" t="s">
        <v>90</v>
      </c>
      <c r="C19" s="131" t="s">
        <v>97</v>
      </c>
      <c r="D19" s="28"/>
      <c r="E19" s="47">
        <v>4.68</v>
      </c>
      <c r="F19" s="48">
        <v>249</v>
      </c>
      <c r="G19" s="48">
        <v>250</v>
      </c>
      <c r="H19" s="120">
        <f t="shared" si="6"/>
        <v>1</v>
      </c>
      <c r="I19" s="121">
        <f t="shared" si="0"/>
        <v>0.52</v>
      </c>
      <c r="J19" s="121">
        <f t="shared" si="7"/>
        <v>0.1</v>
      </c>
      <c r="K19" s="122">
        <f t="shared" si="8"/>
        <v>0.62</v>
      </c>
      <c r="L19" s="121">
        <f t="shared" ref="L19:L25" si="24">H19</f>
        <v>1</v>
      </c>
      <c r="M19" s="121">
        <f>ROUND((L19*$B$3),2)</f>
        <v>0.09</v>
      </c>
      <c r="N19" s="53">
        <v>43</v>
      </c>
      <c r="O19" s="41">
        <f t="shared" si="9"/>
        <v>7.24</v>
      </c>
      <c r="P19" s="41">
        <f t="shared" si="10"/>
        <v>1.45</v>
      </c>
      <c r="Q19" s="129">
        <f t="shared" si="11"/>
        <v>8.69</v>
      </c>
      <c r="R19" s="41">
        <f t="shared" si="22"/>
        <v>0.43</v>
      </c>
      <c r="S19" s="50"/>
      <c r="T19" s="50"/>
      <c r="U19" s="43">
        <f t="shared" si="12"/>
        <v>0</v>
      </c>
      <c r="V19" s="43">
        <f t="shared" si="13"/>
        <v>0</v>
      </c>
      <c r="W19" s="43">
        <f t="shared" si="14"/>
        <v>0</v>
      </c>
      <c r="X19" s="136">
        <f t="shared" si="15"/>
        <v>0</v>
      </c>
      <c r="Y19" s="50"/>
      <c r="Z19" s="45">
        <f t="shared" si="16"/>
        <v>0</v>
      </c>
      <c r="AA19" s="45">
        <f t="shared" si="17"/>
        <v>0</v>
      </c>
      <c r="AB19" s="46">
        <f t="shared" si="18"/>
        <v>0</v>
      </c>
      <c r="AC19" s="46">
        <f t="shared" si="2"/>
        <v>0</v>
      </c>
      <c r="AD19" s="57"/>
      <c r="AE19" s="57"/>
      <c r="AF19" s="29">
        <v>2.4</v>
      </c>
      <c r="AG19" s="31">
        <f t="shared" si="23"/>
        <v>11.23</v>
      </c>
      <c r="AH19" s="31"/>
      <c r="AI19" s="31">
        <f>ROUND((I19+O19+V19+Z19),2)</f>
        <v>7.76</v>
      </c>
      <c r="AJ19" s="31">
        <f>ROUND((AI19*0.2),2)</f>
        <v>1.55</v>
      </c>
      <c r="AK19" s="31">
        <f t="shared" si="4"/>
        <v>21.060000000000002</v>
      </c>
      <c r="AL19" s="33">
        <f t="shared" si="5"/>
        <v>0.52</v>
      </c>
      <c r="AM19" s="16">
        <f t="shared" si="20"/>
        <v>0.52336000000000005</v>
      </c>
      <c r="AN19" s="16">
        <f t="shared" si="21"/>
        <v>-3.3600000000000296E-3</v>
      </c>
    </row>
    <row r="20" spans="1:40" x14ac:dyDescent="0.2">
      <c r="A20" s="60" t="s">
        <v>17</v>
      </c>
      <c r="B20" s="131" t="s">
        <v>195</v>
      </c>
      <c r="C20" s="131" t="s">
        <v>155</v>
      </c>
      <c r="D20" s="28"/>
      <c r="E20" s="29">
        <v>30.9</v>
      </c>
      <c r="F20" s="51">
        <v>25322</v>
      </c>
      <c r="G20" s="51">
        <v>25375</v>
      </c>
      <c r="H20" s="120">
        <f t="shared" si="6"/>
        <v>53</v>
      </c>
      <c r="I20" s="121">
        <f t="shared" si="0"/>
        <v>27.74</v>
      </c>
      <c r="J20" s="121">
        <f t="shared" si="7"/>
        <v>5.55</v>
      </c>
      <c r="K20" s="122">
        <f t="shared" si="8"/>
        <v>33.29</v>
      </c>
      <c r="L20" s="121">
        <f t="shared" si="24"/>
        <v>53</v>
      </c>
      <c r="M20" s="121">
        <f t="shared" ref="M20:M25" si="25">ROUND((L20*$B$3),2)</f>
        <v>4.99</v>
      </c>
      <c r="N20" s="49">
        <v>287</v>
      </c>
      <c r="O20" s="41">
        <f t="shared" si="9"/>
        <v>48.35</v>
      </c>
      <c r="P20" s="41">
        <f t="shared" si="10"/>
        <v>9.67</v>
      </c>
      <c r="Q20" s="129">
        <f t="shared" si="11"/>
        <v>58.02</v>
      </c>
      <c r="R20" s="41">
        <f t="shared" si="22"/>
        <v>2.9</v>
      </c>
      <c r="S20" s="50"/>
      <c r="T20" s="50"/>
      <c r="U20" s="43">
        <f t="shared" si="12"/>
        <v>0</v>
      </c>
      <c r="V20" s="43">
        <f t="shared" si="13"/>
        <v>0</v>
      </c>
      <c r="W20" s="43">
        <f t="shared" si="14"/>
        <v>0</v>
      </c>
      <c r="X20" s="136">
        <f t="shared" si="15"/>
        <v>0</v>
      </c>
      <c r="Y20" s="50"/>
      <c r="Z20" s="45">
        <f t="shared" si="16"/>
        <v>0</v>
      </c>
      <c r="AA20" s="45">
        <f t="shared" si="17"/>
        <v>0</v>
      </c>
      <c r="AB20" s="46">
        <f t="shared" si="18"/>
        <v>0</v>
      </c>
      <c r="AC20" s="46">
        <f t="shared" si="2"/>
        <v>0</v>
      </c>
      <c r="AD20" s="51"/>
      <c r="AE20" s="51"/>
      <c r="AF20" s="29">
        <v>2.4</v>
      </c>
      <c r="AG20" s="31">
        <f t="shared" si="23"/>
        <v>74.16</v>
      </c>
      <c r="AH20" s="31"/>
      <c r="AI20" s="31">
        <f t="shared" si="3"/>
        <v>76.09</v>
      </c>
      <c r="AJ20" s="31">
        <f t="shared" si="19"/>
        <v>15.22</v>
      </c>
      <c r="AK20" s="31">
        <f t="shared" si="4"/>
        <v>173.36000000000004</v>
      </c>
      <c r="AL20" s="33">
        <f t="shared" si="5"/>
        <v>7.8900000000000006</v>
      </c>
      <c r="AM20" s="16">
        <f t="shared" si="20"/>
        <v>27.738080000000004</v>
      </c>
      <c r="AN20" s="16">
        <f t="shared" si="21"/>
        <v>1.9199999999948147E-3</v>
      </c>
    </row>
    <row r="21" spans="1:40" x14ac:dyDescent="0.2">
      <c r="A21" s="60" t="s">
        <v>169</v>
      </c>
      <c r="B21" s="134" t="s">
        <v>88</v>
      </c>
      <c r="C21" s="131" t="s">
        <v>171</v>
      </c>
      <c r="D21" s="28" t="s">
        <v>87</v>
      </c>
      <c r="E21" s="29">
        <v>72.14</v>
      </c>
      <c r="F21" s="51">
        <v>18528</v>
      </c>
      <c r="G21" s="51">
        <v>18687</v>
      </c>
      <c r="H21" s="120">
        <f t="shared" si="6"/>
        <v>159</v>
      </c>
      <c r="I21" s="121">
        <f>ROUND((H21*$B$2),2)</f>
        <v>83.21</v>
      </c>
      <c r="J21" s="121">
        <f t="shared" si="7"/>
        <v>16.64</v>
      </c>
      <c r="K21" s="122">
        <f t="shared" si="8"/>
        <v>99.85</v>
      </c>
      <c r="L21" s="121">
        <f t="shared" si="24"/>
        <v>159</v>
      </c>
      <c r="M21" s="121">
        <f t="shared" si="25"/>
        <v>14.98</v>
      </c>
      <c r="N21" s="49">
        <v>671</v>
      </c>
      <c r="O21" s="41">
        <f t="shared" si="9"/>
        <v>113.05</v>
      </c>
      <c r="P21" s="41">
        <f t="shared" si="10"/>
        <v>22.61</v>
      </c>
      <c r="Q21" s="129">
        <f t="shared" si="11"/>
        <v>135.66</v>
      </c>
      <c r="R21" s="41">
        <f t="shared" si="22"/>
        <v>6.78</v>
      </c>
      <c r="S21" s="50"/>
      <c r="T21" s="50"/>
      <c r="U21" s="43">
        <f t="shared" si="12"/>
        <v>0</v>
      </c>
      <c r="V21" s="43">
        <f t="shared" si="13"/>
        <v>0</v>
      </c>
      <c r="W21" s="43">
        <f t="shared" si="14"/>
        <v>0</v>
      </c>
      <c r="X21" s="136">
        <f t="shared" si="15"/>
        <v>0</v>
      </c>
      <c r="Y21" s="50"/>
      <c r="Z21" s="45">
        <f t="shared" si="16"/>
        <v>0</v>
      </c>
      <c r="AA21" s="45">
        <f t="shared" si="17"/>
        <v>0</v>
      </c>
      <c r="AB21" s="46">
        <f t="shared" si="18"/>
        <v>0</v>
      </c>
      <c r="AC21" s="46">
        <f t="shared" si="2"/>
        <v>0</v>
      </c>
      <c r="AD21" s="51"/>
      <c r="AE21" s="51"/>
      <c r="AF21" s="29"/>
      <c r="AG21" s="31">
        <f t="shared" si="23"/>
        <v>0</v>
      </c>
      <c r="AH21" s="31"/>
      <c r="AI21" s="31">
        <f t="shared" si="3"/>
        <v>196.26</v>
      </c>
      <c r="AJ21" s="31">
        <f>ROUND((AI21*0.2),2)</f>
        <v>39.25</v>
      </c>
      <c r="AK21" s="31">
        <f>AG21+AD21+AA21+Z21+W21+V21+R21+P21+O21+M21+J21+I21</f>
        <v>257.27</v>
      </c>
      <c r="AL21" s="33">
        <f t="shared" si="5"/>
        <v>21.76</v>
      </c>
      <c r="AM21" s="16">
        <f t="shared" si="20"/>
        <v>83.214240000000004</v>
      </c>
      <c r="AN21" s="16">
        <f t="shared" si="21"/>
        <v>-4.2400000000100135E-3</v>
      </c>
    </row>
    <row r="22" spans="1:40" ht="24" x14ac:dyDescent="0.2">
      <c r="A22" s="60" t="s">
        <v>18</v>
      </c>
      <c r="B22" s="134" t="s">
        <v>75</v>
      </c>
      <c r="C22" s="131" t="s">
        <v>92</v>
      </c>
      <c r="D22" s="28"/>
      <c r="E22" s="29">
        <v>540</v>
      </c>
      <c r="F22" s="51">
        <v>195688</v>
      </c>
      <c r="G22" s="51">
        <v>197030</v>
      </c>
      <c r="H22" s="120">
        <f t="shared" si="6"/>
        <v>1342</v>
      </c>
      <c r="I22" s="121">
        <f t="shared" si="0"/>
        <v>702.35</v>
      </c>
      <c r="J22" s="121">
        <f t="shared" si="7"/>
        <v>140.47</v>
      </c>
      <c r="K22" s="122">
        <f t="shared" si="8"/>
        <v>842.82</v>
      </c>
      <c r="L22" s="121">
        <f t="shared" si="24"/>
        <v>1342</v>
      </c>
      <c r="M22" s="121">
        <f t="shared" si="25"/>
        <v>126.43</v>
      </c>
      <c r="N22" s="49">
        <v>5023</v>
      </c>
      <c r="O22" s="41">
        <f t="shared" si="9"/>
        <v>846.26</v>
      </c>
      <c r="P22" s="41">
        <f t="shared" si="10"/>
        <v>169.25</v>
      </c>
      <c r="Q22" s="129">
        <f t="shared" si="11"/>
        <v>1015.51</v>
      </c>
      <c r="R22" s="41">
        <f t="shared" si="22"/>
        <v>50.78</v>
      </c>
      <c r="S22" s="50">
        <v>477</v>
      </c>
      <c r="T22" s="50">
        <v>481</v>
      </c>
      <c r="U22" s="43">
        <f t="shared" si="12"/>
        <v>4</v>
      </c>
      <c r="V22" s="43">
        <f t="shared" si="13"/>
        <v>18.95</v>
      </c>
      <c r="W22" s="43">
        <f t="shared" si="14"/>
        <v>3.79</v>
      </c>
      <c r="X22" s="136">
        <f t="shared" si="15"/>
        <v>22.74</v>
      </c>
      <c r="Y22" s="56">
        <v>0.48</v>
      </c>
      <c r="Z22" s="45">
        <f>ROUND((Y22*$B$7),2)</f>
        <v>1.34</v>
      </c>
      <c r="AA22" s="45">
        <f t="shared" si="17"/>
        <v>0.27</v>
      </c>
      <c r="AB22" s="46">
        <f t="shared" si="18"/>
        <v>1.61</v>
      </c>
      <c r="AC22" s="46">
        <f>V22+W22+Z22+AA22</f>
        <v>24.349999999999998</v>
      </c>
      <c r="AD22" s="57">
        <v>12.37</v>
      </c>
      <c r="AE22" s="57"/>
      <c r="AF22" s="29">
        <v>1.6</v>
      </c>
      <c r="AG22" s="31">
        <f t="shared" si="23"/>
        <v>864</v>
      </c>
      <c r="AH22" s="31"/>
      <c r="AI22" s="31">
        <f t="shared" si="3"/>
        <v>1568.9</v>
      </c>
      <c r="AJ22" s="31">
        <f>ROUND((AI22*0.2),2)</f>
        <v>313.77999999999997</v>
      </c>
      <c r="AK22" s="31">
        <f t="shared" si="4"/>
        <v>2936.2599999999998</v>
      </c>
      <c r="AL22" s="33">
        <f t="shared" si="5"/>
        <v>189.58</v>
      </c>
      <c r="AM22" s="16">
        <f t="shared" si="20"/>
        <v>702.34912000000008</v>
      </c>
      <c r="AN22" s="16">
        <f t="shared" si="21"/>
        <v>8.799999999382635E-4</v>
      </c>
    </row>
    <row r="23" spans="1:40" ht="24" x14ac:dyDescent="0.2">
      <c r="A23" s="60" t="s">
        <v>18</v>
      </c>
      <c r="B23" s="134" t="s">
        <v>75</v>
      </c>
      <c r="C23" s="131" t="s">
        <v>92</v>
      </c>
      <c r="D23" s="28"/>
      <c r="E23" s="29">
        <v>0</v>
      </c>
      <c r="F23" s="51">
        <v>37848</v>
      </c>
      <c r="G23" s="51">
        <v>37880</v>
      </c>
      <c r="H23" s="120">
        <f t="shared" si="6"/>
        <v>32</v>
      </c>
      <c r="I23" s="121">
        <f t="shared" si="0"/>
        <v>16.75</v>
      </c>
      <c r="J23" s="121">
        <f t="shared" si="7"/>
        <v>3.35</v>
      </c>
      <c r="K23" s="122">
        <f t="shared" si="8"/>
        <v>20.100000000000001</v>
      </c>
      <c r="L23" s="121">
        <f t="shared" si="24"/>
        <v>32</v>
      </c>
      <c r="M23" s="121">
        <f t="shared" si="25"/>
        <v>3.01</v>
      </c>
      <c r="N23" s="61"/>
      <c r="O23" s="41">
        <f t="shared" si="9"/>
        <v>0</v>
      </c>
      <c r="P23" s="41">
        <f t="shared" si="10"/>
        <v>0</v>
      </c>
      <c r="Q23" s="129">
        <f t="shared" si="11"/>
        <v>0</v>
      </c>
      <c r="R23" s="41">
        <f t="shared" si="22"/>
        <v>0</v>
      </c>
      <c r="S23" s="50"/>
      <c r="T23" s="50"/>
      <c r="U23" s="43">
        <f t="shared" si="12"/>
        <v>0</v>
      </c>
      <c r="V23" s="43">
        <f t="shared" si="13"/>
        <v>0</v>
      </c>
      <c r="W23" s="43">
        <f t="shared" si="14"/>
        <v>0</v>
      </c>
      <c r="X23" s="136">
        <f t="shared" si="15"/>
        <v>0</v>
      </c>
      <c r="Y23" s="50"/>
      <c r="Z23" s="45">
        <f t="shared" si="16"/>
        <v>0</v>
      </c>
      <c r="AA23" s="45">
        <f t="shared" si="17"/>
        <v>0</v>
      </c>
      <c r="AB23" s="46">
        <f t="shared" si="18"/>
        <v>0</v>
      </c>
      <c r="AC23" s="46">
        <f t="shared" si="2"/>
        <v>0</v>
      </c>
      <c r="AD23" s="57">
        <v>0.62</v>
      </c>
      <c r="AE23" s="57"/>
      <c r="AF23" s="29">
        <v>1.6</v>
      </c>
      <c r="AG23" s="31">
        <f t="shared" si="23"/>
        <v>0</v>
      </c>
      <c r="AH23" s="31"/>
      <c r="AI23" s="31">
        <f t="shared" si="3"/>
        <v>16.75</v>
      </c>
      <c r="AJ23" s="31">
        <f t="shared" si="19"/>
        <v>3.35</v>
      </c>
      <c r="AK23" s="31">
        <f t="shared" si="4"/>
        <v>23.73</v>
      </c>
      <c r="AL23" s="33">
        <f t="shared" si="5"/>
        <v>3.63</v>
      </c>
      <c r="AM23" s="16">
        <f t="shared" si="20"/>
        <v>16.747520000000002</v>
      </c>
      <c r="AN23" s="16">
        <f t="shared" si="21"/>
        <v>2.4799999999984834E-3</v>
      </c>
    </row>
    <row r="24" spans="1:40" ht="13.5" customHeight="1" x14ac:dyDescent="0.2">
      <c r="A24" s="60" t="s">
        <v>20</v>
      </c>
      <c r="B24" s="134" t="s">
        <v>196</v>
      </c>
      <c r="C24" s="131" t="s">
        <v>98</v>
      </c>
      <c r="D24" s="28"/>
      <c r="E24" s="29">
        <v>612.5</v>
      </c>
      <c r="F24" s="51">
        <v>133357</v>
      </c>
      <c r="G24" s="51">
        <v>134100</v>
      </c>
      <c r="H24" s="120">
        <f t="shared" si="6"/>
        <v>743</v>
      </c>
      <c r="I24" s="121">
        <f t="shared" si="0"/>
        <v>388.86</v>
      </c>
      <c r="J24" s="121">
        <f>ROUND((I24*0.2),2)</f>
        <v>77.77</v>
      </c>
      <c r="K24" s="122">
        <f t="shared" si="8"/>
        <v>466.63</v>
      </c>
      <c r="L24" s="121">
        <f t="shared" si="24"/>
        <v>743</v>
      </c>
      <c r="M24" s="121">
        <f t="shared" si="25"/>
        <v>70</v>
      </c>
      <c r="N24" s="49">
        <v>3436</v>
      </c>
      <c r="O24" s="41">
        <f t="shared" si="9"/>
        <v>578.89</v>
      </c>
      <c r="P24" s="41">
        <f t="shared" si="10"/>
        <v>115.78</v>
      </c>
      <c r="Q24" s="129">
        <f t="shared" si="11"/>
        <v>694.67</v>
      </c>
      <c r="R24" s="41">
        <f t="shared" si="22"/>
        <v>34.729999999999997</v>
      </c>
      <c r="S24" s="50">
        <v>2078</v>
      </c>
      <c r="T24" s="50">
        <v>2098</v>
      </c>
      <c r="U24" s="43">
        <f t="shared" si="12"/>
        <v>20</v>
      </c>
      <c r="V24" s="43">
        <f t="shared" si="13"/>
        <v>94.74</v>
      </c>
      <c r="W24" s="43">
        <f t="shared" si="14"/>
        <v>18.95</v>
      </c>
      <c r="X24" s="136">
        <f t="shared" si="15"/>
        <v>113.69</v>
      </c>
      <c r="Y24" s="56">
        <v>2.4</v>
      </c>
      <c r="Z24" s="45">
        <f t="shared" si="16"/>
        <v>6.7</v>
      </c>
      <c r="AA24" s="45">
        <f t="shared" si="17"/>
        <v>1.34</v>
      </c>
      <c r="AB24" s="46">
        <f t="shared" si="18"/>
        <v>8.0400000000000009</v>
      </c>
      <c r="AC24" s="46">
        <f t="shared" si="2"/>
        <v>121.73</v>
      </c>
      <c r="AD24" s="57">
        <v>15.19</v>
      </c>
      <c r="AE24" s="57"/>
      <c r="AF24" s="29">
        <v>1.3</v>
      </c>
      <c r="AG24" s="31">
        <f t="shared" si="23"/>
        <v>796.25</v>
      </c>
      <c r="AH24" s="31"/>
      <c r="AI24" s="31">
        <f t="shared" si="3"/>
        <v>1069.19</v>
      </c>
      <c r="AJ24" s="31">
        <f t="shared" si="19"/>
        <v>213.84</v>
      </c>
      <c r="AK24" s="31">
        <f t="shared" si="4"/>
        <v>2199.2000000000003</v>
      </c>
      <c r="AL24" s="33">
        <f t="shared" si="5"/>
        <v>119.91999999999999</v>
      </c>
      <c r="AM24" s="16">
        <f t="shared" si="20"/>
        <v>388.85648000000003</v>
      </c>
      <c r="AN24" s="16">
        <f t="shared" si="21"/>
        <v>3.5199999999804277E-3</v>
      </c>
    </row>
    <row r="25" spans="1:40" ht="12" customHeight="1" x14ac:dyDescent="0.2">
      <c r="A25" s="60" t="s">
        <v>20</v>
      </c>
      <c r="B25" s="134" t="s">
        <v>196</v>
      </c>
      <c r="C25" s="131" t="s">
        <v>98</v>
      </c>
      <c r="D25" s="28"/>
      <c r="E25" s="29">
        <v>0</v>
      </c>
      <c r="F25" s="51">
        <v>68820</v>
      </c>
      <c r="G25" s="51">
        <v>69246</v>
      </c>
      <c r="H25" s="120">
        <f t="shared" si="6"/>
        <v>426</v>
      </c>
      <c r="I25" s="121">
        <f t="shared" si="0"/>
        <v>222.95</v>
      </c>
      <c r="J25" s="121">
        <f t="shared" si="7"/>
        <v>44.59</v>
      </c>
      <c r="K25" s="122">
        <f t="shared" si="8"/>
        <v>267.53999999999996</v>
      </c>
      <c r="L25" s="121">
        <f t="shared" si="24"/>
        <v>426</v>
      </c>
      <c r="M25" s="121">
        <f t="shared" si="25"/>
        <v>40.130000000000003</v>
      </c>
      <c r="N25" s="61"/>
      <c r="O25" s="41">
        <f t="shared" si="9"/>
        <v>0</v>
      </c>
      <c r="P25" s="41">
        <f t="shared" si="10"/>
        <v>0</v>
      </c>
      <c r="Q25" s="129">
        <f t="shared" si="11"/>
        <v>0</v>
      </c>
      <c r="R25" s="41">
        <f t="shared" si="22"/>
        <v>0</v>
      </c>
      <c r="S25" s="50"/>
      <c r="T25" s="50"/>
      <c r="U25" s="43">
        <f t="shared" si="12"/>
        <v>0</v>
      </c>
      <c r="V25" s="43">
        <f t="shared" si="13"/>
        <v>0</v>
      </c>
      <c r="W25" s="43">
        <f t="shared" si="14"/>
        <v>0</v>
      </c>
      <c r="X25" s="136">
        <f t="shared" si="15"/>
        <v>0</v>
      </c>
      <c r="Y25" s="50"/>
      <c r="Z25" s="45">
        <f t="shared" si="16"/>
        <v>0</v>
      </c>
      <c r="AA25" s="45">
        <f t="shared" si="17"/>
        <v>0</v>
      </c>
      <c r="AB25" s="46">
        <f t="shared" si="18"/>
        <v>0</v>
      </c>
      <c r="AC25" s="46">
        <f t="shared" si="2"/>
        <v>0</v>
      </c>
      <c r="AD25" s="57">
        <v>0.76</v>
      </c>
      <c r="AE25" s="57"/>
      <c r="AF25" s="29">
        <v>1.3</v>
      </c>
      <c r="AG25" s="31">
        <f t="shared" si="23"/>
        <v>0</v>
      </c>
      <c r="AH25" s="31"/>
      <c r="AI25" s="31">
        <f t="shared" si="3"/>
        <v>222.95</v>
      </c>
      <c r="AJ25" s="31">
        <f t="shared" si="19"/>
        <v>44.59</v>
      </c>
      <c r="AK25" s="31">
        <f t="shared" si="4"/>
        <v>308.43</v>
      </c>
      <c r="AL25" s="33">
        <f t="shared" si="5"/>
        <v>40.89</v>
      </c>
      <c r="AM25" s="16">
        <f t="shared" si="20"/>
        <v>222.95136000000002</v>
      </c>
      <c r="AN25" s="16">
        <f t="shared" si="21"/>
        <v>-1.3600000000337786E-3</v>
      </c>
    </row>
    <row r="26" spans="1:40" ht="24" x14ac:dyDescent="0.2">
      <c r="A26" s="62" t="s">
        <v>19</v>
      </c>
      <c r="B26" s="134" t="s">
        <v>86</v>
      </c>
      <c r="C26" s="131" t="s">
        <v>175</v>
      </c>
      <c r="D26" s="63"/>
      <c r="E26" s="47">
        <v>1</v>
      </c>
      <c r="F26" s="47"/>
      <c r="G26" s="47"/>
      <c r="H26" s="120">
        <v>86</v>
      </c>
      <c r="I26" s="121">
        <f t="shared" si="0"/>
        <v>45.01</v>
      </c>
      <c r="J26" s="121">
        <f t="shared" si="7"/>
        <v>9</v>
      </c>
      <c r="K26" s="122">
        <f t="shared" si="8"/>
        <v>54.01</v>
      </c>
      <c r="L26" s="121"/>
      <c r="M26" s="121">
        <f t="shared" ref="M26:M38" si="26">ROUND((L26*$B$3),2)</f>
        <v>0</v>
      </c>
      <c r="N26" s="53"/>
      <c r="O26" s="41">
        <f t="shared" si="9"/>
        <v>0</v>
      </c>
      <c r="P26" s="41">
        <f t="shared" si="10"/>
        <v>0</v>
      </c>
      <c r="Q26" s="129">
        <f t="shared" si="11"/>
        <v>0</v>
      </c>
      <c r="R26" s="41">
        <f t="shared" si="22"/>
        <v>0</v>
      </c>
      <c r="S26" s="50"/>
      <c r="T26" s="50"/>
      <c r="U26" s="43">
        <f t="shared" si="12"/>
        <v>0</v>
      </c>
      <c r="V26" s="43">
        <f t="shared" si="13"/>
        <v>0</v>
      </c>
      <c r="W26" s="43">
        <f t="shared" si="14"/>
        <v>0</v>
      </c>
      <c r="X26" s="136">
        <f t="shared" si="15"/>
        <v>0</v>
      </c>
      <c r="Y26" s="50"/>
      <c r="Z26" s="45">
        <f t="shared" si="16"/>
        <v>0</v>
      </c>
      <c r="AA26" s="45">
        <f t="shared" si="17"/>
        <v>0</v>
      </c>
      <c r="AB26" s="46">
        <f t="shared" si="18"/>
        <v>0</v>
      </c>
      <c r="AC26" s="46">
        <f t="shared" si="2"/>
        <v>0</v>
      </c>
      <c r="AD26" s="51"/>
      <c r="AE26" s="51"/>
      <c r="AF26" s="29"/>
      <c r="AG26" s="31">
        <f t="shared" si="23"/>
        <v>0</v>
      </c>
      <c r="AH26" s="31"/>
      <c r="AI26" s="31">
        <f t="shared" si="3"/>
        <v>45.01</v>
      </c>
      <c r="AJ26" s="31">
        <f t="shared" si="19"/>
        <v>9</v>
      </c>
      <c r="AK26" s="31">
        <f t="shared" si="4"/>
        <v>54.01</v>
      </c>
      <c r="AL26" s="33">
        <f t="shared" si="5"/>
        <v>0</v>
      </c>
      <c r="AM26" s="16">
        <f t="shared" si="20"/>
        <v>45.008960000000002</v>
      </c>
      <c r="AN26" s="16">
        <f t="shared" si="21"/>
        <v>1.0399999999961551E-3</v>
      </c>
    </row>
    <row r="27" spans="1:40" x14ac:dyDescent="0.2">
      <c r="A27" s="62" t="s">
        <v>34</v>
      </c>
      <c r="B27" s="134" t="s">
        <v>59</v>
      </c>
      <c r="C27" s="131" t="s">
        <v>99</v>
      </c>
      <c r="D27" s="63"/>
      <c r="E27" s="47">
        <v>1</v>
      </c>
      <c r="F27" s="47"/>
      <c r="G27" s="47"/>
      <c r="H27" s="120">
        <v>29</v>
      </c>
      <c r="I27" s="121">
        <f t="shared" si="0"/>
        <v>15.18</v>
      </c>
      <c r="J27" s="121">
        <f t="shared" si="7"/>
        <v>3.04</v>
      </c>
      <c r="K27" s="122">
        <f t="shared" si="8"/>
        <v>18.22</v>
      </c>
      <c r="L27" s="121"/>
      <c r="M27" s="121">
        <f t="shared" si="26"/>
        <v>0</v>
      </c>
      <c r="N27" s="61"/>
      <c r="O27" s="41">
        <f t="shared" si="9"/>
        <v>0</v>
      </c>
      <c r="P27" s="41">
        <f t="shared" si="10"/>
        <v>0</v>
      </c>
      <c r="Q27" s="129">
        <f t="shared" si="11"/>
        <v>0</v>
      </c>
      <c r="R27" s="41">
        <f t="shared" si="22"/>
        <v>0</v>
      </c>
      <c r="S27" s="50"/>
      <c r="T27" s="50"/>
      <c r="U27" s="43">
        <f t="shared" si="12"/>
        <v>0</v>
      </c>
      <c r="V27" s="43">
        <f t="shared" si="13"/>
        <v>0</v>
      </c>
      <c r="W27" s="43">
        <f t="shared" si="14"/>
        <v>0</v>
      </c>
      <c r="X27" s="136">
        <f t="shared" si="15"/>
        <v>0</v>
      </c>
      <c r="Y27" s="50"/>
      <c r="Z27" s="45">
        <f t="shared" si="16"/>
        <v>0</v>
      </c>
      <c r="AA27" s="45">
        <f t="shared" si="17"/>
        <v>0</v>
      </c>
      <c r="AB27" s="46">
        <f t="shared" si="18"/>
        <v>0</v>
      </c>
      <c r="AC27" s="46">
        <f t="shared" si="2"/>
        <v>0</v>
      </c>
      <c r="AD27" s="51"/>
      <c r="AE27" s="51"/>
      <c r="AF27" s="29"/>
      <c r="AG27" s="31">
        <f t="shared" si="23"/>
        <v>0</v>
      </c>
      <c r="AH27" s="31"/>
      <c r="AI27" s="31">
        <f t="shared" si="3"/>
        <v>15.18</v>
      </c>
      <c r="AJ27" s="31">
        <f t="shared" si="19"/>
        <v>3.04</v>
      </c>
      <c r="AK27" s="31">
        <f t="shared" si="4"/>
        <v>18.22</v>
      </c>
      <c r="AL27" s="33">
        <f t="shared" si="5"/>
        <v>0</v>
      </c>
      <c r="AM27" s="16">
        <f t="shared" si="20"/>
        <v>15.177440000000001</v>
      </c>
      <c r="AN27" s="16">
        <f t="shared" si="21"/>
        <v>2.5599999999990075E-3</v>
      </c>
    </row>
    <row r="28" spans="1:40" x14ac:dyDescent="0.2">
      <c r="A28" s="60">
        <v>401</v>
      </c>
      <c r="B28" s="131" t="s">
        <v>226</v>
      </c>
      <c r="C28" s="131" t="s">
        <v>227</v>
      </c>
      <c r="D28" s="71"/>
      <c r="E28" s="64">
        <v>10.5</v>
      </c>
      <c r="F28" s="51">
        <v>5727</v>
      </c>
      <c r="G28" s="51">
        <v>5730</v>
      </c>
      <c r="H28" s="157">
        <f>G28-F28</f>
        <v>3</v>
      </c>
      <c r="I28" s="121">
        <f>ROUND((H28*$B$2),2)</f>
        <v>1.57</v>
      </c>
      <c r="J28" s="121">
        <f>ROUND((I28*0.2),2)</f>
        <v>0.31</v>
      </c>
      <c r="K28" s="122">
        <f>I28+J28</f>
        <v>1.8800000000000001</v>
      </c>
      <c r="L28" s="121">
        <f>H28</f>
        <v>3</v>
      </c>
      <c r="M28" s="121">
        <f t="shared" si="26"/>
        <v>0.28000000000000003</v>
      </c>
      <c r="N28" s="49">
        <v>98</v>
      </c>
      <c r="O28" s="41">
        <f>ROUND((N28*$B$4),2)</f>
        <v>16.510000000000002</v>
      </c>
      <c r="P28" s="41">
        <f>ROUND((O28*0.2),2)</f>
        <v>3.3</v>
      </c>
      <c r="Q28" s="129">
        <f>O28+P28</f>
        <v>19.810000000000002</v>
      </c>
      <c r="R28" s="41">
        <f>ROUND((N28*$B$5),2)</f>
        <v>0.99</v>
      </c>
      <c r="S28" s="50"/>
      <c r="T28" s="50"/>
      <c r="U28" s="43">
        <f>T28-S28</f>
        <v>0</v>
      </c>
      <c r="V28" s="43">
        <f>ROUND((U28*$B$6),2)</f>
        <v>0</v>
      </c>
      <c r="W28" s="43">
        <f>ROUND((V28*0.2),2)</f>
        <v>0</v>
      </c>
      <c r="X28" s="136">
        <f>V28+W28</f>
        <v>0</v>
      </c>
      <c r="Y28" s="50"/>
      <c r="Z28" s="45">
        <f>ROUND((Y28*$B$7),2)</f>
        <v>0</v>
      </c>
      <c r="AA28" s="45">
        <f>ROUND((Z28*0.2),2)</f>
        <v>0</v>
      </c>
      <c r="AB28" s="46">
        <f>Z28+AA28</f>
        <v>0</v>
      </c>
      <c r="AC28" s="46">
        <f>V28+W28+Z28+AA28</f>
        <v>0</v>
      </c>
      <c r="AD28" s="51"/>
      <c r="AE28" s="51"/>
      <c r="AF28" s="29">
        <v>2.95</v>
      </c>
      <c r="AG28" s="32">
        <f>ROUND((AF28*E28),2)</f>
        <v>30.98</v>
      </c>
      <c r="AH28" s="31"/>
      <c r="AI28" s="31">
        <f>ROUND((I28+O28+V28+Z28),2)</f>
        <v>18.079999999999998</v>
      </c>
      <c r="AJ28" s="31">
        <f>ROUND((AI28*0.2),2)</f>
        <v>3.62</v>
      </c>
      <c r="AK28" s="31">
        <f>AG28+AD28+AA28+Z28+W28+V28+R28+P28+O28+M28+J28+I28</f>
        <v>53.940000000000005</v>
      </c>
      <c r="AL28" s="33">
        <f>M28+R28+AD28</f>
        <v>1.27</v>
      </c>
      <c r="AM28" s="16">
        <f>H28*$B$2</f>
        <v>1.5700800000000001</v>
      </c>
      <c r="AN28" s="16">
        <f>I28-AM28</f>
        <v>-8.0000000000080007E-5</v>
      </c>
    </row>
    <row r="29" spans="1:40" ht="14.25" customHeight="1" x14ac:dyDescent="0.2">
      <c r="A29" s="60" t="s">
        <v>15</v>
      </c>
      <c r="B29" s="131" t="s">
        <v>69</v>
      </c>
      <c r="C29" s="131" t="s">
        <v>100</v>
      </c>
      <c r="D29" s="28"/>
      <c r="E29" s="64">
        <v>28.2</v>
      </c>
      <c r="F29" s="51">
        <v>20894</v>
      </c>
      <c r="G29" s="51">
        <v>20970</v>
      </c>
      <c r="H29" s="120">
        <f t="shared" si="6"/>
        <v>76</v>
      </c>
      <c r="I29" s="121">
        <f t="shared" si="0"/>
        <v>39.78</v>
      </c>
      <c r="J29" s="121">
        <f t="shared" si="7"/>
        <v>7.96</v>
      </c>
      <c r="K29" s="122">
        <f t="shared" si="8"/>
        <v>47.74</v>
      </c>
      <c r="L29" s="121">
        <f t="shared" ref="L29:L85" si="27">H29</f>
        <v>76</v>
      </c>
      <c r="M29" s="121">
        <f t="shared" si="26"/>
        <v>7.16</v>
      </c>
      <c r="N29" s="49">
        <v>262</v>
      </c>
      <c r="O29" s="41">
        <f t="shared" si="9"/>
        <v>44.14</v>
      </c>
      <c r="P29" s="41">
        <f t="shared" si="10"/>
        <v>8.83</v>
      </c>
      <c r="Q29" s="129">
        <f t="shared" si="11"/>
        <v>52.97</v>
      </c>
      <c r="R29" s="41">
        <f t="shared" si="22"/>
        <v>2.65</v>
      </c>
      <c r="S29" s="50"/>
      <c r="T29" s="50"/>
      <c r="U29" s="43">
        <f t="shared" si="12"/>
        <v>0</v>
      </c>
      <c r="V29" s="43">
        <f t="shared" si="13"/>
        <v>0</v>
      </c>
      <c r="W29" s="43">
        <f t="shared" si="14"/>
        <v>0</v>
      </c>
      <c r="X29" s="136">
        <f t="shared" si="15"/>
        <v>0</v>
      </c>
      <c r="Y29" s="50"/>
      <c r="Z29" s="45">
        <f t="shared" si="16"/>
        <v>0</v>
      </c>
      <c r="AA29" s="45">
        <f t="shared" si="17"/>
        <v>0</v>
      </c>
      <c r="AB29" s="46">
        <f t="shared" si="18"/>
        <v>0</v>
      </c>
      <c r="AC29" s="46">
        <f t="shared" si="2"/>
        <v>0</v>
      </c>
      <c r="AD29" s="51"/>
      <c r="AE29" s="51"/>
      <c r="AF29" s="29">
        <v>2.95</v>
      </c>
      <c r="AG29" s="31">
        <f t="shared" si="23"/>
        <v>83.19</v>
      </c>
      <c r="AH29" s="31"/>
      <c r="AI29" s="31">
        <f t="shared" si="3"/>
        <v>83.92</v>
      </c>
      <c r="AJ29" s="31">
        <f t="shared" si="19"/>
        <v>16.78</v>
      </c>
      <c r="AK29" s="31">
        <f t="shared" si="4"/>
        <v>193.71</v>
      </c>
      <c r="AL29" s="33">
        <f t="shared" si="5"/>
        <v>9.81</v>
      </c>
      <c r="AM29" s="16">
        <f t="shared" si="20"/>
        <v>39.775360000000006</v>
      </c>
      <c r="AN29" s="16">
        <f t="shared" si="21"/>
        <v>4.6399999999948704E-3</v>
      </c>
    </row>
    <row r="30" spans="1:40" x14ac:dyDescent="0.2">
      <c r="A30" s="60">
        <v>403</v>
      </c>
      <c r="B30" s="131" t="s">
        <v>73</v>
      </c>
      <c r="C30" s="131" t="s">
        <v>101</v>
      </c>
      <c r="D30" s="28"/>
      <c r="E30" s="64">
        <v>22.7</v>
      </c>
      <c r="F30" s="51">
        <v>21828</v>
      </c>
      <c r="G30" s="51">
        <v>21829</v>
      </c>
      <c r="H30" s="120">
        <f t="shared" si="6"/>
        <v>1</v>
      </c>
      <c r="I30" s="121">
        <f t="shared" si="0"/>
        <v>0.52</v>
      </c>
      <c r="J30" s="121">
        <f t="shared" si="7"/>
        <v>0.1</v>
      </c>
      <c r="K30" s="122">
        <f t="shared" si="8"/>
        <v>0.62</v>
      </c>
      <c r="L30" s="121">
        <f t="shared" si="27"/>
        <v>1</v>
      </c>
      <c r="M30" s="121">
        <f t="shared" si="26"/>
        <v>0.09</v>
      </c>
      <c r="N30" s="49">
        <v>211</v>
      </c>
      <c r="O30" s="41">
        <f t="shared" si="9"/>
        <v>35.549999999999997</v>
      </c>
      <c r="P30" s="41">
        <f t="shared" si="10"/>
        <v>7.11</v>
      </c>
      <c r="Q30" s="129">
        <f t="shared" si="11"/>
        <v>42.66</v>
      </c>
      <c r="R30" s="41">
        <f>ROUND((N30*$B$5),2)</f>
        <v>2.13</v>
      </c>
      <c r="S30" s="50"/>
      <c r="T30" s="50"/>
      <c r="U30" s="43">
        <f t="shared" si="12"/>
        <v>0</v>
      </c>
      <c r="V30" s="43">
        <f t="shared" si="13"/>
        <v>0</v>
      </c>
      <c r="W30" s="43">
        <f t="shared" si="14"/>
        <v>0</v>
      </c>
      <c r="X30" s="136">
        <f t="shared" si="15"/>
        <v>0</v>
      </c>
      <c r="Y30" s="50"/>
      <c r="Z30" s="45">
        <f t="shared" si="16"/>
        <v>0</v>
      </c>
      <c r="AA30" s="45">
        <f t="shared" si="17"/>
        <v>0</v>
      </c>
      <c r="AB30" s="46">
        <f t="shared" si="18"/>
        <v>0</v>
      </c>
      <c r="AC30" s="46">
        <f t="shared" si="2"/>
        <v>0</v>
      </c>
      <c r="AD30" s="51"/>
      <c r="AE30" s="51"/>
      <c r="AF30" s="29">
        <v>2.95</v>
      </c>
      <c r="AG30" s="31">
        <f t="shared" si="23"/>
        <v>66.97</v>
      </c>
      <c r="AH30" s="31"/>
      <c r="AI30" s="31">
        <f t="shared" si="3"/>
        <v>36.07</v>
      </c>
      <c r="AJ30" s="31">
        <f t="shared" si="19"/>
        <v>7.21</v>
      </c>
      <c r="AK30" s="31">
        <f t="shared" si="4"/>
        <v>112.46999999999998</v>
      </c>
      <c r="AL30" s="33">
        <f t="shared" si="5"/>
        <v>2.2199999999999998</v>
      </c>
      <c r="AM30" s="16">
        <f t="shared" si="20"/>
        <v>0.52336000000000005</v>
      </c>
      <c r="AN30" s="16">
        <f t="shared" si="21"/>
        <v>-3.3600000000000296E-3</v>
      </c>
    </row>
    <row r="31" spans="1:40" x14ac:dyDescent="0.2">
      <c r="A31" s="60" t="s">
        <v>22</v>
      </c>
      <c r="B31" s="131" t="s">
        <v>66</v>
      </c>
      <c r="C31" s="131" t="s">
        <v>102</v>
      </c>
      <c r="D31" s="28"/>
      <c r="E31" s="65">
        <v>2.6</v>
      </c>
      <c r="F31" s="48">
        <v>3826</v>
      </c>
      <c r="G31" s="48">
        <v>3826</v>
      </c>
      <c r="H31" s="120">
        <f t="shared" si="6"/>
        <v>0</v>
      </c>
      <c r="I31" s="121">
        <f t="shared" si="0"/>
        <v>0</v>
      </c>
      <c r="J31" s="121">
        <f t="shared" si="7"/>
        <v>0</v>
      </c>
      <c r="K31" s="122">
        <f t="shared" si="8"/>
        <v>0</v>
      </c>
      <c r="L31" s="121">
        <f t="shared" si="27"/>
        <v>0</v>
      </c>
      <c r="M31" s="121">
        <f t="shared" si="26"/>
        <v>0</v>
      </c>
      <c r="N31" s="53">
        <v>24</v>
      </c>
      <c r="O31" s="41">
        <f t="shared" si="9"/>
        <v>4.04</v>
      </c>
      <c r="P31" s="41">
        <f t="shared" si="10"/>
        <v>0.81</v>
      </c>
      <c r="Q31" s="129">
        <f t="shared" si="11"/>
        <v>4.8499999999999996</v>
      </c>
      <c r="R31" s="41">
        <f t="shared" ref="R31:R83" si="28">ROUND((N31*$B$5),2)</f>
        <v>0.24</v>
      </c>
      <c r="S31" s="54"/>
      <c r="T31" s="54"/>
      <c r="U31" s="43">
        <f t="shared" si="12"/>
        <v>0</v>
      </c>
      <c r="V31" s="43">
        <f t="shared" si="13"/>
        <v>0</v>
      </c>
      <c r="W31" s="43">
        <f t="shared" si="14"/>
        <v>0</v>
      </c>
      <c r="X31" s="136">
        <f t="shared" si="15"/>
        <v>0</v>
      </c>
      <c r="Y31" s="54"/>
      <c r="Z31" s="45">
        <f t="shared" si="16"/>
        <v>0</v>
      </c>
      <c r="AA31" s="45">
        <f t="shared" si="17"/>
        <v>0</v>
      </c>
      <c r="AB31" s="46">
        <f t="shared" si="18"/>
        <v>0</v>
      </c>
      <c r="AC31" s="46">
        <f t="shared" si="2"/>
        <v>0</v>
      </c>
      <c r="AD31" s="66"/>
      <c r="AE31" s="66"/>
      <c r="AF31" s="29">
        <v>2.95</v>
      </c>
      <c r="AG31" s="31">
        <f t="shared" si="23"/>
        <v>7.67</v>
      </c>
      <c r="AH31" s="31"/>
      <c r="AI31" s="31">
        <f t="shared" si="3"/>
        <v>4.04</v>
      </c>
      <c r="AJ31" s="31">
        <f t="shared" si="19"/>
        <v>0.81</v>
      </c>
      <c r="AK31" s="31">
        <f t="shared" si="4"/>
        <v>12.760000000000002</v>
      </c>
      <c r="AL31" s="33">
        <f t="shared" si="5"/>
        <v>0.24</v>
      </c>
      <c r="AM31" s="16">
        <f t="shared" si="20"/>
        <v>0</v>
      </c>
      <c r="AN31" s="16">
        <f t="shared" si="21"/>
        <v>0</v>
      </c>
    </row>
    <row r="32" spans="1:40" ht="13.5" customHeight="1" x14ac:dyDescent="0.2">
      <c r="A32" s="62">
        <v>404</v>
      </c>
      <c r="B32" s="131" t="s">
        <v>218</v>
      </c>
      <c r="C32" s="131" t="s">
        <v>219</v>
      </c>
      <c r="D32" s="28"/>
      <c r="E32" s="65">
        <v>23.18</v>
      </c>
      <c r="F32" s="48">
        <v>21910</v>
      </c>
      <c r="G32" s="48">
        <v>22191</v>
      </c>
      <c r="H32" s="120">
        <f>G32-F32</f>
        <v>281</v>
      </c>
      <c r="I32" s="121">
        <f>ROUND((H32*$B$2),2)</f>
        <v>147.06</v>
      </c>
      <c r="J32" s="121">
        <f>ROUND((I32*0.2),2)</f>
        <v>29.41</v>
      </c>
      <c r="K32" s="122">
        <f>I32+J32</f>
        <v>176.47</v>
      </c>
      <c r="L32" s="121">
        <f>H32</f>
        <v>281</v>
      </c>
      <c r="M32" s="121">
        <f t="shared" si="26"/>
        <v>26.47</v>
      </c>
      <c r="N32" s="53">
        <v>216</v>
      </c>
      <c r="O32" s="41">
        <f>ROUND((N32*$B$4),2)</f>
        <v>36.39</v>
      </c>
      <c r="P32" s="41">
        <f>ROUND((O32*0.2),2)</f>
        <v>7.28</v>
      </c>
      <c r="Q32" s="129">
        <f>O32+P32</f>
        <v>43.67</v>
      </c>
      <c r="R32" s="41">
        <f>ROUND((N32*$B$5),2)</f>
        <v>2.1800000000000002</v>
      </c>
      <c r="S32" s="50">
        <v>15</v>
      </c>
      <c r="T32" s="50">
        <v>19</v>
      </c>
      <c r="U32" s="163">
        <f>T32-S32</f>
        <v>4</v>
      </c>
      <c r="V32" s="43">
        <f>ROUND((U32*$B$6),2)</f>
        <v>18.95</v>
      </c>
      <c r="W32" s="43">
        <f>ROUND((V32*0.2),2)</f>
        <v>3.79</v>
      </c>
      <c r="X32" s="136">
        <f>V32+W32</f>
        <v>22.74</v>
      </c>
      <c r="Y32" s="56">
        <v>0.48</v>
      </c>
      <c r="Z32" s="45">
        <f>ROUND((Y32*$B$7),2)</f>
        <v>1.34</v>
      </c>
      <c r="AA32" s="45">
        <f>ROUND((Z32*0.2),2)</f>
        <v>0.27</v>
      </c>
      <c r="AB32" s="46">
        <f>Z32+AA32</f>
        <v>1.61</v>
      </c>
      <c r="AC32" s="46">
        <f>V32+W32+Z32+AA32</f>
        <v>24.349999999999998</v>
      </c>
      <c r="AD32" s="51"/>
      <c r="AE32" s="51"/>
      <c r="AF32" s="29">
        <v>2.95</v>
      </c>
      <c r="AG32" s="32">
        <f>ROUND((AF32*E32),2)</f>
        <v>68.38</v>
      </c>
      <c r="AH32" s="31"/>
      <c r="AI32" s="31">
        <f>ROUND((I32+O32+V32+Z32),2)</f>
        <v>203.74</v>
      </c>
      <c r="AJ32" s="31">
        <f>ROUND((AI32*0.2),2)</f>
        <v>40.75</v>
      </c>
      <c r="AK32" s="31">
        <f>AG32+AD32+AA32+Z32+W32+V32+R32+P32+O32+M32+J32+I32</f>
        <v>341.52</v>
      </c>
      <c r="AL32" s="33">
        <f>M32+R32+AD32</f>
        <v>28.65</v>
      </c>
      <c r="AM32" s="16">
        <f>H32*$B$2</f>
        <v>147.06416000000002</v>
      </c>
      <c r="AN32" s="16">
        <f>I32-AM32</f>
        <v>-4.1600000000130422E-3</v>
      </c>
    </row>
    <row r="33" spans="1:40" x14ac:dyDescent="0.2">
      <c r="A33" s="60">
        <v>405</v>
      </c>
      <c r="B33" s="131" t="s">
        <v>221</v>
      </c>
      <c r="C33" s="131" t="s">
        <v>164</v>
      </c>
      <c r="D33" s="71"/>
      <c r="E33" s="64">
        <v>26</v>
      </c>
      <c r="F33" s="51">
        <v>46265</v>
      </c>
      <c r="G33" s="51">
        <v>46265</v>
      </c>
      <c r="H33" s="123">
        <f>G33-F33</f>
        <v>0</v>
      </c>
      <c r="I33" s="121">
        <f>ROUND((H33*$B$2),2)</f>
        <v>0</v>
      </c>
      <c r="J33" s="121">
        <f>ROUND((I33*0.2),2)</f>
        <v>0</v>
      </c>
      <c r="K33" s="122">
        <f>I33+J33</f>
        <v>0</v>
      </c>
      <c r="L33" s="121">
        <f>H33</f>
        <v>0</v>
      </c>
      <c r="M33" s="121">
        <f t="shared" si="26"/>
        <v>0</v>
      </c>
      <c r="N33" s="49">
        <v>242</v>
      </c>
      <c r="O33" s="41">
        <f>ROUND((N33*$B$4),2)</f>
        <v>40.770000000000003</v>
      </c>
      <c r="P33" s="41">
        <f>ROUND((O33*0.2),2)</f>
        <v>8.15</v>
      </c>
      <c r="Q33" s="129">
        <f>O33+P33</f>
        <v>48.92</v>
      </c>
      <c r="R33" s="41">
        <f>ROUND((N33*$B$5),2)</f>
        <v>2.4500000000000002</v>
      </c>
      <c r="S33" s="50"/>
      <c r="T33" s="50"/>
      <c r="U33" s="43">
        <f>T33-S33</f>
        <v>0</v>
      </c>
      <c r="V33" s="43">
        <f t="shared" si="13"/>
        <v>0</v>
      </c>
      <c r="W33" s="43">
        <f t="shared" si="14"/>
        <v>0</v>
      </c>
      <c r="X33" s="136">
        <f t="shared" si="15"/>
        <v>0</v>
      </c>
      <c r="Y33" s="50"/>
      <c r="Z33" s="45">
        <f t="shared" si="16"/>
        <v>0</v>
      </c>
      <c r="AA33" s="45">
        <f t="shared" si="17"/>
        <v>0</v>
      </c>
      <c r="AB33" s="46">
        <f t="shared" si="18"/>
        <v>0</v>
      </c>
      <c r="AC33" s="46">
        <f t="shared" si="2"/>
        <v>0</v>
      </c>
      <c r="AD33" s="51"/>
      <c r="AE33" s="51"/>
      <c r="AF33" s="29">
        <v>2.95</v>
      </c>
      <c r="AG33" s="32">
        <f>ROUND((AF33*E33),2)</f>
        <v>76.7</v>
      </c>
      <c r="AH33" s="31"/>
      <c r="AI33" s="31">
        <f>ROUND((I33+O33+V33+Z33),2)</f>
        <v>40.770000000000003</v>
      </c>
      <c r="AJ33" s="31">
        <f>ROUND((AI33*0.2),2)</f>
        <v>8.15</v>
      </c>
      <c r="AK33" s="31">
        <f>AG33+AD33+AA33+Z33+W33+V33+R33+P33+O33+M33+J33+I33</f>
        <v>128.07000000000002</v>
      </c>
      <c r="AL33" s="33">
        <f>M33+R33+AD33</f>
        <v>2.4500000000000002</v>
      </c>
      <c r="AM33" s="16">
        <f>H33*$B$2</f>
        <v>0</v>
      </c>
      <c r="AN33" s="16">
        <f>I33-AM33</f>
        <v>0</v>
      </c>
    </row>
    <row r="34" spans="1:40" x14ac:dyDescent="0.2">
      <c r="A34" s="60">
        <v>406</v>
      </c>
      <c r="B34" s="131" t="s">
        <v>79</v>
      </c>
      <c r="C34" s="131" t="s">
        <v>103</v>
      </c>
      <c r="D34" s="28"/>
      <c r="E34" s="65">
        <v>22.62</v>
      </c>
      <c r="F34" s="51">
        <v>13085</v>
      </c>
      <c r="G34" s="51">
        <v>13135</v>
      </c>
      <c r="H34" s="120">
        <f t="shared" si="6"/>
        <v>50</v>
      </c>
      <c r="I34" s="121">
        <f t="shared" si="0"/>
        <v>26.17</v>
      </c>
      <c r="J34" s="121">
        <f t="shared" si="7"/>
        <v>5.23</v>
      </c>
      <c r="K34" s="122">
        <f t="shared" si="8"/>
        <v>31.400000000000002</v>
      </c>
      <c r="L34" s="121">
        <f t="shared" si="27"/>
        <v>50</v>
      </c>
      <c r="M34" s="121">
        <f t="shared" si="26"/>
        <v>4.71</v>
      </c>
      <c r="N34" s="53">
        <v>210</v>
      </c>
      <c r="O34" s="41">
        <f t="shared" si="9"/>
        <v>35.380000000000003</v>
      </c>
      <c r="P34" s="41">
        <f t="shared" si="10"/>
        <v>7.08</v>
      </c>
      <c r="Q34" s="129">
        <f t="shared" si="11"/>
        <v>42.46</v>
      </c>
      <c r="R34" s="41">
        <f t="shared" si="28"/>
        <v>2.12</v>
      </c>
      <c r="S34" s="50"/>
      <c r="T34" s="50"/>
      <c r="U34" s="43">
        <f t="shared" si="12"/>
        <v>0</v>
      </c>
      <c r="V34" s="43">
        <f t="shared" si="13"/>
        <v>0</v>
      </c>
      <c r="W34" s="43">
        <f t="shared" si="14"/>
        <v>0</v>
      </c>
      <c r="X34" s="136">
        <f t="shared" si="15"/>
        <v>0</v>
      </c>
      <c r="Y34" s="50"/>
      <c r="Z34" s="45">
        <f t="shared" si="16"/>
        <v>0</v>
      </c>
      <c r="AA34" s="45">
        <f t="shared" si="17"/>
        <v>0</v>
      </c>
      <c r="AB34" s="46">
        <f t="shared" si="18"/>
        <v>0</v>
      </c>
      <c r="AC34" s="46">
        <f t="shared" si="2"/>
        <v>0</v>
      </c>
      <c r="AD34" s="51"/>
      <c r="AE34" s="51"/>
      <c r="AF34" s="29">
        <v>2.95</v>
      </c>
      <c r="AG34" s="31">
        <f t="shared" si="23"/>
        <v>66.73</v>
      </c>
      <c r="AH34" s="31"/>
      <c r="AI34" s="31">
        <f t="shared" si="3"/>
        <v>61.55</v>
      </c>
      <c r="AJ34" s="31">
        <f t="shared" si="19"/>
        <v>12.31</v>
      </c>
      <c r="AK34" s="31">
        <f t="shared" si="4"/>
        <v>147.42000000000002</v>
      </c>
      <c r="AL34" s="33">
        <f t="shared" si="5"/>
        <v>6.83</v>
      </c>
      <c r="AM34" s="16">
        <f t="shared" si="20"/>
        <v>26.168000000000003</v>
      </c>
      <c r="AN34" s="16">
        <f t="shared" si="21"/>
        <v>1.9999999999988916E-3</v>
      </c>
    </row>
    <row r="35" spans="1:40" x14ac:dyDescent="0.2">
      <c r="A35" s="67" t="s">
        <v>27</v>
      </c>
      <c r="B35" s="131" t="s">
        <v>212</v>
      </c>
      <c r="C35" s="131" t="s">
        <v>214</v>
      </c>
      <c r="D35" s="71"/>
      <c r="E35" s="64">
        <v>11.7</v>
      </c>
      <c r="F35" s="51">
        <v>10098</v>
      </c>
      <c r="G35" s="51">
        <v>10098</v>
      </c>
      <c r="H35" s="120">
        <f t="shared" si="6"/>
        <v>0</v>
      </c>
      <c r="I35" s="121">
        <f t="shared" si="0"/>
        <v>0</v>
      </c>
      <c r="J35" s="121">
        <f t="shared" si="7"/>
        <v>0</v>
      </c>
      <c r="K35" s="122">
        <f t="shared" si="8"/>
        <v>0</v>
      </c>
      <c r="L35" s="121">
        <f t="shared" si="27"/>
        <v>0</v>
      </c>
      <c r="M35" s="121">
        <f t="shared" si="26"/>
        <v>0</v>
      </c>
      <c r="N35" s="49"/>
      <c r="O35" s="41">
        <f t="shared" si="9"/>
        <v>0</v>
      </c>
      <c r="P35" s="41">
        <f t="shared" si="10"/>
        <v>0</v>
      </c>
      <c r="Q35" s="129">
        <f t="shared" si="11"/>
        <v>0</v>
      </c>
      <c r="R35" s="41">
        <f t="shared" si="28"/>
        <v>0</v>
      </c>
      <c r="S35" s="50"/>
      <c r="T35" s="50"/>
      <c r="U35" s="43">
        <f t="shared" si="12"/>
        <v>0</v>
      </c>
      <c r="V35" s="43">
        <f t="shared" si="13"/>
        <v>0</v>
      </c>
      <c r="W35" s="43">
        <f t="shared" si="14"/>
        <v>0</v>
      </c>
      <c r="X35" s="136">
        <f t="shared" si="15"/>
        <v>0</v>
      </c>
      <c r="Y35" s="50"/>
      <c r="Z35" s="45">
        <f t="shared" si="16"/>
        <v>0</v>
      </c>
      <c r="AA35" s="45">
        <f t="shared" si="17"/>
        <v>0</v>
      </c>
      <c r="AB35" s="46">
        <f t="shared" si="18"/>
        <v>0</v>
      </c>
      <c r="AC35" s="46">
        <f t="shared" si="2"/>
        <v>0</v>
      </c>
      <c r="AD35" s="51"/>
      <c r="AE35" s="51"/>
      <c r="AF35" s="29"/>
      <c r="AG35" s="31">
        <f>ROUND((AF35*E35),2)</f>
        <v>0</v>
      </c>
      <c r="AH35" s="31"/>
      <c r="AI35" s="31">
        <f t="shared" si="3"/>
        <v>0</v>
      </c>
      <c r="AJ35" s="31">
        <f t="shared" si="19"/>
        <v>0</v>
      </c>
      <c r="AK35" s="31">
        <f t="shared" si="4"/>
        <v>0</v>
      </c>
      <c r="AL35" s="33">
        <f t="shared" si="5"/>
        <v>0</v>
      </c>
      <c r="AM35" s="16">
        <f t="shared" si="20"/>
        <v>0</v>
      </c>
      <c r="AN35" s="16">
        <f t="shared" si="21"/>
        <v>0</v>
      </c>
    </row>
    <row r="36" spans="1:40" x14ac:dyDescent="0.2">
      <c r="A36" s="60">
        <v>407</v>
      </c>
      <c r="B36" s="131" t="s">
        <v>213</v>
      </c>
      <c r="C36" s="131" t="s">
        <v>215</v>
      </c>
      <c r="D36" s="71"/>
      <c r="E36" s="64">
        <v>26</v>
      </c>
      <c r="F36" s="51">
        <v>29272</v>
      </c>
      <c r="G36" s="51">
        <v>29291</v>
      </c>
      <c r="H36" s="120">
        <f t="shared" si="6"/>
        <v>19</v>
      </c>
      <c r="I36" s="121">
        <f t="shared" si="0"/>
        <v>9.94</v>
      </c>
      <c r="J36" s="121">
        <f t="shared" si="7"/>
        <v>1.99</v>
      </c>
      <c r="K36" s="122">
        <f t="shared" si="8"/>
        <v>11.93</v>
      </c>
      <c r="L36" s="121">
        <f t="shared" si="27"/>
        <v>19</v>
      </c>
      <c r="M36" s="121">
        <f t="shared" si="26"/>
        <v>1.79</v>
      </c>
      <c r="N36" s="49">
        <v>242</v>
      </c>
      <c r="O36" s="41">
        <f t="shared" si="9"/>
        <v>40.770000000000003</v>
      </c>
      <c r="P36" s="41">
        <f t="shared" si="10"/>
        <v>8.15</v>
      </c>
      <c r="Q36" s="129">
        <f t="shared" si="11"/>
        <v>48.92</v>
      </c>
      <c r="R36" s="41">
        <f t="shared" si="28"/>
        <v>2.4500000000000002</v>
      </c>
      <c r="S36" s="50"/>
      <c r="T36" s="50"/>
      <c r="U36" s="43">
        <f t="shared" si="12"/>
        <v>0</v>
      </c>
      <c r="V36" s="43">
        <f t="shared" si="13"/>
        <v>0</v>
      </c>
      <c r="W36" s="43">
        <f t="shared" si="14"/>
        <v>0</v>
      </c>
      <c r="X36" s="136">
        <f t="shared" si="15"/>
        <v>0</v>
      </c>
      <c r="Y36" s="50"/>
      <c r="Z36" s="45">
        <f t="shared" si="16"/>
        <v>0</v>
      </c>
      <c r="AA36" s="45">
        <f t="shared" si="17"/>
        <v>0</v>
      </c>
      <c r="AB36" s="46">
        <f t="shared" si="18"/>
        <v>0</v>
      </c>
      <c r="AC36" s="46">
        <f t="shared" si="2"/>
        <v>0</v>
      </c>
      <c r="AD36" s="51"/>
      <c r="AE36" s="51"/>
      <c r="AF36" s="29">
        <v>2.95</v>
      </c>
      <c r="AG36" s="32">
        <f>ROUND((AF36*E36),2)</f>
        <v>76.7</v>
      </c>
      <c r="AH36" s="31"/>
      <c r="AI36" s="31">
        <f t="shared" si="3"/>
        <v>50.71</v>
      </c>
      <c r="AJ36" s="31">
        <f t="shared" si="19"/>
        <v>10.14</v>
      </c>
      <c r="AK36" s="31">
        <f t="shared" si="4"/>
        <v>141.79000000000002</v>
      </c>
      <c r="AL36" s="33">
        <f t="shared" si="5"/>
        <v>4.24</v>
      </c>
      <c r="AM36" s="16">
        <f t="shared" si="20"/>
        <v>9.9438400000000016</v>
      </c>
      <c r="AN36" s="16">
        <f t="shared" si="21"/>
        <v>-3.840000000002064E-3</v>
      </c>
    </row>
    <row r="37" spans="1:40" x14ac:dyDescent="0.2">
      <c r="A37" s="60">
        <v>408</v>
      </c>
      <c r="B37" s="131" t="s">
        <v>202</v>
      </c>
      <c r="C37" s="131" t="s">
        <v>228</v>
      </c>
      <c r="D37" s="71"/>
      <c r="E37" s="68">
        <v>20.64</v>
      </c>
      <c r="F37" s="48">
        <v>6484</v>
      </c>
      <c r="G37" s="48">
        <v>6505</v>
      </c>
      <c r="H37" s="120">
        <f>G37-F37</f>
        <v>21</v>
      </c>
      <c r="I37" s="121">
        <f>ROUND((H37*$B$2),2)</f>
        <v>10.99</v>
      </c>
      <c r="J37" s="121">
        <f>ROUND((I37*0.2),2)</f>
        <v>2.2000000000000002</v>
      </c>
      <c r="K37" s="122">
        <f>I37+J37</f>
        <v>13.190000000000001</v>
      </c>
      <c r="L37" s="121">
        <f>H37</f>
        <v>21</v>
      </c>
      <c r="M37" s="121">
        <f t="shared" si="26"/>
        <v>1.98</v>
      </c>
      <c r="N37" s="53">
        <v>192</v>
      </c>
      <c r="O37" s="41">
        <f>ROUND((N37*$B$4),2)</f>
        <v>32.35</v>
      </c>
      <c r="P37" s="41">
        <f>ROUND((O37*0.2),2)</f>
        <v>6.47</v>
      </c>
      <c r="Q37" s="129">
        <f>O37+P37</f>
        <v>38.82</v>
      </c>
      <c r="R37" s="41">
        <f>ROUND((N37*$B$5),2)</f>
        <v>1.94</v>
      </c>
      <c r="S37" s="54"/>
      <c r="T37" s="54"/>
      <c r="U37" s="43">
        <f>T37-S37</f>
        <v>0</v>
      </c>
      <c r="V37" s="43">
        <f>ROUND((U37*$B$6),2)</f>
        <v>0</v>
      </c>
      <c r="W37" s="43">
        <f>ROUND((V37*0.2),2)</f>
        <v>0</v>
      </c>
      <c r="X37" s="136">
        <f>V37+W37</f>
        <v>0</v>
      </c>
      <c r="Y37" s="54"/>
      <c r="Z37" s="45">
        <f>ROUND((Y37*$B$7),2)</f>
        <v>0</v>
      </c>
      <c r="AA37" s="45">
        <f>ROUND((Z37*0.2),2)</f>
        <v>0</v>
      </c>
      <c r="AB37" s="46">
        <f>Z37+AA37</f>
        <v>0</v>
      </c>
      <c r="AC37" s="46">
        <f>V37+W37+Z37+AA37</f>
        <v>0</v>
      </c>
      <c r="AD37" s="66"/>
      <c r="AE37" s="66"/>
      <c r="AF37" s="29">
        <v>2.95</v>
      </c>
      <c r="AG37" s="32">
        <f>E37*AF37</f>
        <v>60.888000000000005</v>
      </c>
      <c r="AH37" s="31"/>
      <c r="AI37" s="31">
        <f>ROUND((I37+O37+V37+Z37),2)</f>
        <v>43.34</v>
      </c>
      <c r="AJ37" s="31">
        <f>ROUND((AI37*0.2),2)</f>
        <v>8.67</v>
      </c>
      <c r="AK37" s="31">
        <f>AG37+AD37+AA37+Z37+W37+V37+R37+P37+O37+M37+J37+I37</f>
        <v>116.818</v>
      </c>
      <c r="AL37" s="33">
        <f>M37+R37+AD37</f>
        <v>3.92</v>
      </c>
      <c r="AM37" s="16">
        <f>H37*$B$2</f>
        <v>10.99056</v>
      </c>
      <c r="AN37" s="16">
        <f>I37-AM37</f>
        <v>-5.6000000000011596E-4</v>
      </c>
    </row>
    <row r="38" spans="1:40" x14ac:dyDescent="0.2">
      <c r="A38" s="60">
        <v>411</v>
      </c>
      <c r="B38" s="131" t="s">
        <v>88</v>
      </c>
      <c r="C38" s="131" t="s">
        <v>171</v>
      </c>
      <c r="D38" s="28" t="s">
        <v>170</v>
      </c>
      <c r="E38" s="69">
        <v>15.4</v>
      </c>
      <c r="F38" s="29"/>
      <c r="G38" s="29"/>
      <c r="H38" s="120">
        <f t="shared" si="6"/>
        <v>0</v>
      </c>
      <c r="I38" s="121">
        <f t="shared" si="0"/>
        <v>0</v>
      </c>
      <c r="J38" s="121">
        <f t="shared" si="7"/>
        <v>0</v>
      </c>
      <c r="K38" s="122">
        <f t="shared" si="8"/>
        <v>0</v>
      </c>
      <c r="L38" s="121">
        <f t="shared" si="27"/>
        <v>0</v>
      </c>
      <c r="M38" s="121">
        <f t="shared" si="26"/>
        <v>0</v>
      </c>
      <c r="N38" s="49">
        <v>143</v>
      </c>
      <c r="O38" s="41">
        <f>ROUND((N38*$B$4),2)</f>
        <v>24.09</v>
      </c>
      <c r="P38" s="41">
        <f t="shared" si="10"/>
        <v>4.82</v>
      </c>
      <c r="Q38" s="129">
        <f t="shared" si="11"/>
        <v>28.91</v>
      </c>
      <c r="R38" s="41">
        <f t="shared" si="28"/>
        <v>1.45</v>
      </c>
      <c r="S38" s="50"/>
      <c r="T38" s="50"/>
      <c r="U38" s="43">
        <f t="shared" si="12"/>
        <v>0</v>
      </c>
      <c r="V38" s="43">
        <f t="shared" si="13"/>
        <v>0</v>
      </c>
      <c r="W38" s="43">
        <f t="shared" si="14"/>
        <v>0</v>
      </c>
      <c r="X38" s="136">
        <f t="shared" si="15"/>
        <v>0</v>
      </c>
      <c r="Y38" s="50"/>
      <c r="Z38" s="45">
        <f t="shared" si="16"/>
        <v>0</v>
      </c>
      <c r="AA38" s="45">
        <f t="shared" si="17"/>
        <v>0</v>
      </c>
      <c r="AB38" s="46">
        <f t="shared" si="18"/>
        <v>0</v>
      </c>
      <c r="AC38" s="46">
        <f t="shared" si="2"/>
        <v>0</v>
      </c>
      <c r="AD38" s="51"/>
      <c r="AE38" s="51"/>
      <c r="AF38" s="29"/>
      <c r="AG38" s="31">
        <f t="shared" si="23"/>
        <v>0</v>
      </c>
      <c r="AH38" s="31"/>
      <c r="AI38" s="31">
        <f t="shared" si="3"/>
        <v>24.09</v>
      </c>
      <c r="AJ38" s="31">
        <f t="shared" si="19"/>
        <v>4.82</v>
      </c>
      <c r="AK38" s="31">
        <f t="shared" si="4"/>
        <v>30.36</v>
      </c>
      <c r="AL38" s="33">
        <f t="shared" si="5"/>
        <v>1.45</v>
      </c>
      <c r="AM38" s="16">
        <f t="shared" si="20"/>
        <v>0</v>
      </c>
      <c r="AN38" s="16">
        <f t="shared" si="21"/>
        <v>0</v>
      </c>
    </row>
    <row r="39" spans="1:40" x14ac:dyDescent="0.2">
      <c r="A39" s="60" t="s">
        <v>173</v>
      </c>
      <c r="B39" s="131" t="s">
        <v>172</v>
      </c>
      <c r="C39" s="131" t="s">
        <v>201</v>
      </c>
      <c r="D39" s="71"/>
      <c r="E39" s="69">
        <v>16.39</v>
      </c>
      <c r="F39" s="151">
        <v>49707</v>
      </c>
      <c r="G39" s="151">
        <v>49772</v>
      </c>
      <c r="H39" s="151">
        <v>19</v>
      </c>
      <c r="I39" s="121">
        <f>ROUND((H39*$B$2),2)</f>
        <v>9.94</v>
      </c>
      <c r="J39" s="121">
        <f>ROUND((I39*0.2),2)</f>
        <v>1.99</v>
      </c>
      <c r="K39" s="122">
        <f>I39+J39</f>
        <v>11.93</v>
      </c>
      <c r="L39" s="121">
        <f>H39</f>
        <v>19</v>
      </c>
      <c r="M39" s="121">
        <f>ROUND((L39*$B$3),2)</f>
        <v>1.79</v>
      </c>
      <c r="N39" s="49">
        <v>152</v>
      </c>
      <c r="O39" s="41">
        <f>ROUND((N39*$B$4),2)</f>
        <v>25.61</v>
      </c>
      <c r="P39" s="41">
        <f>ROUND((O39*0.2),2)</f>
        <v>5.12</v>
      </c>
      <c r="Q39" s="129">
        <f>O39+P39</f>
        <v>30.73</v>
      </c>
      <c r="R39" s="41">
        <f>ROUND((N39*$B$5),2)</f>
        <v>1.54</v>
      </c>
      <c r="S39" s="73"/>
      <c r="T39" s="50"/>
      <c r="U39" s="43">
        <v>0</v>
      </c>
      <c r="V39" s="43">
        <f t="shared" si="13"/>
        <v>0</v>
      </c>
      <c r="W39" s="43">
        <f t="shared" si="14"/>
        <v>0</v>
      </c>
      <c r="X39" s="136">
        <f t="shared" si="15"/>
        <v>0</v>
      </c>
      <c r="Y39" s="50"/>
      <c r="Z39" s="45">
        <f t="shared" si="16"/>
        <v>0</v>
      </c>
      <c r="AA39" s="45">
        <f t="shared" si="17"/>
        <v>0</v>
      </c>
      <c r="AB39" s="46">
        <f t="shared" si="18"/>
        <v>0</v>
      </c>
      <c r="AC39" s="46">
        <f t="shared" si="2"/>
        <v>0</v>
      </c>
      <c r="AD39" s="51"/>
      <c r="AE39" s="51"/>
      <c r="AF39" s="29">
        <v>2.95</v>
      </c>
      <c r="AG39" s="32">
        <f>ROUND((AF39*E39),2)</f>
        <v>48.35</v>
      </c>
      <c r="AH39" s="31"/>
      <c r="AI39" s="31">
        <f>I39+O39</f>
        <v>35.549999999999997</v>
      </c>
      <c r="AJ39" s="31">
        <f>ROUND((AI39*0.2),2)</f>
        <v>7.11</v>
      </c>
      <c r="AK39" s="31">
        <f>AJ39+AI39+AG39+R39+M39</f>
        <v>94.34</v>
      </c>
      <c r="AL39" s="33">
        <f>R39+M39</f>
        <v>3.33</v>
      </c>
      <c r="AM39" s="16">
        <f>H39*$B$2</f>
        <v>9.9438400000000016</v>
      </c>
      <c r="AN39" s="16">
        <f>I39-AM39</f>
        <v>-3.840000000002064E-3</v>
      </c>
    </row>
    <row r="40" spans="1:40" x14ac:dyDescent="0.2">
      <c r="A40" s="60" t="s">
        <v>166</v>
      </c>
      <c r="B40" s="131" t="s">
        <v>159</v>
      </c>
      <c r="C40" s="131" t="s">
        <v>229</v>
      </c>
      <c r="D40" s="71"/>
      <c r="E40" s="69">
        <v>40.89</v>
      </c>
      <c r="F40" s="151">
        <v>49707</v>
      </c>
      <c r="G40" s="151">
        <v>49772</v>
      </c>
      <c r="H40" s="151">
        <v>46</v>
      </c>
      <c r="I40" s="121">
        <f>ROUND((H40*$B$2),2)</f>
        <v>24.07</v>
      </c>
      <c r="J40" s="121">
        <f>ROUND((I40*0.2),2)</f>
        <v>4.8099999999999996</v>
      </c>
      <c r="K40" s="122">
        <f>I40+J40</f>
        <v>28.88</v>
      </c>
      <c r="L40" s="121">
        <f>H40</f>
        <v>46</v>
      </c>
      <c r="M40" s="121">
        <f>ROUND((L40*$B$3),2)</f>
        <v>4.33</v>
      </c>
      <c r="N40" s="49">
        <v>380</v>
      </c>
      <c r="O40" s="41">
        <f>ROUND((N40*$B$4),2)</f>
        <v>64.02</v>
      </c>
      <c r="P40" s="41">
        <f>ROUND((O40*0.2),2)</f>
        <v>12.8</v>
      </c>
      <c r="Q40" s="129">
        <f>O40+P40</f>
        <v>76.819999999999993</v>
      </c>
      <c r="R40" s="41">
        <f>ROUND((N40*$B$5),2)</f>
        <v>3.84</v>
      </c>
      <c r="S40" s="50">
        <v>5</v>
      </c>
      <c r="T40" s="50">
        <v>5</v>
      </c>
      <c r="U40" s="43">
        <f>T40-S40</f>
        <v>0</v>
      </c>
      <c r="V40" s="43">
        <f>ROUND((U40*$B$6),2)</f>
        <v>0</v>
      </c>
      <c r="W40" s="43">
        <f>ROUND((V40*0.2),2)</f>
        <v>0</v>
      </c>
      <c r="X40" s="136">
        <f>V40+W40</f>
        <v>0</v>
      </c>
      <c r="Y40" s="56">
        <v>0</v>
      </c>
      <c r="Z40" s="45">
        <f>ROUND((Y40*$B$7),2)</f>
        <v>0</v>
      </c>
      <c r="AA40" s="45">
        <f>ROUND((Z40*0.2),2)</f>
        <v>0</v>
      </c>
      <c r="AB40" s="46">
        <f>Z40+AA40</f>
        <v>0</v>
      </c>
      <c r="AC40" s="46">
        <f>V40+W40+Z40+AA40</f>
        <v>0</v>
      </c>
      <c r="AD40" s="51"/>
      <c r="AE40" s="51"/>
      <c r="AF40" s="29">
        <v>2.95</v>
      </c>
      <c r="AG40" s="32">
        <f>E40*AF40</f>
        <v>120.6255</v>
      </c>
      <c r="AH40" s="31"/>
      <c r="AI40" s="31">
        <f>I40+O40+V40+Z40</f>
        <v>88.09</v>
      </c>
      <c r="AJ40" s="31">
        <f>ROUND((AI40*0.2),2)</f>
        <v>17.62</v>
      </c>
      <c r="AK40" s="31">
        <f>AJ40+AI40+AG40+R40+M40</f>
        <v>234.50550000000004</v>
      </c>
      <c r="AL40" s="33">
        <f>R40+M40</f>
        <v>8.17</v>
      </c>
      <c r="AM40" s="16">
        <f>H40*$B$2</f>
        <v>24.074560000000002</v>
      </c>
      <c r="AN40" s="16">
        <f>I40-AM40</f>
        <v>-4.5600000000014518E-3</v>
      </c>
    </row>
    <row r="41" spans="1:40" ht="12" customHeight="1" x14ac:dyDescent="0.2">
      <c r="A41" s="60">
        <v>413</v>
      </c>
      <c r="B41" s="131" t="s">
        <v>83</v>
      </c>
      <c r="C41" s="131" t="s">
        <v>104</v>
      </c>
      <c r="D41" s="28"/>
      <c r="E41" s="65">
        <v>28.4</v>
      </c>
      <c r="F41" s="48">
        <v>7844</v>
      </c>
      <c r="G41" s="48">
        <v>7868</v>
      </c>
      <c r="H41" s="120">
        <f t="shared" si="6"/>
        <v>24</v>
      </c>
      <c r="I41" s="121">
        <f t="shared" si="0"/>
        <v>12.56</v>
      </c>
      <c r="J41" s="121">
        <f t="shared" si="7"/>
        <v>2.5099999999999998</v>
      </c>
      <c r="K41" s="122">
        <f t="shared" si="8"/>
        <v>15.07</v>
      </c>
      <c r="L41" s="121">
        <f t="shared" si="27"/>
        <v>24</v>
      </c>
      <c r="M41" s="121">
        <f>ROUND((L41*$B$3),2)</f>
        <v>2.2599999999999998</v>
      </c>
      <c r="N41" s="53">
        <v>264</v>
      </c>
      <c r="O41" s="41">
        <f t="shared" si="9"/>
        <v>44.48</v>
      </c>
      <c r="P41" s="41">
        <f t="shared" si="10"/>
        <v>8.9</v>
      </c>
      <c r="Q41" s="129">
        <f t="shared" si="11"/>
        <v>53.379999999999995</v>
      </c>
      <c r="R41" s="41">
        <f t="shared" si="28"/>
        <v>2.67</v>
      </c>
      <c r="S41" s="55">
        <v>2</v>
      </c>
      <c r="T41" s="55">
        <v>2</v>
      </c>
      <c r="U41" s="43">
        <f t="shared" si="12"/>
        <v>0</v>
      </c>
      <c r="V41" s="43">
        <f t="shared" si="13"/>
        <v>0</v>
      </c>
      <c r="W41" s="43">
        <f t="shared" si="14"/>
        <v>0</v>
      </c>
      <c r="X41" s="136">
        <f t="shared" si="15"/>
        <v>0</v>
      </c>
      <c r="Y41" s="70">
        <v>0</v>
      </c>
      <c r="Z41" s="45">
        <f t="shared" si="16"/>
        <v>0</v>
      </c>
      <c r="AA41" s="45">
        <f t="shared" si="17"/>
        <v>0</v>
      </c>
      <c r="AB41" s="46">
        <f t="shared" si="18"/>
        <v>0</v>
      </c>
      <c r="AC41" s="46">
        <f t="shared" si="2"/>
        <v>0</v>
      </c>
      <c r="AD41" s="48"/>
      <c r="AE41" s="48"/>
      <c r="AF41" s="29">
        <v>2.95</v>
      </c>
      <c r="AG41" s="31">
        <f t="shared" si="23"/>
        <v>83.78</v>
      </c>
      <c r="AH41" s="31"/>
      <c r="AI41" s="31">
        <f t="shared" si="3"/>
        <v>57.04</v>
      </c>
      <c r="AJ41" s="31">
        <f t="shared" si="19"/>
        <v>11.41</v>
      </c>
      <c r="AK41" s="31">
        <f t="shared" si="4"/>
        <v>157.16</v>
      </c>
      <c r="AL41" s="33">
        <f t="shared" si="5"/>
        <v>4.93</v>
      </c>
      <c r="AM41" s="16">
        <f t="shared" si="20"/>
        <v>12.560640000000001</v>
      </c>
      <c r="AN41" s="16">
        <f t="shared" si="21"/>
        <v>-6.4000000000064006E-4</v>
      </c>
    </row>
    <row r="42" spans="1:40" x14ac:dyDescent="0.2">
      <c r="A42" s="60">
        <v>414</v>
      </c>
      <c r="B42" s="131" t="s">
        <v>62</v>
      </c>
      <c r="C42" s="131" t="s">
        <v>105</v>
      </c>
      <c r="D42" s="28"/>
      <c r="E42" s="64">
        <v>20</v>
      </c>
      <c r="F42" s="51">
        <v>13014</v>
      </c>
      <c r="G42" s="51">
        <v>13032</v>
      </c>
      <c r="H42" s="120">
        <f t="shared" si="6"/>
        <v>18</v>
      </c>
      <c r="I42" s="121">
        <f t="shared" si="0"/>
        <v>9.42</v>
      </c>
      <c r="J42" s="121">
        <f t="shared" si="7"/>
        <v>1.88</v>
      </c>
      <c r="K42" s="122">
        <f t="shared" si="8"/>
        <v>11.3</v>
      </c>
      <c r="L42" s="121">
        <f t="shared" si="27"/>
        <v>18</v>
      </c>
      <c r="M42" s="121">
        <f t="shared" ref="M42:M49" si="29">ROUND((L42*$B$3),2)</f>
        <v>1.7</v>
      </c>
      <c r="N42" s="49">
        <v>186</v>
      </c>
      <c r="O42" s="41">
        <f t="shared" si="9"/>
        <v>31.34</v>
      </c>
      <c r="P42" s="41">
        <f t="shared" si="10"/>
        <v>6.27</v>
      </c>
      <c r="Q42" s="129">
        <f t="shared" si="11"/>
        <v>37.61</v>
      </c>
      <c r="R42" s="41">
        <f t="shared" si="28"/>
        <v>1.88</v>
      </c>
      <c r="S42" s="50"/>
      <c r="T42" s="50"/>
      <c r="U42" s="43">
        <f t="shared" si="12"/>
        <v>0</v>
      </c>
      <c r="V42" s="43">
        <f t="shared" si="13"/>
        <v>0</v>
      </c>
      <c r="W42" s="43">
        <f t="shared" si="14"/>
        <v>0</v>
      </c>
      <c r="X42" s="136">
        <f t="shared" si="15"/>
        <v>0</v>
      </c>
      <c r="Y42" s="50"/>
      <c r="Z42" s="45">
        <f t="shared" si="16"/>
        <v>0</v>
      </c>
      <c r="AA42" s="45">
        <f t="shared" si="17"/>
        <v>0</v>
      </c>
      <c r="AB42" s="46">
        <f t="shared" si="18"/>
        <v>0</v>
      </c>
      <c r="AC42" s="46">
        <f t="shared" si="2"/>
        <v>0</v>
      </c>
      <c r="AD42" s="51"/>
      <c r="AE42" s="51"/>
      <c r="AF42" s="29">
        <v>2.95</v>
      </c>
      <c r="AG42" s="31">
        <f t="shared" si="23"/>
        <v>59</v>
      </c>
      <c r="AH42" s="31"/>
      <c r="AI42" s="31">
        <f t="shared" si="3"/>
        <v>40.76</v>
      </c>
      <c r="AJ42" s="31">
        <f t="shared" si="19"/>
        <v>8.15</v>
      </c>
      <c r="AK42" s="31">
        <f t="shared" si="4"/>
        <v>111.49000000000001</v>
      </c>
      <c r="AL42" s="33">
        <f t="shared" si="5"/>
        <v>3.58</v>
      </c>
      <c r="AM42" s="16">
        <f t="shared" si="20"/>
        <v>9.4204800000000013</v>
      </c>
      <c r="AN42" s="16">
        <f t="shared" si="21"/>
        <v>-4.8000000000136822E-4</v>
      </c>
    </row>
    <row r="43" spans="1:40" x14ac:dyDescent="0.2">
      <c r="A43" s="28">
        <v>415</v>
      </c>
      <c r="B43" s="131" t="s">
        <v>203</v>
      </c>
      <c r="C43" s="131" t="s">
        <v>204</v>
      </c>
      <c r="D43" s="71"/>
      <c r="E43" s="65">
        <v>22</v>
      </c>
      <c r="F43" s="51">
        <v>32084</v>
      </c>
      <c r="G43" s="51">
        <v>32140</v>
      </c>
      <c r="H43" s="120">
        <f t="shared" si="6"/>
        <v>56</v>
      </c>
      <c r="I43" s="121">
        <f t="shared" si="0"/>
        <v>29.31</v>
      </c>
      <c r="J43" s="121">
        <f t="shared" si="7"/>
        <v>5.86</v>
      </c>
      <c r="K43" s="122">
        <f t="shared" si="8"/>
        <v>35.17</v>
      </c>
      <c r="L43" s="121">
        <f t="shared" si="27"/>
        <v>56</v>
      </c>
      <c r="M43" s="121">
        <f t="shared" si="29"/>
        <v>5.28</v>
      </c>
      <c r="N43" s="49">
        <v>205</v>
      </c>
      <c r="O43" s="41">
        <f t="shared" si="9"/>
        <v>34.54</v>
      </c>
      <c r="P43" s="41">
        <f t="shared" si="10"/>
        <v>6.91</v>
      </c>
      <c r="Q43" s="129">
        <f t="shared" si="11"/>
        <v>41.45</v>
      </c>
      <c r="R43" s="41">
        <f t="shared" si="28"/>
        <v>2.0699999999999998</v>
      </c>
      <c r="S43" s="50">
        <v>12</v>
      </c>
      <c r="T43" s="50">
        <v>13</v>
      </c>
      <c r="U43" s="43">
        <f t="shared" si="12"/>
        <v>1</v>
      </c>
      <c r="V43" s="43">
        <f t="shared" si="13"/>
        <v>4.74</v>
      </c>
      <c r="W43" s="43">
        <f t="shared" si="14"/>
        <v>0.95</v>
      </c>
      <c r="X43" s="136">
        <f t="shared" si="15"/>
        <v>5.69</v>
      </c>
      <c r="Y43" s="56">
        <v>0.12</v>
      </c>
      <c r="Z43" s="45">
        <f>ROUND((Y43*$B$7),2)</f>
        <v>0.33</v>
      </c>
      <c r="AA43" s="45">
        <f t="shared" si="17"/>
        <v>7.0000000000000007E-2</v>
      </c>
      <c r="AB43" s="46">
        <f t="shared" si="18"/>
        <v>0.4</v>
      </c>
      <c r="AC43" s="46">
        <f t="shared" si="2"/>
        <v>6.0900000000000007</v>
      </c>
      <c r="AD43" s="66"/>
      <c r="AE43" s="66"/>
      <c r="AF43" s="29">
        <v>2.95</v>
      </c>
      <c r="AG43" s="32">
        <f t="shared" si="23"/>
        <v>64.900000000000006</v>
      </c>
      <c r="AH43" s="31"/>
      <c r="AI43" s="31">
        <f t="shared" si="3"/>
        <v>68.92</v>
      </c>
      <c r="AJ43" s="31">
        <f t="shared" si="19"/>
        <v>13.78</v>
      </c>
      <c r="AK43" s="31">
        <f t="shared" si="4"/>
        <v>154.95999999999998</v>
      </c>
      <c r="AL43" s="33">
        <f t="shared" si="5"/>
        <v>7.35</v>
      </c>
      <c r="AM43" s="16">
        <f t="shared" si="20"/>
        <v>29.308160000000001</v>
      </c>
      <c r="AN43" s="16">
        <f t="shared" si="21"/>
        <v>1.8399999999978434E-3</v>
      </c>
    </row>
    <row r="44" spans="1:40" x14ac:dyDescent="0.2">
      <c r="A44" s="60" t="s">
        <v>186</v>
      </c>
      <c r="B44" s="131" t="s">
        <v>165</v>
      </c>
      <c r="C44" s="131" t="s">
        <v>191</v>
      </c>
      <c r="D44" s="71"/>
      <c r="E44" s="72">
        <v>24.3</v>
      </c>
      <c r="F44" s="152">
        <v>15571</v>
      </c>
      <c r="G44" s="152">
        <v>15620</v>
      </c>
      <c r="H44" s="151">
        <v>33</v>
      </c>
      <c r="I44" s="121">
        <f t="shared" si="0"/>
        <v>17.27</v>
      </c>
      <c r="J44" s="121">
        <f t="shared" si="7"/>
        <v>3.45</v>
      </c>
      <c r="K44" s="122">
        <f t="shared" si="8"/>
        <v>20.72</v>
      </c>
      <c r="L44" s="121">
        <f t="shared" si="27"/>
        <v>33</v>
      </c>
      <c r="M44" s="121">
        <f t="shared" si="29"/>
        <v>3.11</v>
      </c>
      <c r="N44" s="53">
        <v>226</v>
      </c>
      <c r="O44" s="41">
        <f t="shared" si="9"/>
        <v>38.08</v>
      </c>
      <c r="P44" s="41">
        <f t="shared" si="10"/>
        <v>7.62</v>
      </c>
      <c r="Q44" s="129">
        <f t="shared" si="11"/>
        <v>45.699999999999996</v>
      </c>
      <c r="R44" s="41">
        <f t="shared" si="28"/>
        <v>2.2799999999999998</v>
      </c>
      <c r="S44" s="153">
        <v>50</v>
      </c>
      <c r="T44" s="153">
        <v>51</v>
      </c>
      <c r="U44" s="154">
        <v>0.68</v>
      </c>
      <c r="V44" s="43">
        <f>ROUND((U44*$B$6),2)</f>
        <v>3.22</v>
      </c>
      <c r="W44" s="43">
        <f t="shared" si="14"/>
        <v>0.64</v>
      </c>
      <c r="X44" s="136">
        <f t="shared" si="15"/>
        <v>3.8600000000000003</v>
      </c>
      <c r="Y44" s="155">
        <v>8.1600000000000006E-2</v>
      </c>
      <c r="Z44" s="45">
        <f>ROUND((Y44*$B$7),2)</f>
        <v>0.23</v>
      </c>
      <c r="AA44" s="45">
        <f t="shared" si="17"/>
        <v>0.05</v>
      </c>
      <c r="AB44" s="46">
        <f t="shared" si="18"/>
        <v>0.28000000000000003</v>
      </c>
      <c r="AC44" s="46">
        <f t="shared" si="2"/>
        <v>4.1400000000000006</v>
      </c>
      <c r="AD44" s="57"/>
      <c r="AE44" s="57"/>
      <c r="AF44" s="29">
        <v>2.95</v>
      </c>
      <c r="AG44" s="32">
        <f>ROUND((AF44*E44),2)</f>
        <v>71.69</v>
      </c>
      <c r="AH44" s="31"/>
      <c r="AI44" s="31">
        <f t="shared" si="3"/>
        <v>58.8</v>
      </c>
      <c r="AJ44" s="31">
        <f t="shared" si="19"/>
        <v>11.76</v>
      </c>
      <c r="AK44" s="31">
        <f t="shared" si="4"/>
        <v>147.64000000000001</v>
      </c>
      <c r="AL44" s="33">
        <f t="shared" si="5"/>
        <v>5.39</v>
      </c>
      <c r="AM44" s="16">
        <f t="shared" si="20"/>
        <v>17.270880000000002</v>
      </c>
      <c r="AN44" s="16">
        <f t="shared" si="21"/>
        <v>-8.8000000000221235E-4</v>
      </c>
    </row>
    <row r="45" spans="1:40" x14ac:dyDescent="0.2">
      <c r="A45" s="60" t="s">
        <v>187</v>
      </c>
      <c r="B45" s="131" t="s">
        <v>188</v>
      </c>
      <c r="C45" s="131" t="s">
        <v>192</v>
      </c>
      <c r="D45" s="71"/>
      <c r="E45" s="72">
        <v>11.34</v>
      </c>
      <c r="F45" s="152">
        <v>15571</v>
      </c>
      <c r="G45" s="152">
        <v>15620</v>
      </c>
      <c r="H45" s="151">
        <v>16</v>
      </c>
      <c r="I45" s="121">
        <f t="shared" si="0"/>
        <v>8.3699999999999992</v>
      </c>
      <c r="J45" s="121">
        <f t="shared" si="7"/>
        <v>1.67</v>
      </c>
      <c r="K45" s="122">
        <f t="shared" si="8"/>
        <v>10.039999999999999</v>
      </c>
      <c r="L45" s="121">
        <f t="shared" si="27"/>
        <v>16</v>
      </c>
      <c r="M45" s="121">
        <f t="shared" si="29"/>
        <v>1.51</v>
      </c>
      <c r="N45" s="53">
        <v>105</v>
      </c>
      <c r="O45" s="41">
        <f t="shared" si="9"/>
        <v>17.690000000000001</v>
      </c>
      <c r="P45" s="41">
        <f t="shared" si="10"/>
        <v>3.54</v>
      </c>
      <c r="Q45" s="129">
        <f t="shared" si="11"/>
        <v>21.23</v>
      </c>
      <c r="R45" s="41">
        <f t="shared" si="28"/>
        <v>1.06</v>
      </c>
      <c r="S45" s="153">
        <v>50</v>
      </c>
      <c r="T45" s="153">
        <v>51</v>
      </c>
      <c r="U45" s="154">
        <v>0.32</v>
      </c>
      <c r="V45" s="43">
        <f>ROUND((U45*$B$6),2)</f>
        <v>1.52</v>
      </c>
      <c r="W45" s="43">
        <f t="shared" si="14"/>
        <v>0.3</v>
      </c>
      <c r="X45" s="136">
        <f t="shared" si="15"/>
        <v>1.82</v>
      </c>
      <c r="Y45" s="155">
        <v>3.8399999999999997E-2</v>
      </c>
      <c r="Z45" s="45">
        <f>ROUND((Y45*$B$7),2)</f>
        <v>0.11</v>
      </c>
      <c r="AA45" s="45">
        <f t="shared" si="17"/>
        <v>0.02</v>
      </c>
      <c r="AB45" s="46">
        <f t="shared" si="18"/>
        <v>0.13</v>
      </c>
      <c r="AC45" s="46">
        <f t="shared" si="2"/>
        <v>1.9500000000000002</v>
      </c>
      <c r="AD45" s="57"/>
      <c r="AE45" s="57"/>
      <c r="AF45" s="29">
        <v>2.95</v>
      </c>
      <c r="AG45" s="32">
        <f>ROUND((AF45*E45),2)</f>
        <v>33.450000000000003</v>
      </c>
      <c r="AH45" s="31"/>
      <c r="AI45" s="31">
        <f t="shared" si="3"/>
        <v>27.69</v>
      </c>
      <c r="AJ45" s="31">
        <f t="shared" si="19"/>
        <v>5.54</v>
      </c>
      <c r="AK45" s="31">
        <f t="shared" si="4"/>
        <v>69.240000000000009</v>
      </c>
      <c r="AL45" s="33">
        <f t="shared" si="5"/>
        <v>2.5700000000000003</v>
      </c>
      <c r="AM45" s="16">
        <f t="shared" si="20"/>
        <v>8.3737600000000008</v>
      </c>
      <c r="AN45" s="16">
        <f t="shared" si="21"/>
        <v>-3.7600000000015399E-3</v>
      </c>
    </row>
    <row r="46" spans="1:40" x14ac:dyDescent="0.2">
      <c r="A46" s="60">
        <v>417</v>
      </c>
      <c r="B46" s="131" t="s">
        <v>61</v>
      </c>
      <c r="C46" s="131" t="s">
        <v>106</v>
      </c>
      <c r="D46" s="28"/>
      <c r="E46" s="65">
        <v>9.1</v>
      </c>
      <c r="F46" s="51">
        <v>5971</v>
      </c>
      <c r="G46" s="51">
        <v>5998</v>
      </c>
      <c r="H46" s="120">
        <f>G46-F46</f>
        <v>27</v>
      </c>
      <c r="I46" s="121">
        <f>ROUND((H46*$B$2),2)</f>
        <v>14.13</v>
      </c>
      <c r="J46" s="121">
        <f>ROUND((I46*0.2),2)</f>
        <v>2.83</v>
      </c>
      <c r="K46" s="122">
        <f>I46+J46</f>
        <v>16.96</v>
      </c>
      <c r="L46" s="121">
        <f>H46</f>
        <v>27</v>
      </c>
      <c r="M46" s="121">
        <f t="shared" si="29"/>
        <v>2.54</v>
      </c>
      <c r="N46" s="49">
        <v>85</v>
      </c>
      <c r="O46" s="41">
        <f>ROUND((N46*$B$4),2)</f>
        <v>14.32</v>
      </c>
      <c r="P46" s="41">
        <f>ROUND((O46*0.2),2)</f>
        <v>2.86</v>
      </c>
      <c r="Q46" s="129">
        <f>O46+P46</f>
        <v>17.18</v>
      </c>
      <c r="R46" s="41">
        <f>ROUND((N46*$B$5),2)</f>
        <v>0.86</v>
      </c>
      <c r="S46" s="50">
        <v>6</v>
      </c>
      <c r="T46" s="50">
        <v>7</v>
      </c>
      <c r="U46" s="43">
        <f>T46-S46</f>
        <v>1</v>
      </c>
      <c r="V46" s="43">
        <f>ROUND((U46*$B$6),2)</f>
        <v>4.74</v>
      </c>
      <c r="W46" s="43">
        <f>ROUND((V46*0.2),2)</f>
        <v>0.95</v>
      </c>
      <c r="X46" s="136">
        <f>V46+W46</f>
        <v>5.69</v>
      </c>
      <c r="Y46" s="56">
        <v>0.12</v>
      </c>
      <c r="Z46" s="45">
        <f>ROUND((Y46*$B$7),2)</f>
        <v>0.33</v>
      </c>
      <c r="AA46" s="45">
        <f>ROUND((Z46*0.2),2)</f>
        <v>7.0000000000000007E-2</v>
      </c>
      <c r="AB46" s="46">
        <f>Z46+AA46</f>
        <v>0.4</v>
      </c>
      <c r="AC46" s="46">
        <f>V46+W46+Z46+AA46</f>
        <v>6.0900000000000007</v>
      </c>
      <c r="AD46" s="51"/>
      <c r="AE46" s="51"/>
      <c r="AF46" s="29">
        <v>2.95</v>
      </c>
      <c r="AG46" s="31">
        <f>ROUND((AF46*E46),2)</f>
        <v>26.85</v>
      </c>
      <c r="AH46" s="31"/>
      <c r="AI46" s="31">
        <f>ROUND((I46+O46+V46+Z46),2)</f>
        <v>33.520000000000003</v>
      </c>
      <c r="AJ46" s="31">
        <f>ROUND((AI46*0.2),2)</f>
        <v>6.7</v>
      </c>
      <c r="AK46" s="31">
        <f>AG46+AD46+AA46+Z46+W46+V46+R46+P46+O46+M46+J46+I46</f>
        <v>70.47999999999999</v>
      </c>
      <c r="AL46" s="33">
        <f>M46+R46+AD46</f>
        <v>3.4</v>
      </c>
      <c r="AM46" s="16">
        <f>H46*$B$2</f>
        <v>14.130720000000002</v>
      </c>
      <c r="AN46" s="16">
        <f>I46-AM46</f>
        <v>-7.2000000000116415E-4</v>
      </c>
    </row>
    <row r="47" spans="1:40" ht="12.6" customHeight="1" x14ac:dyDescent="0.2">
      <c r="A47" s="60">
        <v>501</v>
      </c>
      <c r="B47" s="131" t="s">
        <v>77</v>
      </c>
      <c r="C47" s="131" t="s">
        <v>107</v>
      </c>
      <c r="D47" s="28"/>
      <c r="E47" s="64">
        <v>28.2</v>
      </c>
      <c r="F47" s="51">
        <v>36736</v>
      </c>
      <c r="G47" s="51">
        <v>36898</v>
      </c>
      <c r="H47" s="120">
        <f t="shared" si="6"/>
        <v>162</v>
      </c>
      <c r="I47" s="121">
        <f>ROUND((H47*$B$2),2)</f>
        <v>84.78</v>
      </c>
      <c r="J47" s="121">
        <f t="shared" si="7"/>
        <v>16.96</v>
      </c>
      <c r="K47" s="122">
        <f t="shared" si="8"/>
        <v>101.74000000000001</v>
      </c>
      <c r="L47" s="121">
        <f t="shared" si="27"/>
        <v>162</v>
      </c>
      <c r="M47" s="121">
        <f t="shared" si="29"/>
        <v>15.26</v>
      </c>
      <c r="N47" s="53">
        <v>337</v>
      </c>
      <c r="O47" s="41">
        <f t="shared" si="9"/>
        <v>56.78</v>
      </c>
      <c r="P47" s="41">
        <f t="shared" si="10"/>
        <v>11.36</v>
      </c>
      <c r="Q47" s="129">
        <f t="shared" si="11"/>
        <v>68.14</v>
      </c>
      <c r="R47" s="41">
        <f t="shared" si="28"/>
        <v>3.41</v>
      </c>
      <c r="S47" s="50"/>
      <c r="T47" s="50"/>
      <c r="U47" s="43">
        <f t="shared" si="12"/>
        <v>0</v>
      </c>
      <c r="V47" s="43">
        <f t="shared" si="13"/>
        <v>0</v>
      </c>
      <c r="W47" s="43">
        <f t="shared" si="14"/>
        <v>0</v>
      </c>
      <c r="X47" s="136">
        <f t="shared" si="15"/>
        <v>0</v>
      </c>
      <c r="Y47" s="50"/>
      <c r="Z47" s="45">
        <f t="shared" si="16"/>
        <v>0</v>
      </c>
      <c r="AA47" s="45">
        <f t="shared" si="17"/>
        <v>0</v>
      </c>
      <c r="AB47" s="46">
        <f t="shared" si="18"/>
        <v>0</v>
      </c>
      <c r="AC47" s="46">
        <f t="shared" si="2"/>
        <v>0</v>
      </c>
      <c r="AD47" s="51"/>
      <c r="AE47" s="51"/>
      <c r="AF47" s="29">
        <v>2.95</v>
      </c>
      <c r="AG47" s="31">
        <f t="shared" si="23"/>
        <v>83.19</v>
      </c>
      <c r="AH47" s="31"/>
      <c r="AI47" s="31">
        <f t="shared" si="3"/>
        <v>141.56</v>
      </c>
      <c r="AJ47" s="31">
        <f t="shared" si="19"/>
        <v>28.31</v>
      </c>
      <c r="AK47" s="31">
        <f t="shared" si="4"/>
        <v>271.74</v>
      </c>
      <c r="AL47" s="33">
        <f t="shared" si="5"/>
        <v>18.670000000000002</v>
      </c>
      <c r="AM47" s="16">
        <f t="shared" si="20"/>
        <v>84.784320000000008</v>
      </c>
      <c r="AN47" s="16">
        <f t="shared" si="21"/>
        <v>-4.3200000000069849E-3</v>
      </c>
    </row>
    <row r="48" spans="1:40" x14ac:dyDescent="0.2">
      <c r="A48" s="28">
        <v>502</v>
      </c>
      <c r="B48" s="131" t="s">
        <v>152</v>
      </c>
      <c r="C48" s="131" t="s">
        <v>153</v>
      </c>
      <c r="D48" s="28"/>
      <c r="E48" s="64">
        <v>10.3</v>
      </c>
      <c r="F48" s="51">
        <v>14091</v>
      </c>
      <c r="G48" s="51">
        <v>14118</v>
      </c>
      <c r="H48" s="120">
        <f t="shared" si="6"/>
        <v>27</v>
      </c>
      <c r="I48" s="121">
        <f t="shared" si="0"/>
        <v>14.13</v>
      </c>
      <c r="J48" s="121">
        <f t="shared" si="7"/>
        <v>2.83</v>
      </c>
      <c r="K48" s="122">
        <f t="shared" si="8"/>
        <v>16.96</v>
      </c>
      <c r="L48" s="121">
        <f t="shared" si="27"/>
        <v>27</v>
      </c>
      <c r="M48" s="121">
        <f t="shared" si="29"/>
        <v>2.54</v>
      </c>
      <c r="N48" s="53">
        <v>96</v>
      </c>
      <c r="O48" s="41">
        <f t="shared" si="9"/>
        <v>16.170000000000002</v>
      </c>
      <c r="P48" s="41">
        <f t="shared" si="10"/>
        <v>3.23</v>
      </c>
      <c r="Q48" s="129">
        <f t="shared" si="11"/>
        <v>19.400000000000002</v>
      </c>
      <c r="R48" s="41">
        <f t="shared" si="28"/>
        <v>0.97</v>
      </c>
      <c r="S48" s="50"/>
      <c r="T48" s="50"/>
      <c r="U48" s="43">
        <f t="shared" si="12"/>
        <v>0</v>
      </c>
      <c r="V48" s="43">
        <f t="shared" si="13"/>
        <v>0</v>
      </c>
      <c r="W48" s="43">
        <f t="shared" si="14"/>
        <v>0</v>
      </c>
      <c r="X48" s="136">
        <f t="shared" si="15"/>
        <v>0</v>
      </c>
      <c r="Y48" s="50"/>
      <c r="Z48" s="45">
        <f t="shared" si="16"/>
        <v>0</v>
      </c>
      <c r="AA48" s="45">
        <f t="shared" si="17"/>
        <v>0</v>
      </c>
      <c r="AB48" s="46">
        <f t="shared" si="18"/>
        <v>0</v>
      </c>
      <c r="AC48" s="46">
        <f t="shared" si="2"/>
        <v>0</v>
      </c>
      <c r="AD48" s="51"/>
      <c r="AE48" s="51"/>
      <c r="AF48" s="29">
        <v>2.95</v>
      </c>
      <c r="AG48" s="32">
        <f>ROUND((AF48*E48),2)</f>
        <v>30.39</v>
      </c>
      <c r="AH48" s="31"/>
      <c r="AI48" s="31">
        <f t="shared" si="3"/>
        <v>30.3</v>
      </c>
      <c r="AJ48" s="31">
        <f t="shared" si="19"/>
        <v>6.06</v>
      </c>
      <c r="AK48" s="31">
        <f t="shared" si="4"/>
        <v>70.259999999999991</v>
      </c>
      <c r="AL48" s="33">
        <f>M48+R48+AD48</f>
        <v>3.51</v>
      </c>
      <c r="AM48" s="16">
        <f t="shared" si="20"/>
        <v>14.130720000000002</v>
      </c>
      <c r="AN48" s="16">
        <f t="shared" si="21"/>
        <v>-7.2000000000116415E-4</v>
      </c>
    </row>
    <row r="49" spans="1:40" x14ac:dyDescent="0.2">
      <c r="A49" s="140">
        <v>503</v>
      </c>
      <c r="B49" s="141" t="s">
        <v>160</v>
      </c>
      <c r="C49" s="141" t="s">
        <v>161</v>
      </c>
      <c r="D49" s="28"/>
      <c r="E49" s="64">
        <v>22.4</v>
      </c>
      <c r="F49" s="51">
        <v>16266</v>
      </c>
      <c r="G49" s="51">
        <v>16295</v>
      </c>
      <c r="H49" s="120">
        <f t="shared" si="6"/>
        <v>29</v>
      </c>
      <c r="I49" s="121">
        <f t="shared" si="0"/>
        <v>15.18</v>
      </c>
      <c r="J49" s="121">
        <f t="shared" si="7"/>
        <v>3.04</v>
      </c>
      <c r="K49" s="122">
        <f t="shared" si="8"/>
        <v>18.22</v>
      </c>
      <c r="L49" s="121">
        <f t="shared" si="27"/>
        <v>29</v>
      </c>
      <c r="M49" s="121">
        <f t="shared" si="29"/>
        <v>2.73</v>
      </c>
      <c r="N49" s="49">
        <v>208</v>
      </c>
      <c r="O49" s="41">
        <f t="shared" si="9"/>
        <v>35.04</v>
      </c>
      <c r="P49" s="41">
        <f t="shared" si="10"/>
        <v>7.01</v>
      </c>
      <c r="Q49" s="129">
        <f t="shared" si="11"/>
        <v>42.05</v>
      </c>
      <c r="R49" s="41">
        <f t="shared" si="28"/>
        <v>2.1</v>
      </c>
      <c r="S49" s="50"/>
      <c r="T49" s="50"/>
      <c r="U49" s="43">
        <f t="shared" si="12"/>
        <v>0</v>
      </c>
      <c r="V49" s="43">
        <f t="shared" si="13"/>
        <v>0</v>
      </c>
      <c r="W49" s="43">
        <f t="shared" si="14"/>
        <v>0</v>
      </c>
      <c r="X49" s="136">
        <f t="shared" si="15"/>
        <v>0</v>
      </c>
      <c r="Y49" s="50"/>
      <c r="Z49" s="45">
        <f t="shared" si="16"/>
        <v>0</v>
      </c>
      <c r="AA49" s="45">
        <f t="shared" si="17"/>
        <v>0</v>
      </c>
      <c r="AB49" s="46">
        <f t="shared" si="18"/>
        <v>0</v>
      </c>
      <c r="AC49" s="46">
        <f t="shared" si="2"/>
        <v>0</v>
      </c>
      <c r="AD49" s="51"/>
      <c r="AE49" s="51"/>
      <c r="AF49" s="29">
        <v>2.95</v>
      </c>
      <c r="AG49" s="31">
        <f t="shared" si="23"/>
        <v>66.08</v>
      </c>
      <c r="AH49" s="31"/>
      <c r="AI49" s="31">
        <f t="shared" si="3"/>
        <v>50.22</v>
      </c>
      <c r="AJ49" s="31">
        <f t="shared" si="19"/>
        <v>10.039999999999999</v>
      </c>
      <c r="AK49" s="31">
        <f t="shared" si="4"/>
        <v>131.18</v>
      </c>
      <c r="AL49" s="33">
        <f t="shared" si="5"/>
        <v>4.83</v>
      </c>
      <c r="AM49" s="16">
        <f t="shared" si="20"/>
        <v>15.177440000000001</v>
      </c>
      <c r="AN49" s="16">
        <f t="shared" si="21"/>
        <v>2.5599999999990075E-3</v>
      </c>
    </row>
    <row r="50" spans="1:40" ht="15" customHeight="1" x14ac:dyDescent="0.2">
      <c r="A50" s="28" t="s">
        <v>14</v>
      </c>
      <c r="B50" s="131" t="s">
        <v>82</v>
      </c>
      <c r="C50" s="131" t="s">
        <v>108</v>
      </c>
      <c r="D50" s="28"/>
      <c r="E50" s="65">
        <v>2.15</v>
      </c>
      <c r="F50" s="51">
        <v>256</v>
      </c>
      <c r="G50" s="51">
        <v>256</v>
      </c>
      <c r="H50" s="120">
        <f t="shared" si="6"/>
        <v>0</v>
      </c>
      <c r="I50" s="121">
        <f t="shared" si="0"/>
        <v>0</v>
      </c>
      <c r="J50" s="121">
        <f t="shared" si="7"/>
        <v>0</v>
      </c>
      <c r="K50" s="122">
        <f t="shared" si="8"/>
        <v>0</v>
      </c>
      <c r="L50" s="121">
        <f t="shared" si="27"/>
        <v>0</v>
      </c>
      <c r="M50" s="121">
        <f>ROUND((L50*$B$3),2)</f>
        <v>0</v>
      </c>
      <c r="N50" s="49">
        <v>20</v>
      </c>
      <c r="O50" s="41">
        <f t="shared" si="9"/>
        <v>3.37</v>
      </c>
      <c r="P50" s="41">
        <f t="shared" si="10"/>
        <v>0.67</v>
      </c>
      <c r="Q50" s="129">
        <f t="shared" si="11"/>
        <v>4.04</v>
      </c>
      <c r="R50" s="41">
        <f t="shared" si="28"/>
        <v>0.2</v>
      </c>
      <c r="S50" s="50"/>
      <c r="T50" s="50"/>
      <c r="U50" s="43">
        <f t="shared" si="12"/>
        <v>0</v>
      </c>
      <c r="V50" s="43">
        <f t="shared" si="13"/>
        <v>0</v>
      </c>
      <c r="W50" s="43">
        <f t="shared" si="14"/>
        <v>0</v>
      </c>
      <c r="X50" s="136">
        <f t="shared" si="15"/>
        <v>0</v>
      </c>
      <c r="Y50" s="50"/>
      <c r="Z50" s="45">
        <f t="shared" si="16"/>
        <v>0</v>
      </c>
      <c r="AA50" s="45">
        <f t="shared" si="17"/>
        <v>0</v>
      </c>
      <c r="AB50" s="46">
        <f t="shared" si="18"/>
        <v>0</v>
      </c>
      <c r="AC50" s="46">
        <f t="shared" si="2"/>
        <v>0</v>
      </c>
      <c r="AD50" s="51"/>
      <c r="AE50" s="51"/>
      <c r="AF50" s="29">
        <v>2.95</v>
      </c>
      <c r="AG50" s="31">
        <f t="shared" si="23"/>
        <v>6.34</v>
      </c>
      <c r="AH50" s="31"/>
      <c r="AI50" s="31">
        <f t="shared" si="3"/>
        <v>3.37</v>
      </c>
      <c r="AJ50" s="31">
        <f t="shared" si="19"/>
        <v>0.67</v>
      </c>
      <c r="AK50" s="31">
        <f t="shared" si="4"/>
        <v>10.58</v>
      </c>
      <c r="AL50" s="33">
        <f t="shared" si="5"/>
        <v>0.2</v>
      </c>
      <c r="AM50" s="16">
        <f t="shared" si="20"/>
        <v>0</v>
      </c>
      <c r="AN50" s="16">
        <f t="shared" si="21"/>
        <v>0</v>
      </c>
    </row>
    <row r="51" spans="1:40" x14ac:dyDescent="0.2">
      <c r="A51" s="28">
        <v>504</v>
      </c>
      <c r="B51" s="131" t="s">
        <v>36</v>
      </c>
      <c r="C51" s="131" t="s">
        <v>156</v>
      </c>
      <c r="D51" s="28"/>
      <c r="E51" s="64">
        <v>23</v>
      </c>
      <c r="F51" s="51">
        <v>13765</v>
      </c>
      <c r="G51" s="51">
        <v>13828</v>
      </c>
      <c r="H51" s="120">
        <f t="shared" si="6"/>
        <v>63</v>
      </c>
      <c r="I51" s="121">
        <f t="shared" si="0"/>
        <v>32.97</v>
      </c>
      <c r="J51" s="121">
        <f t="shared" si="7"/>
        <v>6.59</v>
      </c>
      <c r="K51" s="122">
        <f t="shared" si="8"/>
        <v>39.56</v>
      </c>
      <c r="L51" s="121">
        <f t="shared" si="27"/>
        <v>63</v>
      </c>
      <c r="M51" s="121">
        <f t="shared" ref="M51:M58" si="30">ROUND((L51*$B$3),2)</f>
        <v>5.94</v>
      </c>
      <c r="N51" s="49">
        <v>214</v>
      </c>
      <c r="O51" s="41">
        <f t="shared" si="9"/>
        <v>36.049999999999997</v>
      </c>
      <c r="P51" s="41">
        <f t="shared" si="10"/>
        <v>7.21</v>
      </c>
      <c r="Q51" s="129">
        <f t="shared" si="11"/>
        <v>43.26</v>
      </c>
      <c r="R51" s="41">
        <f t="shared" si="28"/>
        <v>2.16</v>
      </c>
      <c r="S51" s="50"/>
      <c r="T51" s="50"/>
      <c r="U51" s="43">
        <f t="shared" si="12"/>
        <v>0</v>
      </c>
      <c r="V51" s="43">
        <f t="shared" si="13"/>
        <v>0</v>
      </c>
      <c r="W51" s="43">
        <f t="shared" si="14"/>
        <v>0</v>
      </c>
      <c r="X51" s="136">
        <f t="shared" si="15"/>
        <v>0</v>
      </c>
      <c r="Y51" s="50"/>
      <c r="Z51" s="45">
        <f t="shared" si="16"/>
        <v>0</v>
      </c>
      <c r="AA51" s="45">
        <f t="shared" si="17"/>
        <v>0</v>
      </c>
      <c r="AB51" s="46">
        <f t="shared" si="18"/>
        <v>0</v>
      </c>
      <c r="AC51" s="46">
        <f t="shared" si="2"/>
        <v>0</v>
      </c>
      <c r="AD51" s="51"/>
      <c r="AE51" s="51"/>
      <c r="AF51" s="29">
        <v>2.95</v>
      </c>
      <c r="AG51" s="31">
        <f t="shared" si="23"/>
        <v>67.849999999999994</v>
      </c>
      <c r="AH51" s="31"/>
      <c r="AI51" s="31">
        <f t="shared" si="3"/>
        <v>69.02</v>
      </c>
      <c r="AJ51" s="31">
        <f t="shared" si="19"/>
        <v>13.8</v>
      </c>
      <c r="AK51" s="31">
        <f t="shared" si="4"/>
        <v>158.76999999999998</v>
      </c>
      <c r="AL51" s="33">
        <f t="shared" si="5"/>
        <v>8.1000000000000014</v>
      </c>
      <c r="AM51" s="16">
        <f t="shared" si="20"/>
        <v>32.971680000000006</v>
      </c>
      <c r="AN51" s="16">
        <f t="shared" si="21"/>
        <v>-1.6800000000074533E-3</v>
      </c>
    </row>
    <row r="52" spans="1:40" x14ac:dyDescent="0.2">
      <c r="A52" s="60">
        <v>505</v>
      </c>
      <c r="B52" s="150" t="s">
        <v>189</v>
      </c>
      <c r="C52" s="141" t="s">
        <v>198</v>
      </c>
      <c r="D52" s="71"/>
      <c r="E52" s="65">
        <v>26</v>
      </c>
      <c r="F52" s="48">
        <v>23013</v>
      </c>
      <c r="G52" s="48">
        <v>23028</v>
      </c>
      <c r="H52" s="123">
        <f>G52-F52</f>
        <v>15</v>
      </c>
      <c r="I52" s="121">
        <f t="shared" si="0"/>
        <v>7.85</v>
      </c>
      <c r="J52" s="121">
        <f t="shared" si="7"/>
        <v>1.57</v>
      </c>
      <c r="K52" s="122">
        <f t="shared" si="8"/>
        <v>9.42</v>
      </c>
      <c r="L52" s="121">
        <f t="shared" si="27"/>
        <v>15</v>
      </c>
      <c r="M52" s="121">
        <f t="shared" si="30"/>
        <v>1.41</v>
      </c>
      <c r="N52" s="49">
        <v>242</v>
      </c>
      <c r="O52" s="41">
        <f t="shared" si="9"/>
        <v>40.770000000000003</v>
      </c>
      <c r="P52" s="41">
        <f t="shared" si="10"/>
        <v>8.15</v>
      </c>
      <c r="Q52" s="129">
        <f t="shared" si="11"/>
        <v>48.92</v>
      </c>
      <c r="R52" s="41">
        <f t="shared" si="28"/>
        <v>2.4500000000000002</v>
      </c>
      <c r="S52" s="54"/>
      <c r="T52" s="54"/>
      <c r="U52" s="43">
        <f t="shared" si="12"/>
        <v>0</v>
      </c>
      <c r="V52" s="43">
        <f t="shared" si="13"/>
        <v>0</v>
      </c>
      <c r="W52" s="43">
        <f t="shared" si="14"/>
        <v>0</v>
      </c>
      <c r="X52" s="136">
        <f t="shared" si="15"/>
        <v>0</v>
      </c>
      <c r="Y52" s="54"/>
      <c r="Z52" s="45">
        <f t="shared" si="16"/>
        <v>0</v>
      </c>
      <c r="AA52" s="45">
        <f t="shared" si="17"/>
        <v>0</v>
      </c>
      <c r="AB52" s="46">
        <f t="shared" si="18"/>
        <v>0</v>
      </c>
      <c r="AC52" s="46">
        <f t="shared" si="2"/>
        <v>0</v>
      </c>
      <c r="AD52" s="66"/>
      <c r="AE52" s="66"/>
      <c r="AF52" s="29">
        <v>2.95</v>
      </c>
      <c r="AG52" s="32">
        <f>ROUND((AF52*E52),2)</f>
        <v>76.7</v>
      </c>
      <c r="AH52" s="31"/>
      <c r="AI52" s="31">
        <f t="shared" si="3"/>
        <v>48.62</v>
      </c>
      <c r="AJ52" s="31">
        <f t="shared" si="19"/>
        <v>9.7200000000000006</v>
      </c>
      <c r="AK52" s="31">
        <f t="shared" si="4"/>
        <v>138.9</v>
      </c>
      <c r="AL52" s="33">
        <f t="shared" si="5"/>
        <v>3.8600000000000003</v>
      </c>
      <c r="AM52" s="16">
        <f t="shared" si="20"/>
        <v>7.8504000000000005</v>
      </c>
      <c r="AN52" s="16">
        <f t="shared" si="21"/>
        <v>-4.0000000000084412E-4</v>
      </c>
    </row>
    <row r="53" spans="1:40" x14ac:dyDescent="0.2">
      <c r="A53" s="62">
        <v>506</v>
      </c>
      <c r="B53" s="131" t="s">
        <v>65</v>
      </c>
      <c r="C53" s="131" t="s">
        <v>230</v>
      </c>
      <c r="D53" s="143"/>
      <c r="E53" s="65">
        <v>22.6</v>
      </c>
      <c r="F53" s="48">
        <v>9340</v>
      </c>
      <c r="G53" s="48">
        <v>9364</v>
      </c>
      <c r="H53" s="120">
        <f>G53-F53</f>
        <v>24</v>
      </c>
      <c r="I53" s="121">
        <f>ROUND((H53*$B$2),2)</f>
        <v>12.56</v>
      </c>
      <c r="J53" s="121">
        <f>ROUND((I53*0.2),2)</f>
        <v>2.5099999999999998</v>
      </c>
      <c r="K53" s="122">
        <f>I53+J53</f>
        <v>15.07</v>
      </c>
      <c r="L53" s="121">
        <f>H53</f>
        <v>24</v>
      </c>
      <c r="M53" s="121">
        <f t="shared" si="30"/>
        <v>2.2599999999999998</v>
      </c>
      <c r="N53" s="53">
        <v>210</v>
      </c>
      <c r="O53" s="41">
        <f>ROUND((N53*$B$4),2)</f>
        <v>35.380000000000003</v>
      </c>
      <c r="P53" s="41">
        <f>ROUND((O53*0.2),2)</f>
        <v>7.08</v>
      </c>
      <c r="Q53" s="129">
        <f>O53+P53</f>
        <v>42.46</v>
      </c>
      <c r="R53" s="41">
        <f>ROUND((N53*$B$5),2)</f>
        <v>2.12</v>
      </c>
      <c r="S53" s="55"/>
      <c r="T53" s="55"/>
      <c r="U53" s="43">
        <f>T53-S53</f>
        <v>0</v>
      </c>
      <c r="V53" s="43">
        <f>ROUND((U53*$B$6),2)</f>
        <v>0</v>
      </c>
      <c r="W53" s="43">
        <f>ROUND((V53*0.2),2)</f>
        <v>0</v>
      </c>
      <c r="X53" s="136">
        <f>V53+W53</f>
        <v>0</v>
      </c>
      <c r="Y53" s="55"/>
      <c r="Z53" s="45">
        <f>ROUND((Y53*$B$7),2)</f>
        <v>0</v>
      </c>
      <c r="AA53" s="45">
        <f>ROUND((Z53*0.2),2)</f>
        <v>0</v>
      </c>
      <c r="AB53" s="46">
        <f>Z53+AA53</f>
        <v>0</v>
      </c>
      <c r="AC53" s="46">
        <f>V53+W53+Z53+AA53</f>
        <v>0</v>
      </c>
      <c r="AD53" s="48"/>
      <c r="AE53" s="48"/>
      <c r="AF53" s="29">
        <v>2.95</v>
      </c>
      <c r="AG53" s="32">
        <f>ROUND((AF53*E53),2)</f>
        <v>66.67</v>
      </c>
      <c r="AH53" s="31"/>
      <c r="AI53" s="31">
        <f>ROUND((I53+O53+V53+Z53),2)</f>
        <v>47.94</v>
      </c>
      <c r="AJ53" s="31">
        <f>ROUND((AI53*0.2),2)</f>
        <v>9.59</v>
      </c>
      <c r="AK53" s="31">
        <f>AG53+AD53+AA53+Z53+W53+V53+R53+P53+O53+M53+J53+I53</f>
        <v>128.58000000000001</v>
      </c>
      <c r="AL53" s="33">
        <f>M53+R53+AD53</f>
        <v>4.38</v>
      </c>
      <c r="AM53" s="16">
        <f>H53*$B$2</f>
        <v>12.560640000000001</v>
      </c>
      <c r="AN53" s="16">
        <f>I53-AM53</f>
        <v>-6.4000000000064006E-4</v>
      </c>
    </row>
    <row r="54" spans="1:40" x14ac:dyDescent="0.2">
      <c r="A54" s="62">
        <v>507</v>
      </c>
      <c r="B54" s="150" t="s">
        <v>190</v>
      </c>
      <c r="C54" s="141" t="s">
        <v>199</v>
      </c>
      <c r="D54" s="71"/>
      <c r="E54" s="65">
        <v>26</v>
      </c>
      <c r="F54" s="48">
        <v>29554</v>
      </c>
      <c r="G54" s="48">
        <v>29582</v>
      </c>
      <c r="H54" s="123">
        <f>G54-F54</f>
        <v>28</v>
      </c>
      <c r="I54" s="121">
        <f>ROUND((H54*$B$2),2)</f>
        <v>14.65</v>
      </c>
      <c r="J54" s="121">
        <f>ROUND((I54*0.2),2)</f>
        <v>2.93</v>
      </c>
      <c r="K54" s="122">
        <f>I54+J54</f>
        <v>17.580000000000002</v>
      </c>
      <c r="L54" s="121">
        <f>H54</f>
        <v>28</v>
      </c>
      <c r="M54" s="121">
        <f t="shared" si="30"/>
        <v>2.64</v>
      </c>
      <c r="N54" s="53">
        <v>242</v>
      </c>
      <c r="O54" s="41">
        <f>ROUND((N54*$B$4),2)</f>
        <v>40.770000000000003</v>
      </c>
      <c r="P54" s="41">
        <f>ROUND((O54*0.2),2)</f>
        <v>8.15</v>
      </c>
      <c r="Q54" s="129">
        <f>O54+P54</f>
        <v>48.92</v>
      </c>
      <c r="R54" s="41">
        <f>ROUND((N54*$B$5),2)</f>
        <v>2.4500000000000002</v>
      </c>
      <c r="S54" s="55">
        <v>1</v>
      </c>
      <c r="T54" s="55">
        <v>1</v>
      </c>
      <c r="U54" s="43">
        <f>T54-S54</f>
        <v>0</v>
      </c>
      <c r="V54" s="43">
        <f>ROUND((U54*$B$6),2)</f>
        <v>0</v>
      </c>
      <c r="W54" s="43">
        <f>ROUND((V54*0.2),2)</f>
        <v>0</v>
      </c>
      <c r="X54" s="136">
        <f>V54+W54</f>
        <v>0</v>
      </c>
      <c r="Y54" s="55"/>
      <c r="Z54" s="45">
        <f>ROUND((Y54*$B$7),2)</f>
        <v>0</v>
      </c>
      <c r="AA54" s="45">
        <f>ROUND((Z54*0.2),2)</f>
        <v>0</v>
      </c>
      <c r="AB54" s="46">
        <f>Z54+AA54</f>
        <v>0</v>
      </c>
      <c r="AC54" s="46">
        <f>V54+W54+Z54+AA54</f>
        <v>0</v>
      </c>
      <c r="AD54" s="48"/>
      <c r="AE54" s="48"/>
      <c r="AF54" s="29">
        <v>2.95</v>
      </c>
      <c r="AG54" s="32">
        <f>ROUND((AF54*E54),2)</f>
        <v>76.7</v>
      </c>
      <c r="AH54" s="31"/>
      <c r="AI54" s="31">
        <f>ROUND((I54+O54+V54+Z54),2)</f>
        <v>55.42</v>
      </c>
      <c r="AJ54" s="31">
        <f>ROUND((AI54*0.2),2)</f>
        <v>11.08</v>
      </c>
      <c r="AK54" s="31">
        <f>AG54+AD54+AA54+Z54+W54+V54+R54+P54+O54+M54+J54+I54</f>
        <v>148.29000000000002</v>
      </c>
      <c r="AL54" s="33">
        <f>M54+R54+AD54</f>
        <v>5.09</v>
      </c>
      <c r="AM54" s="16">
        <f>H54*$B$2</f>
        <v>14.65408</v>
      </c>
      <c r="AN54" s="16">
        <f>I54-AM54</f>
        <v>-4.0800000000000836E-3</v>
      </c>
    </row>
    <row r="55" spans="1:40" x14ac:dyDescent="0.2">
      <c r="A55" s="60" t="s">
        <v>185</v>
      </c>
      <c r="B55" s="131" t="s">
        <v>72</v>
      </c>
      <c r="C55" s="131" t="s">
        <v>109</v>
      </c>
      <c r="D55" s="28"/>
      <c r="E55" s="65">
        <v>82.2</v>
      </c>
      <c r="F55" s="51">
        <v>50347</v>
      </c>
      <c r="G55" s="51">
        <v>50547</v>
      </c>
      <c r="H55" s="120">
        <f t="shared" si="6"/>
        <v>200</v>
      </c>
      <c r="I55" s="121">
        <f t="shared" si="0"/>
        <v>104.67</v>
      </c>
      <c r="J55" s="121">
        <f t="shared" si="7"/>
        <v>20.93</v>
      </c>
      <c r="K55" s="122">
        <f t="shared" si="8"/>
        <v>125.6</v>
      </c>
      <c r="L55" s="121">
        <f t="shared" si="27"/>
        <v>200</v>
      </c>
      <c r="M55" s="121">
        <f t="shared" si="30"/>
        <v>18.84</v>
      </c>
      <c r="N55" s="49">
        <v>765</v>
      </c>
      <c r="O55" s="41">
        <f>ROUND((N55*$B$4),2)</f>
        <v>128.88999999999999</v>
      </c>
      <c r="P55" s="41">
        <f t="shared" si="10"/>
        <v>25.78</v>
      </c>
      <c r="Q55" s="129">
        <f t="shared" si="11"/>
        <v>154.66999999999999</v>
      </c>
      <c r="R55" s="41">
        <f t="shared" si="28"/>
        <v>7.73</v>
      </c>
      <c r="S55" s="50"/>
      <c r="T55" s="50"/>
      <c r="U55" s="43">
        <f t="shared" si="12"/>
        <v>0</v>
      </c>
      <c r="V55" s="43">
        <f t="shared" si="13"/>
        <v>0</v>
      </c>
      <c r="W55" s="43">
        <f t="shared" si="14"/>
        <v>0</v>
      </c>
      <c r="X55" s="136">
        <f t="shared" si="15"/>
        <v>0</v>
      </c>
      <c r="Y55" s="50"/>
      <c r="Z55" s="45">
        <f t="shared" si="16"/>
        <v>0</v>
      </c>
      <c r="AA55" s="45">
        <f t="shared" si="17"/>
        <v>0</v>
      </c>
      <c r="AB55" s="46">
        <f t="shared" si="18"/>
        <v>0</v>
      </c>
      <c r="AC55" s="46">
        <f t="shared" si="2"/>
        <v>0</v>
      </c>
      <c r="AD55" s="51"/>
      <c r="AE55" s="51"/>
      <c r="AF55" s="29">
        <v>2.95</v>
      </c>
      <c r="AG55" s="31">
        <f t="shared" si="23"/>
        <v>242.49</v>
      </c>
      <c r="AH55" s="31"/>
      <c r="AI55" s="31">
        <f t="shared" si="3"/>
        <v>233.56</v>
      </c>
      <c r="AJ55" s="31">
        <f t="shared" si="19"/>
        <v>46.71</v>
      </c>
      <c r="AK55" s="31">
        <f t="shared" si="4"/>
        <v>549.32999999999993</v>
      </c>
      <c r="AL55" s="33">
        <f t="shared" si="5"/>
        <v>26.57</v>
      </c>
      <c r="AM55" s="16">
        <f t="shared" si="20"/>
        <v>104.67200000000001</v>
      </c>
      <c r="AN55" s="16">
        <f t="shared" si="21"/>
        <v>-2.0000000000095497E-3</v>
      </c>
    </row>
    <row r="56" spans="1:40" x14ac:dyDescent="0.2">
      <c r="A56" s="28">
        <v>508</v>
      </c>
      <c r="B56" s="131" t="s">
        <v>68</v>
      </c>
      <c r="C56" s="131" t="s">
        <v>110</v>
      </c>
      <c r="D56" s="28"/>
      <c r="E56" s="65">
        <v>21.2</v>
      </c>
      <c r="F56" s="51">
        <v>13028</v>
      </c>
      <c r="G56" s="51">
        <v>13030</v>
      </c>
      <c r="H56" s="120">
        <f t="shared" si="6"/>
        <v>2</v>
      </c>
      <c r="I56" s="121">
        <f t="shared" si="0"/>
        <v>1.05</v>
      </c>
      <c r="J56" s="121">
        <f t="shared" si="7"/>
        <v>0.21</v>
      </c>
      <c r="K56" s="122">
        <f t="shared" si="8"/>
        <v>1.26</v>
      </c>
      <c r="L56" s="121">
        <f>H56</f>
        <v>2</v>
      </c>
      <c r="M56" s="121">
        <f t="shared" si="30"/>
        <v>0.19</v>
      </c>
      <c r="N56" s="49">
        <v>197</v>
      </c>
      <c r="O56" s="41">
        <f>ROUND((N56*$B$4),2)</f>
        <v>33.19</v>
      </c>
      <c r="P56" s="41">
        <f t="shared" si="10"/>
        <v>6.64</v>
      </c>
      <c r="Q56" s="129">
        <f t="shared" si="11"/>
        <v>39.83</v>
      </c>
      <c r="R56" s="41">
        <f t="shared" si="28"/>
        <v>1.99</v>
      </c>
      <c r="S56" s="50">
        <v>6</v>
      </c>
      <c r="T56" s="50">
        <v>6</v>
      </c>
      <c r="U56" s="43">
        <f t="shared" si="12"/>
        <v>0</v>
      </c>
      <c r="V56" s="43">
        <f t="shared" si="13"/>
        <v>0</v>
      </c>
      <c r="W56" s="43">
        <f t="shared" si="14"/>
        <v>0</v>
      </c>
      <c r="X56" s="136">
        <f t="shared" si="15"/>
        <v>0</v>
      </c>
      <c r="Y56" s="56">
        <v>0</v>
      </c>
      <c r="Z56" s="45">
        <f t="shared" si="16"/>
        <v>0</v>
      </c>
      <c r="AA56" s="45">
        <f t="shared" si="17"/>
        <v>0</v>
      </c>
      <c r="AB56" s="46">
        <f t="shared" si="18"/>
        <v>0</v>
      </c>
      <c r="AC56" s="46">
        <f t="shared" si="2"/>
        <v>0</v>
      </c>
      <c r="AD56" s="57"/>
      <c r="AE56" s="57"/>
      <c r="AF56" s="29">
        <v>2.95</v>
      </c>
      <c r="AG56" s="31">
        <f t="shared" si="23"/>
        <v>62.54</v>
      </c>
      <c r="AH56" s="31"/>
      <c r="AI56" s="31">
        <f t="shared" si="3"/>
        <v>34.24</v>
      </c>
      <c r="AJ56" s="31">
        <f t="shared" si="19"/>
        <v>6.85</v>
      </c>
      <c r="AK56" s="31">
        <f t="shared" si="4"/>
        <v>105.80999999999999</v>
      </c>
      <c r="AL56" s="33">
        <f t="shared" si="5"/>
        <v>2.1800000000000002</v>
      </c>
      <c r="AM56" s="16">
        <f t="shared" si="20"/>
        <v>1.0467200000000001</v>
      </c>
      <c r="AN56" s="16">
        <f t="shared" si="21"/>
        <v>3.2799999999999496E-3</v>
      </c>
    </row>
    <row r="57" spans="1:40" x14ac:dyDescent="0.2">
      <c r="A57" s="60" t="s">
        <v>9</v>
      </c>
      <c r="B57" s="141" t="s">
        <v>177</v>
      </c>
      <c r="C57" s="141" t="s">
        <v>178</v>
      </c>
      <c r="D57" s="28"/>
      <c r="E57" s="64">
        <v>6.3</v>
      </c>
      <c r="F57" s="51">
        <v>2491</v>
      </c>
      <c r="G57" s="51">
        <v>2615</v>
      </c>
      <c r="H57" s="120">
        <f t="shared" si="6"/>
        <v>124</v>
      </c>
      <c r="I57" s="121">
        <f t="shared" si="0"/>
        <v>64.900000000000006</v>
      </c>
      <c r="J57" s="121">
        <f t="shared" si="7"/>
        <v>12.98</v>
      </c>
      <c r="K57" s="122">
        <f t="shared" si="8"/>
        <v>77.88000000000001</v>
      </c>
      <c r="L57" s="121">
        <f t="shared" si="27"/>
        <v>124</v>
      </c>
      <c r="M57" s="121">
        <f t="shared" si="30"/>
        <v>11.68</v>
      </c>
      <c r="N57" s="49">
        <v>0</v>
      </c>
      <c r="O57" s="41">
        <f t="shared" si="9"/>
        <v>0</v>
      </c>
      <c r="P57" s="41">
        <f t="shared" si="10"/>
        <v>0</v>
      </c>
      <c r="Q57" s="129">
        <f t="shared" si="11"/>
        <v>0</v>
      </c>
      <c r="R57" s="41">
        <f t="shared" si="28"/>
        <v>0</v>
      </c>
      <c r="S57" s="50"/>
      <c r="T57" s="50"/>
      <c r="U57" s="43">
        <f t="shared" si="12"/>
        <v>0</v>
      </c>
      <c r="V57" s="43">
        <f t="shared" si="13"/>
        <v>0</v>
      </c>
      <c r="W57" s="43">
        <f t="shared" si="14"/>
        <v>0</v>
      </c>
      <c r="X57" s="136">
        <f t="shared" si="15"/>
        <v>0</v>
      </c>
      <c r="Y57" s="50"/>
      <c r="Z57" s="45">
        <f t="shared" si="16"/>
        <v>0</v>
      </c>
      <c r="AA57" s="45">
        <f t="shared" si="17"/>
        <v>0</v>
      </c>
      <c r="AB57" s="46">
        <f t="shared" si="18"/>
        <v>0</v>
      </c>
      <c r="AC57" s="46">
        <f t="shared" si="2"/>
        <v>0</v>
      </c>
      <c r="AD57" s="51"/>
      <c r="AE57" s="51"/>
      <c r="AF57" s="29">
        <v>2.95</v>
      </c>
      <c r="AG57" s="32">
        <f>ROUND((AF57*E57),2)</f>
        <v>18.59</v>
      </c>
      <c r="AH57" s="31"/>
      <c r="AI57" s="31">
        <f t="shared" si="3"/>
        <v>64.900000000000006</v>
      </c>
      <c r="AJ57" s="31">
        <f t="shared" si="19"/>
        <v>12.98</v>
      </c>
      <c r="AK57" s="31">
        <f>AG57+AD57+AA57+Z57+W57+V57+R57+P57+O57+M57+J57+I57</f>
        <v>108.15</v>
      </c>
      <c r="AL57" s="33">
        <f t="shared" si="5"/>
        <v>11.68</v>
      </c>
      <c r="AM57" s="16">
        <f t="shared" si="20"/>
        <v>64.896640000000005</v>
      </c>
      <c r="AN57" s="16">
        <f t="shared" si="21"/>
        <v>3.3600000000006958E-3</v>
      </c>
    </row>
    <row r="58" spans="1:40" x14ac:dyDescent="0.2">
      <c r="A58" s="60" t="s">
        <v>12</v>
      </c>
      <c r="B58" s="131" t="s">
        <v>77</v>
      </c>
      <c r="C58" s="131" t="s">
        <v>107</v>
      </c>
      <c r="D58" s="28"/>
      <c r="E58" s="68">
        <v>8</v>
      </c>
      <c r="F58" s="51">
        <v>10195</v>
      </c>
      <c r="G58" s="51">
        <v>10211</v>
      </c>
      <c r="H58" s="120">
        <f t="shared" si="6"/>
        <v>16</v>
      </c>
      <c r="I58" s="121">
        <f t="shared" si="0"/>
        <v>8.3699999999999992</v>
      </c>
      <c r="J58" s="121">
        <f t="shared" si="7"/>
        <v>1.67</v>
      </c>
      <c r="K58" s="122">
        <f t="shared" si="8"/>
        <v>10.039999999999999</v>
      </c>
      <c r="L58" s="121">
        <f t="shared" si="27"/>
        <v>16</v>
      </c>
      <c r="M58" s="121">
        <f t="shared" si="30"/>
        <v>1.51</v>
      </c>
      <c r="N58" s="49"/>
      <c r="O58" s="41">
        <f t="shared" si="9"/>
        <v>0</v>
      </c>
      <c r="P58" s="41">
        <f t="shared" si="10"/>
        <v>0</v>
      </c>
      <c r="Q58" s="129">
        <f t="shared" si="11"/>
        <v>0</v>
      </c>
      <c r="R58" s="41">
        <f t="shared" si="28"/>
        <v>0</v>
      </c>
      <c r="S58" s="50"/>
      <c r="T58" s="50"/>
      <c r="U58" s="43">
        <f t="shared" si="12"/>
        <v>0</v>
      </c>
      <c r="V58" s="43">
        <f t="shared" si="13"/>
        <v>0</v>
      </c>
      <c r="W58" s="43">
        <f t="shared" si="14"/>
        <v>0</v>
      </c>
      <c r="X58" s="136">
        <f t="shared" si="15"/>
        <v>0</v>
      </c>
      <c r="Y58" s="50"/>
      <c r="Z58" s="45">
        <f t="shared" si="16"/>
        <v>0</v>
      </c>
      <c r="AA58" s="45">
        <f t="shared" si="17"/>
        <v>0</v>
      </c>
      <c r="AB58" s="46">
        <f t="shared" si="18"/>
        <v>0</v>
      </c>
      <c r="AC58" s="46">
        <f t="shared" si="2"/>
        <v>0</v>
      </c>
      <c r="AD58" s="51"/>
      <c r="AE58" s="51"/>
      <c r="AF58" s="29">
        <v>2.95</v>
      </c>
      <c r="AG58" s="31">
        <f t="shared" si="23"/>
        <v>23.6</v>
      </c>
      <c r="AH58" s="31"/>
      <c r="AI58" s="31">
        <f t="shared" si="3"/>
        <v>8.3699999999999992</v>
      </c>
      <c r="AJ58" s="31">
        <f t="shared" si="19"/>
        <v>1.67</v>
      </c>
      <c r="AK58" s="31">
        <f t="shared" si="4"/>
        <v>35.15</v>
      </c>
      <c r="AL58" s="33">
        <f t="shared" si="5"/>
        <v>1.51</v>
      </c>
      <c r="AM58" s="16">
        <f t="shared" si="20"/>
        <v>8.3737600000000008</v>
      </c>
      <c r="AN58" s="16">
        <f t="shared" si="21"/>
        <v>-3.7600000000015399E-3</v>
      </c>
    </row>
    <row r="59" spans="1:40" x14ac:dyDescent="0.2">
      <c r="A59" s="60" t="s">
        <v>10</v>
      </c>
      <c r="B59" s="131" t="s">
        <v>84</v>
      </c>
      <c r="C59" s="131" t="s">
        <v>111</v>
      </c>
      <c r="D59" s="28"/>
      <c r="E59" s="68">
        <v>7.6</v>
      </c>
      <c r="F59" s="48">
        <v>22480</v>
      </c>
      <c r="G59" s="48">
        <v>22480</v>
      </c>
      <c r="H59" s="120">
        <f t="shared" si="6"/>
        <v>0</v>
      </c>
      <c r="I59" s="121">
        <f>ROUND((H59*$B$2),2)</f>
        <v>0</v>
      </c>
      <c r="J59" s="121">
        <f>ROUND((I59*0.2),2)</f>
        <v>0</v>
      </c>
      <c r="K59" s="122">
        <f>I59+J59</f>
        <v>0</v>
      </c>
      <c r="L59" s="121">
        <f t="shared" si="27"/>
        <v>0</v>
      </c>
      <c r="M59" s="121">
        <f t="shared" ref="M59:M67" si="31">ROUND((L59*$B$3),2)</f>
        <v>0</v>
      </c>
      <c r="N59" s="53"/>
      <c r="O59" s="41">
        <f t="shared" si="9"/>
        <v>0</v>
      </c>
      <c r="P59" s="41">
        <f t="shared" si="10"/>
        <v>0</v>
      </c>
      <c r="Q59" s="129">
        <f t="shared" si="11"/>
        <v>0</v>
      </c>
      <c r="R59" s="41">
        <f t="shared" si="28"/>
        <v>0</v>
      </c>
      <c r="S59" s="50"/>
      <c r="T59" s="50"/>
      <c r="U59" s="43">
        <f t="shared" si="12"/>
        <v>0</v>
      </c>
      <c r="V59" s="43">
        <f t="shared" si="13"/>
        <v>0</v>
      </c>
      <c r="W59" s="43">
        <f t="shared" si="14"/>
        <v>0</v>
      </c>
      <c r="X59" s="136">
        <f t="shared" si="15"/>
        <v>0</v>
      </c>
      <c r="Y59" s="50"/>
      <c r="Z59" s="45">
        <f t="shared" si="16"/>
        <v>0</v>
      </c>
      <c r="AA59" s="45">
        <f t="shared" si="17"/>
        <v>0</v>
      </c>
      <c r="AB59" s="46">
        <f t="shared" si="18"/>
        <v>0</v>
      </c>
      <c r="AC59" s="46">
        <f t="shared" si="2"/>
        <v>0</v>
      </c>
      <c r="AD59" s="51"/>
      <c r="AE59" s="51"/>
      <c r="AF59" s="29">
        <v>2.95</v>
      </c>
      <c r="AG59" s="31">
        <f>ROUND((AF59*E59),2)</f>
        <v>22.42</v>
      </c>
      <c r="AH59" s="31"/>
      <c r="AI59" s="31">
        <f>ROUND((I59+O59+V59+Z59),2)</f>
        <v>0</v>
      </c>
      <c r="AJ59" s="31">
        <f t="shared" si="19"/>
        <v>0</v>
      </c>
      <c r="AK59" s="31">
        <f>AG59+AD59+AA59+Z59+W59+V59+R59+P59+O59+M59+J59+I59</f>
        <v>22.42</v>
      </c>
      <c r="AL59" s="33">
        <f t="shared" si="5"/>
        <v>0</v>
      </c>
      <c r="AM59" s="16">
        <f t="shared" si="20"/>
        <v>0</v>
      </c>
      <c r="AN59" s="16">
        <f>I59-AM59</f>
        <v>0</v>
      </c>
    </row>
    <row r="60" spans="1:40" x14ac:dyDescent="0.2">
      <c r="A60" s="60">
        <v>510</v>
      </c>
      <c r="B60" s="131" t="s">
        <v>177</v>
      </c>
      <c r="C60" s="131" t="s">
        <v>178</v>
      </c>
      <c r="D60" s="28"/>
      <c r="E60" s="65">
        <v>59.4</v>
      </c>
      <c r="F60" s="48">
        <v>30079</v>
      </c>
      <c r="G60" s="48">
        <v>30269</v>
      </c>
      <c r="H60" s="120">
        <f t="shared" si="6"/>
        <v>190</v>
      </c>
      <c r="I60" s="121">
        <f>ROUND((H60*$B$2),2)</f>
        <v>99.44</v>
      </c>
      <c r="J60" s="121">
        <f>ROUND((I60*0.2),2)</f>
        <v>19.89</v>
      </c>
      <c r="K60" s="122">
        <f>I60+J60</f>
        <v>119.33</v>
      </c>
      <c r="L60" s="121">
        <f t="shared" si="27"/>
        <v>190</v>
      </c>
      <c r="M60" s="121">
        <f t="shared" si="31"/>
        <v>17.899999999999999</v>
      </c>
      <c r="N60" s="53">
        <v>611</v>
      </c>
      <c r="O60" s="41">
        <f t="shared" si="9"/>
        <v>102.94</v>
      </c>
      <c r="P60" s="41">
        <f t="shared" si="10"/>
        <v>20.59</v>
      </c>
      <c r="Q60" s="129">
        <f t="shared" si="11"/>
        <v>123.53</v>
      </c>
      <c r="R60" s="41">
        <f t="shared" si="28"/>
        <v>6.18</v>
      </c>
      <c r="S60" s="50"/>
      <c r="T60" s="50"/>
      <c r="U60" s="43">
        <f t="shared" si="12"/>
        <v>0</v>
      </c>
      <c r="V60" s="43">
        <f t="shared" si="13"/>
        <v>0</v>
      </c>
      <c r="W60" s="43">
        <f>ROUND((V60*0.2),2)</f>
        <v>0</v>
      </c>
      <c r="X60" s="136">
        <f t="shared" si="15"/>
        <v>0</v>
      </c>
      <c r="Y60" s="50"/>
      <c r="Z60" s="45">
        <f t="shared" si="16"/>
        <v>0</v>
      </c>
      <c r="AA60" s="45">
        <f t="shared" si="17"/>
        <v>0</v>
      </c>
      <c r="AB60" s="46">
        <f t="shared" si="18"/>
        <v>0</v>
      </c>
      <c r="AC60" s="46">
        <f t="shared" si="2"/>
        <v>0</v>
      </c>
      <c r="AD60" s="51"/>
      <c r="AE60" s="51"/>
      <c r="AF60" s="29">
        <v>2.95</v>
      </c>
      <c r="AG60" s="32">
        <f>ROUND((AF60*E60),2)</f>
        <v>175.23</v>
      </c>
      <c r="AH60" s="31"/>
      <c r="AI60" s="31">
        <f>ROUND((I60+O60+V60+Z60),2)</f>
        <v>202.38</v>
      </c>
      <c r="AJ60" s="31">
        <f t="shared" si="19"/>
        <v>40.479999999999997</v>
      </c>
      <c r="AK60" s="31">
        <f>AG60+AD60+AA60+Z60+W60+V60+R60+P60+O60+M60+J60+I60</f>
        <v>442.16999999999996</v>
      </c>
      <c r="AL60" s="33">
        <f t="shared" si="5"/>
        <v>24.08</v>
      </c>
      <c r="AM60" s="16">
        <f t="shared" si="20"/>
        <v>99.438400000000016</v>
      </c>
      <c r="AN60" s="16">
        <f>I60-AM60</f>
        <v>1.5999999999820602E-3</v>
      </c>
    </row>
    <row r="61" spans="1:40" x14ac:dyDescent="0.2">
      <c r="A61" s="28">
        <v>511</v>
      </c>
      <c r="B61" s="131" t="s">
        <v>78</v>
      </c>
      <c r="C61" s="131" t="s">
        <v>112</v>
      </c>
      <c r="D61" s="28"/>
      <c r="E61" s="65">
        <v>52.2</v>
      </c>
      <c r="F61" s="51">
        <v>30812</v>
      </c>
      <c r="G61" s="51">
        <v>30964</v>
      </c>
      <c r="H61" s="120">
        <f t="shared" si="6"/>
        <v>152</v>
      </c>
      <c r="I61" s="121">
        <f t="shared" si="0"/>
        <v>79.55</v>
      </c>
      <c r="J61" s="121">
        <f t="shared" si="7"/>
        <v>15.91</v>
      </c>
      <c r="K61" s="122">
        <f t="shared" si="8"/>
        <v>95.46</v>
      </c>
      <c r="L61" s="121">
        <f t="shared" si="27"/>
        <v>152</v>
      </c>
      <c r="M61" s="121">
        <f t="shared" si="31"/>
        <v>14.32</v>
      </c>
      <c r="N61" s="53">
        <v>486</v>
      </c>
      <c r="O61" s="41">
        <f t="shared" si="9"/>
        <v>81.88</v>
      </c>
      <c r="P61" s="41">
        <f t="shared" si="10"/>
        <v>16.38</v>
      </c>
      <c r="Q61" s="129">
        <f t="shared" si="11"/>
        <v>98.259999999999991</v>
      </c>
      <c r="R61" s="41">
        <f t="shared" si="28"/>
        <v>4.91</v>
      </c>
      <c r="S61" s="73"/>
      <c r="T61" s="73"/>
      <c r="U61" s="43">
        <f t="shared" si="12"/>
        <v>0</v>
      </c>
      <c r="V61" s="43">
        <f t="shared" si="13"/>
        <v>0</v>
      </c>
      <c r="W61" s="43">
        <f t="shared" si="14"/>
        <v>0</v>
      </c>
      <c r="X61" s="136">
        <f>V61+W61</f>
        <v>0</v>
      </c>
      <c r="Y61" s="50"/>
      <c r="Z61" s="45">
        <f t="shared" si="16"/>
        <v>0</v>
      </c>
      <c r="AA61" s="45">
        <f t="shared" si="17"/>
        <v>0</v>
      </c>
      <c r="AB61" s="46">
        <f t="shared" si="18"/>
        <v>0</v>
      </c>
      <c r="AC61" s="46">
        <f t="shared" si="2"/>
        <v>0</v>
      </c>
      <c r="AD61" s="51"/>
      <c r="AE61" s="51"/>
      <c r="AF61" s="29">
        <v>2.95</v>
      </c>
      <c r="AG61" s="31">
        <f t="shared" si="23"/>
        <v>153.99</v>
      </c>
      <c r="AH61" s="31"/>
      <c r="AI61" s="31">
        <f t="shared" si="3"/>
        <v>161.43</v>
      </c>
      <c r="AJ61" s="31">
        <f t="shared" si="19"/>
        <v>32.29</v>
      </c>
      <c r="AK61" s="31">
        <f t="shared" si="4"/>
        <v>366.94</v>
      </c>
      <c r="AL61" s="33">
        <f t="shared" si="5"/>
        <v>19.23</v>
      </c>
      <c r="AM61" s="16">
        <f t="shared" si="20"/>
        <v>79.550720000000013</v>
      </c>
      <c r="AN61" s="16">
        <f t="shared" si="21"/>
        <v>-7.2000000001537501E-4</v>
      </c>
    </row>
    <row r="62" spans="1:40" x14ac:dyDescent="0.2">
      <c r="A62" s="28">
        <v>513</v>
      </c>
      <c r="B62" s="131" t="s">
        <v>71</v>
      </c>
      <c r="C62" s="131" t="s">
        <v>237</v>
      </c>
      <c r="D62" s="75" t="s">
        <v>239</v>
      </c>
      <c r="E62" s="65">
        <v>9.56</v>
      </c>
      <c r="F62" s="77">
        <v>3</v>
      </c>
      <c r="G62" s="51">
        <v>4</v>
      </c>
      <c r="H62" s="120">
        <f t="shared" si="6"/>
        <v>1</v>
      </c>
      <c r="I62" s="121">
        <f t="shared" si="0"/>
        <v>0.52</v>
      </c>
      <c r="J62" s="121">
        <f t="shared" si="7"/>
        <v>0.1</v>
      </c>
      <c r="K62" s="122">
        <f t="shared" si="8"/>
        <v>0.62</v>
      </c>
      <c r="L62" s="121">
        <f t="shared" si="27"/>
        <v>1</v>
      </c>
      <c r="M62" s="121">
        <f t="shared" si="31"/>
        <v>0.09</v>
      </c>
      <c r="N62" s="53">
        <v>20</v>
      </c>
      <c r="O62" s="41">
        <f t="shared" si="9"/>
        <v>3.37</v>
      </c>
      <c r="P62" s="41">
        <f t="shared" si="10"/>
        <v>0.67</v>
      </c>
      <c r="Q62" s="129">
        <f t="shared" si="11"/>
        <v>4.04</v>
      </c>
      <c r="R62" s="41">
        <f t="shared" si="28"/>
        <v>0.2</v>
      </c>
      <c r="S62" s="73"/>
      <c r="T62" s="73"/>
      <c r="U62" s="43">
        <f t="shared" si="12"/>
        <v>0</v>
      </c>
      <c r="V62" s="43">
        <f t="shared" si="13"/>
        <v>0</v>
      </c>
      <c r="W62" s="43">
        <f t="shared" si="14"/>
        <v>0</v>
      </c>
      <c r="X62" s="136">
        <f>V62+W62</f>
        <v>0</v>
      </c>
      <c r="Y62" s="50"/>
      <c r="Z62" s="45">
        <f t="shared" si="16"/>
        <v>0</v>
      </c>
      <c r="AA62" s="45">
        <f t="shared" si="17"/>
        <v>0</v>
      </c>
      <c r="AB62" s="46">
        <f t="shared" si="18"/>
        <v>0</v>
      </c>
      <c r="AC62" s="46">
        <f t="shared" si="2"/>
        <v>0</v>
      </c>
      <c r="AD62" s="51"/>
      <c r="AE62" s="51"/>
      <c r="AF62" s="29">
        <v>2.95</v>
      </c>
      <c r="AG62" s="168">
        <f>ROUND((AF62*E62),2)/31*7</f>
        <v>6.3677419354838705</v>
      </c>
      <c r="AH62" s="31"/>
      <c r="AI62" s="31">
        <f t="shared" si="3"/>
        <v>3.89</v>
      </c>
      <c r="AJ62" s="31">
        <f t="shared" si="19"/>
        <v>0.78</v>
      </c>
      <c r="AK62" s="31">
        <f t="shared" si="4"/>
        <v>11.31774193548387</v>
      </c>
      <c r="AL62" s="33">
        <f t="shared" si="5"/>
        <v>0.29000000000000004</v>
      </c>
      <c r="AM62" s="16">
        <f t="shared" si="20"/>
        <v>0.52336000000000005</v>
      </c>
      <c r="AN62" s="16">
        <f t="shared" si="21"/>
        <v>-3.3600000000000296E-3</v>
      </c>
    </row>
    <row r="63" spans="1:40" x14ac:dyDescent="0.2">
      <c r="A63" s="74">
        <v>514</v>
      </c>
      <c r="B63" s="131" t="s">
        <v>84</v>
      </c>
      <c r="C63" s="131" t="s">
        <v>111</v>
      </c>
      <c r="D63" s="28"/>
      <c r="E63" s="65">
        <v>21.4</v>
      </c>
      <c r="F63" s="51">
        <v>6521</v>
      </c>
      <c r="G63" s="51">
        <v>6521</v>
      </c>
      <c r="H63" s="120">
        <f t="shared" si="6"/>
        <v>0</v>
      </c>
      <c r="I63" s="121">
        <f t="shared" si="0"/>
        <v>0</v>
      </c>
      <c r="J63" s="121">
        <f t="shared" si="7"/>
        <v>0</v>
      </c>
      <c r="K63" s="122">
        <f t="shared" si="8"/>
        <v>0</v>
      </c>
      <c r="L63" s="121">
        <f t="shared" si="27"/>
        <v>0</v>
      </c>
      <c r="M63" s="121">
        <f t="shared" si="31"/>
        <v>0</v>
      </c>
      <c r="N63" s="61">
        <v>0</v>
      </c>
      <c r="O63" s="41">
        <f t="shared" si="9"/>
        <v>0</v>
      </c>
      <c r="P63" s="41">
        <f t="shared" si="10"/>
        <v>0</v>
      </c>
      <c r="Q63" s="129">
        <f t="shared" si="11"/>
        <v>0</v>
      </c>
      <c r="R63" s="41">
        <f t="shared" si="28"/>
        <v>0</v>
      </c>
      <c r="S63" s="50"/>
      <c r="T63" s="50"/>
      <c r="U63" s="43">
        <f t="shared" si="12"/>
        <v>0</v>
      </c>
      <c r="V63" s="43">
        <f t="shared" si="13"/>
        <v>0</v>
      </c>
      <c r="W63" s="43">
        <f t="shared" si="14"/>
        <v>0</v>
      </c>
      <c r="X63" s="136">
        <f t="shared" si="15"/>
        <v>0</v>
      </c>
      <c r="Y63" s="50"/>
      <c r="Z63" s="45">
        <f t="shared" si="16"/>
        <v>0</v>
      </c>
      <c r="AA63" s="45">
        <f t="shared" si="17"/>
        <v>0</v>
      </c>
      <c r="AB63" s="46">
        <f t="shared" si="18"/>
        <v>0</v>
      </c>
      <c r="AC63" s="46">
        <f t="shared" si="2"/>
        <v>0</v>
      </c>
      <c r="AD63" s="51"/>
      <c r="AE63" s="51"/>
      <c r="AF63" s="29">
        <v>2.95</v>
      </c>
      <c r="AG63" s="31">
        <f t="shared" si="23"/>
        <v>63.13</v>
      </c>
      <c r="AH63" s="31"/>
      <c r="AI63" s="31">
        <f t="shared" si="3"/>
        <v>0</v>
      </c>
      <c r="AJ63" s="31">
        <f t="shared" si="19"/>
        <v>0</v>
      </c>
      <c r="AK63" s="31">
        <f t="shared" si="4"/>
        <v>63.13</v>
      </c>
      <c r="AL63" s="33">
        <f t="shared" si="5"/>
        <v>0</v>
      </c>
      <c r="AM63" s="16">
        <f t="shared" si="20"/>
        <v>0</v>
      </c>
      <c r="AN63" s="16">
        <f t="shared" si="21"/>
        <v>0</v>
      </c>
    </row>
    <row r="64" spans="1:40" x14ac:dyDescent="0.2">
      <c r="A64" s="74">
        <v>516</v>
      </c>
      <c r="B64" s="131" t="s">
        <v>84</v>
      </c>
      <c r="C64" s="131" t="s">
        <v>111</v>
      </c>
      <c r="D64" s="28"/>
      <c r="E64" s="65">
        <v>36.1</v>
      </c>
      <c r="F64" s="51">
        <v>30760</v>
      </c>
      <c r="G64" s="51">
        <v>30951</v>
      </c>
      <c r="H64" s="120">
        <f t="shared" si="6"/>
        <v>191</v>
      </c>
      <c r="I64" s="121">
        <f>ROUND((H64*$B$2),2)</f>
        <v>99.96</v>
      </c>
      <c r="J64" s="121">
        <f t="shared" si="7"/>
        <v>19.989999999999998</v>
      </c>
      <c r="K64" s="122">
        <f t="shared" si="8"/>
        <v>119.94999999999999</v>
      </c>
      <c r="L64" s="121">
        <f t="shared" si="27"/>
        <v>191</v>
      </c>
      <c r="M64" s="121">
        <f t="shared" si="31"/>
        <v>17.989999999999998</v>
      </c>
      <c r="N64" s="49">
        <v>605</v>
      </c>
      <c r="O64" s="41">
        <f t="shared" si="9"/>
        <v>101.93</v>
      </c>
      <c r="P64" s="41">
        <f t="shared" si="10"/>
        <v>20.39</v>
      </c>
      <c r="Q64" s="129">
        <f t="shared" si="11"/>
        <v>122.32000000000001</v>
      </c>
      <c r="R64" s="41">
        <f t="shared" si="28"/>
        <v>6.12</v>
      </c>
      <c r="S64" s="50"/>
      <c r="T64" s="50"/>
      <c r="U64" s="43">
        <f t="shared" si="12"/>
        <v>0</v>
      </c>
      <c r="V64" s="43">
        <f t="shared" si="13"/>
        <v>0</v>
      </c>
      <c r="W64" s="43">
        <f t="shared" si="14"/>
        <v>0</v>
      </c>
      <c r="X64" s="136">
        <f t="shared" si="15"/>
        <v>0</v>
      </c>
      <c r="Y64" s="50"/>
      <c r="Z64" s="45">
        <f t="shared" si="16"/>
        <v>0</v>
      </c>
      <c r="AA64" s="45">
        <f t="shared" si="17"/>
        <v>0</v>
      </c>
      <c r="AB64" s="46">
        <f t="shared" si="18"/>
        <v>0</v>
      </c>
      <c r="AC64" s="46">
        <f t="shared" si="2"/>
        <v>0</v>
      </c>
      <c r="AD64" s="51"/>
      <c r="AE64" s="51"/>
      <c r="AF64" s="29">
        <v>2.95</v>
      </c>
      <c r="AG64" s="31">
        <f t="shared" si="23"/>
        <v>106.5</v>
      </c>
      <c r="AH64" s="31"/>
      <c r="AI64" s="31">
        <f t="shared" si="3"/>
        <v>201.89</v>
      </c>
      <c r="AJ64" s="31">
        <f t="shared" si="19"/>
        <v>40.380000000000003</v>
      </c>
      <c r="AK64" s="31">
        <f t="shared" si="4"/>
        <v>372.88</v>
      </c>
      <c r="AL64" s="33">
        <f t="shared" si="5"/>
        <v>24.11</v>
      </c>
      <c r="AM64" s="16">
        <f t="shared" si="20"/>
        <v>99.961760000000012</v>
      </c>
      <c r="AN64" s="16">
        <f t="shared" si="21"/>
        <v>-1.7600000000186355E-3</v>
      </c>
    </row>
    <row r="65" spans="1:43" x14ac:dyDescent="0.2">
      <c r="A65" s="60">
        <v>601</v>
      </c>
      <c r="B65" s="131" t="s">
        <v>81</v>
      </c>
      <c r="C65" s="131" t="s">
        <v>113</v>
      </c>
      <c r="D65" s="28"/>
      <c r="E65" s="65">
        <v>26.7</v>
      </c>
      <c r="F65" s="48">
        <v>15787</v>
      </c>
      <c r="G65" s="48">
        <v>15842</v>
      </c>
      <c r="H65" s="120">
        <f t="shared" si="6"/>
        <v>55</v>
      </c>
      <c r="I65" s="121">
        <f t="shared" si="0"/>
        <v>28.78</v>
      </c>
      <c r="J65" s="121">
        <f t="shared" si="7"/>
        <v>5.76</v>
      </c>
      <c r="K65" s="122">
        <f t="shared" si="8"/>
        <v>34.54</v>
      </c>
      <c r="L65" s="121">
        <f t="shared" si="27"/>
        <v>55</v>
      </c>
      <c r="M65" s="121">
        <f t="shared" si="31"/>
        <v>5.18</v>
      </c>
      <c r="N65" s="49"/>
      <c r="O65" s="41">
        <f t="shared" si="9"/>
        <v>0</v>
      </c>
      <c r="P65" s="41">
        <f t="shared" si="10"/>
        <v>0</v>
      </c>
      <c r="Q65" s="129">
        <f t="shared" si="11"/>
        <v>0</v>
      </c>
      <c r="R65" s="41">
        <f t="shared" si="28"/>
        <v>0</v>
      </c>
      <c r="S65" s="50"/>
      <c r="T65" s="50"/>
      <c r="U65" s="43">
        <f t="shared" si="12"/>
        <v>0</v>
      </c>
      <c r="V65" s="43">
        <f t="shared" si="13"/>
        <v>0</v>
      </c>
      <c r="W65" s="43">
        <f t="shared" si="14"/>
        <v>0</v>
      </c>
      <c r="X65" s="136">
        <f t="shared" si="15"/>
        <v>0</v>
      </c>
      <c r="Y65" s="50"/>
      <c r="Z65" s="45">
        <f t="shared" si="16"/>
        <v>0</v>
      </c>
      <c r="AA65" s="45">
        <f t="shared" si="17"/>
        <v>0</v>
      </c>
      <c r="AB65" s="46">
        <f t="shared" si="18"/>
        <v>0</v>
      </c>
      <c r="AC65" s="46">
        <f t="shared" si="2"/>
        <v>0</v>
      </c>
      <c r="AD65" s="51"/>
      <c r="AE65" s="51"/>
      <c r="AF65" s="29">
        <v>2.95</v>
      </c>
      <c r="AG65" s="31">
        <f t="shared" si="23"/>
        <v>78.77</v>
      </c>
      <c r="AH65" s="31"/>
      <c r="AI65" s="31">
        <f t="shared" si="3"/>
        <v>28.78</v>
      </c>
      <c r="AJ65" s="31">
        <f t="shared" si="19"/>
        <v>5.76</v>
      </c>
      <c r="AK65" s="31">
        <f t="shared" si="4"/>
        <v>118.49</v>
      </c>
      <c r="AL65" s="33">
        <f t="shared" si="5"/>
        <v>5.18</v>
      </c>
      <c r="AM65" s="16">
        <f t="shared" si="20"/>
        <v>28.784800000000004</v>
      </c>
      <c r="AN65" s="16">
        <f t="shared" si="21"/>
        <v>-4.8000000000030241E-3</v>
      </c>
    </row>
    <row r="66" spans="1:43" x14ac:dyDescent="0.2">
      <c r="A66" s="60">
        <v>602</v>
      </c>
      <c r="B66" s="131" t="s">
        <v>197</v>
      </c>
      <c r="C66" s="131" t="s">
        <v>157</v>
      </c>
      <c r="D66" s="28"/>
      <c r="E66" s="65">
        <v>23.8</v>
      </c>
      <c r="F66" s="51">
        <v>34587</v>
      </c>
      <c r="G66" s="51">
        <v>34708</v>
      </c>
      <c r="H66" s="120">
        <f t="shared" si="6"/>
        <v>121</v>
      </c>
      <c r="I66" s="121">
        <f t="shared" si="0"/>
        <v>63.33</v>
      </c>
      <c r="J66" s="121">
        <f t="shared" si="7"/>
        <v>12.67</v>
      </c>
      <c r="K66" s="122">
        <f t="shared" si="8"/>
        <v>76</v>
      </c>
      <c r="L66" s="121">
        <f t="shared" si="27"/>
        <v>121</v>
      </c>
      <c r="M66" s="121">
        <f t="shared" si="31"/>
        <v>11.4</v>
      </c>
      <c r="N66" s="49">
        <v>221</v>
      </c>
      <c r="O66" s="41">
        <f t="shared" si="9"/>
        <v>37.229999999999997</v>
      </c>
      <c r="P66" s="41">
        <f t="shared" si="10"/>
        <v>7.45</v>
      </c>
      <c r="Q66" s="129">
        <f t="shared" si="11"/>
        <v>44.68</v>
      </c>
      <c r="R66" s="41">
        <f t="shared" si="28"/>
        <v>2.23</v>
      </c>
      <c r="S66" s="50"/>
      <c r="T66" s="50"/>
      <c r="U66" s="43">
        <f t="shared" si="12"/>
        <v>0</v>
      </c>
      <c r="V66" s="43">
        <f t="shared" si="13"/>
        <v>0</v>
      </c>
      <c r="W66" s="43">
        <f t="shared" si="14"/>
        <v>0</v>
      </c>
      <c r="X66" s="136">
        <f t="shared" si="15"/>
        <v>0</v>
      </c>
      <c r="Y66" s="50"/>
      <c r="Z66" s="45">
        <f t="shared" si="16"/>
        <v>0</v>
      </c>
      <c r="AA66" s="45">
        <f t="shared" si="17"/>
        <v>0</v>
      </c>
      <c r="AB66" s="46">
        <f t="shared" si="18"/>
        <v>0</v>
      </c>
      <c r="AC66" s="46">
        <f t="shared" si="2"/>
        <v>0</v>
      </c>
      <c r="AD66" s="51"/>
      <c r="AE66" s="51"/>
      <c r="AF66" s="29">
        <v>2.95</v>
      </c>
      <c r="AG66" s="31">
        <f t="shared" si="23"/>
        <v>70.209999999999994</v>
      </c>
      <c r="AH66" s="31"/>
      <c r="AI66" s="31">
        <f t="shared" si="3"/>
        <v>100.56</v>
      </c>
      <c r="AJ66" s="31">
        <f t="shared" si="19"/>
        <v>20.11</v>
      </c>
      <c r="AK66" s="31">
        <f t="shared" si="4"/>
        <v>204.51999999999998</v>
      </c>
      <c r="AL66" s="33">
        <f t="shared" si="5"/>
        <v>13.63</v>
      </c>
      <c r="AM66" s="16">
        <f t="shared" si="20"/>
        <v>63.326560000000008</v>
      </c>
      <c r="AN66" s="16">
        <f t="shared" si="21"/>
        <v>3.4399999999905617E-3</v>
      </c>
    </row>
    <row r="67" spans="1:43" x14ac:dyDescent="0.2">
      <c r="A67" s="62">
        <v>603</v>
      </c>
      <c r="B67" s="131" t="s">
        <v>65</v>
      </c>
      <c r="C67" s="131" t="s">
        <v>114</v>
      </c>
      <c r="D67" s="28"/>
      <c r="E67" s="65">
        <v>9.9</v>
      </c>
      <c r="F67" s="51">
        <v>11018</v>
      </c>
      <c r="G67" s="51">
        <v>11018</v>
      </c>
      <c r="H67" s="120">
        <f t="shared" si="6"/>
        <v>0</v>
      </c>
      <c r="I67" s="121">
        <f t="shared" si="0"/>
        <v>0</v>
      </c>
      <c r="J67" s="121">
        <f t="shared" si="7"/>
        <v>0</v>
      </c>
      <c r="K67" s="122">
        <f t="shared" si="8"/>
        <v>0</v>
      </c>
      <c r="L67" s="121">
        <f t="shared" si="27"/>
        <v>0</v>
      </c>
      <c r="M67" s="121">
        <f t="shared" si="31"/>
        <v>0</v>
      </c>
      <c r="N67" s="49">
        <v>92</v>
      </c>
      <c r="O67" s="41">
        <f t="shared" si="9"/>
        <v>15.5</v>
      </c>
      <c r="P67" s="41">
        <f t="shared" si="10"/>
        <v>3.1</v>
      </c>
      <c r="Q67" s="129">
        <f t="shared" si="11"/>
        <v>18.600000000000001</v>
      </c>
      <c r="R67" s="41">
        <f t="shared" si="28"/>
        <v>0.93</v>
      </c>
      <c r="S67" s="50"/>
      <c r="T67" s="50"/>
      <c r="U67" s="43">
        <f t="shared" si="12"/>
        <v>0</v>
      </c>
      <c r="V67" s="43">
        <f t="shared" si="13"/>
        <v>0</v>
      </c>
      <c r="W67" s="43">
        <f t="shared" si="14"/>
        <v>0</v>
      </c>
      <c r="X67" s="136">
        <f t="shared" si="15"/>
        <v>0</v>
      </c>
      <c r="Y67" s="50"/>
      <c r="Z67" s="45">
        <f t="shared" si="16"/>
        <v>0</v>
      </c>
      <c r="AA67" s="45">
        <f t="shared" si="17"/>
        <v>0</v>
      </c>
      <c r="AB67" s="46">
        <f t="shared" si="18"/>
        <v>0</v>
      </c>
      <c r="AC67" s="46">
        <f t="shared" si="2"/>
        <v>0</v>
      </c>
      <c r="AD67" s="51"/>
      <c r="AE67" s="51"/>
      <c r="AF67" s="29">
        <v>2.95</v>
      </c>
      <c r="AG67" s="31">
        <f t="shared" si="23"/>
        <v>29.21</v>
      </c>
      <c r="AH67" s="31"/>
      <c r="AI67" s="31">
        <f t="shared" si="3"/>
        <v>15.5</v>
      </c>
      <c r="AJ67" s="31">
        <f t="shared" si="19"/>
        <v>3.1</v>
      </c>
      <c r="AK67" s="31">
        <f t="shared" si="4"/>
        <v>48.74</v>
      </c>
      <c r="AL67" s="33">
        <f t="shared" si="5"/>
        <v>0.93</v>
      </c>
      <c r="AM67" s="16">
        <f t="shared" si="20"/>
        <v>0</v>
      </c>
      <c r="AN67" s="16">
        <f t="shared" si="21"/>
        <v>0</v>
      </c>
    </row>
    <row r="68" spans="1:43" x14ac:dyDescent="0.2">
      <c r="A68" s="60">
        <v>604</v>
      </c>
      <c r="B68" s="131" t="s">
        <v>80</v>
      </c>
      <c r="C68" s="131" t="s">
        <v>115</v>
      </c>
      <c r="D68" s="28"/>
      <c r="E68" s="65">
        <v>20.7</v>
      </c>
      <c r="F68" s="48">
        <v>10355</v>
      </c>
      <c r="G68" s="48">
        <v>10365</v>
      </c>
      <c r="H68" s="120">
        <f t="shared" si="6"/>
        <v>10</v>
      </c>
      <c r="I68" s="121">
        <f t="shared" si="0"/>
        <v>5.23</v>
      </c>
      <c r="J68" s="121">
        <f t="shared" si="7"/>
        <v>1.05</v>
      </c>
      <c r="K68" s="122">
        <f t="shared" si="8"/>
        <v>6.28</v>
      </c>
      <c r="L68" s="121">
        <f t="shared" si="27"/>
        <v>10</v>
      </c>
      <c r="M68" s="121">
        <f t="shared" ref="M68:M73" si="32">ROUND((L68*$B$3),2)</f>
        <v>0.94</v>
      </c>
      <c r="N68" s="53">
        <v>193</v>
      </c>
      <c r="O68" s="41">
        <f t="shared" si="9"/>
        <v>32.520000000000003</v>
      </c>
      <c r="P68" s="41">
        <f t="shared" si="10"/>
        <v>6.5</v>
      </c>
      <c r="Q68" s="129">
        <f t="shared" si="11"/>
        <v>39.020000000000003</v>
      </c>
      <c r="R68" s="41">
        <f t="shared" si="28"/>
        <v>1.95</v>
      </c>
      <c r="S68" s="50"/>
      <c r="T68" s="50"/>
      <c r="U68" s="43">
        <f t="shared" si="12"/>
        <v>0</v>
      </c>
      <c r="V68" s="43">
        <f t="shared" si="13"/>
        <v>0</v>
      </c>
      <c r="W68" s="43">
        <f t="shared" si="14"/>
        <v>0</v>
      </c>
      <c r="X68" s="136">
        <f t="shared" si="15"/>
        <v>0</v>
      </c>
      <c r="Y68" s="50"/>
      <c r="Z68" s="45">
        <f t="shared" si="16"/>
        <v>0</v>
      </c>
      <c r="AA68" s="45">
        <f t="shared" si="17"/>
        <v>0</v>
      </c>
      <c r="AB68" s="46">
        <f t="shared" si="18"/>
        <v>0</v>
      </c>
      <c r="AC68" s="46">
        <f t="shared" si="2"/>
        <v>0</v>
      </c>
      <c r="AD68" s="51"/>
      <c r="AE68" s="51"/>
      <c r="AF68" s="29">
        <v>2.95</v>
      </c>
      <c r="AG68" s="31">
        <f t="shared" si="23"/>
        <v>61.07</v>
      </c>
      <c r="AH68" s="31"/>
      <c r="AI68" s="31">
        <f t="shared" si="3"/>
        <v>37.75</v>
      </c>
      <c r="AJ68" s="31">
        <f t="shared" si="19"/>
        <v>7.55</v>
      </c>
      <c r="AK68" s="31">
        <f t="shared" si="4"/>
        <v>109.26000000000002</v>
      </c>
      <c r="AL68" s="33">
        <f t="shared" si="5"/>
        <v>2.8899999999999997</v>
      </c>
      <c r="AM68" s="16">
        <f t="shared" si="20"/>
        <v>5.2336000000000009</v>
      </c>
      <c r="AN68" s="16">
        <f t="shared" si="21"/>
        <v>-3.6000000000004917E-3</v>
      </c>
    </row>
    <row r="69" spans="1:43" x14ac:dyDescent="0.2">
      <c r="A69" s="60">
        <v>605</v>
      </c>
      <c r="B69" s="141" t="s">
        <v>205</v>
      </c>
      <c r="C69" s="141" t="s">
        <v>206</v>
      </c>
      <c r="D69" s="71"/>
      <c r="E69" s="65">
        <v>52.85</v>
      </c>
      <c r="F69" s="51">
        <v>23068</v>
      </c>
      <c r="G69" s="51">
        <v>23081</v>
      </c>
      <c r="H69" s="123">
        <f>G69-F69</f>
        <v>13</v>
      </c>
      <c r="I69" s="121">
        <f t="shared" si="0"/>
        <v>6.8</v>
      </c>
      <c r="J69" s="121">
        <f t="shared" si="7"/>
        <v>1.36</v>
      </c>
      <c r="K69" s="122">
        <f t="shared" si="8"/>
        <v>8.16</v>
      </c>
      <c r="L69" s="121">
        <f t="shared" si="27"/>
        <v>13</v>
      </c>
      <c r="M69" s="121">
        <f t="shared" si="32"/>
        <v>1.22</v>
      </c>
      <c r="N69" s="49">
        <v>492</v>
      </c>
      <c r="O69" s="41">
        <f t="shared" si="9"/>
        <v>82.89</v>
      </c>
      <c r="P69" s="41">
        <f t="shared" si="10"/>
        <v>16.579999999999998</v>
      </c>
      <c r="Q69" s="129">
        <f t="shared" si="11"/>
        <v>99.47</v>
      </c>
      <c r="R69" s="41">
        <f>ROUND((N69*$B$5),2)</f>
        <v>4.97</v>
      </c>
      <c r="S69" s="50"/>
      <c r="T69" s="50"/>
      <c r="U69" s="43">
        <f t="shared" si="12"/>
        <v>0</v>
      </c>
      <c r="V69" s="43">
        <f t="shared" si="13"/>
        <v>0</v>
      </c>
      <c r="W69" s="43">
        <f t="shared" si="14"/>
        <v>0</v>
      </c>
      <c r="X69" s="136">
        <f t="shared" si="15"/>
        <v>0</v>
      </c>
      <c r="Y69" s="50"/>
      <c r="Z69" s="45">
        <f t="shared" si="16"/>
        <v>0</v>
      </c>
      <c r="AA69" s="45">
        <f t="shared" si="17"/>
        <v>0</v>
      </c>
      <c r="AB69" s="46">
        <f t="shared" si="18"/>
        <v>0</v>
      </c>
      <c r="AC69" s="46">
        <f t="shared" si="2"/>
        <v>0</v>
      </c>
      <c r="AD69" s="51"/>
      <c r="AE69" s="51"/>
      <c r="AF69" s="29">
        <v>2.95</v>
      </c>
      <c r="AG69" s="32">
        <f>ROUND((AF69*E69),2)</f>
        <v>155.91</v>
      </c>
      <c r="AH69" s="31"/>
      <c r="AI69" s="31">
        <f t="shared" si="3"/>
        <v>89.69</v>
      </c>
      <c r="AJ69" s="31">
        <f t="shared" si="19"/>
        <v>17.940000000000001</v>
      </c>
      <c r="AK69" s="31">
        <f>AG69+AD69+AA69+Z69+W69+V69+R69+P69+O69+M69+J69+I69</f>
        <v>269.73</v>
      </c>
      <c r="AL69" s="33">
        <f t="shared" si="5"/>
        <v>6.1899999999999995</v>
      </c>
      <c r="AM69" s="16">
        <f t="shared" si="20"/>
        <v>6.8036800000000008</v>
      </c>
      <c r="AN69" s="16">
        <f t="shared" si="21"/>
        <v>-3.6800000000010158E-3</v>
      </c>
    </row>
    <row r="70" spans="1:43" x14ac:dyDescent="0.2">
      <c r="A70" s="60">
        <v>606</v>
      </c>
      <c r="B70" s="131" t="s">
        <v>70</v>
      </c>
      <c r="C70" s="131" t="s">
        <v>116</v>
      </c>
      <c r="D70" s="28"/>
      <c r="E70" s="65">
        <v>22.1</v>
      </c>
      <c r="F70" s="48">
        <v>9489</v>
      </c>
      <c r="G70" s="48">
        <v>9513</v>
      </c>
      <c r="H70" s="120">
        <f t="shared" si="6"/>
        <v>24</v>
      </c>
      <c r="I70" s="121">
        <f t="shared" si="0"/>
        <v>12.56</v>
      </c>
      <c r="J70" s="121">
        <f t="shared" si="7"/>
        <v>2.5099999999999998</v>
      </c>
      <c r="K70" s="122">
        <f t="shared" si="8"/>
        <v>15.07</v>
      </c>
      <c r="L70" s="121">
        <f t="shared" si="27"/>
        <v>24</v>
      </c>
      <c r="M70" s="121">
        <f t="shared" si="32"/>
        <v>2.2599999999999998</v>
      </c>
      <c r="N70" s="49">
        <v>206</v>
      </c>
      <c r="O70" s="41">
        <f t="shared" si="9"/>
        <v>34.71</v>
      </c>
      <c r="P70" s="41">
        <f t="shared" si="10"/>
        <v>6.94</v>
      </c>
      <c r="Q70" s="129">
        <f t="shared" si="11"/>
        <v>41.65</v>
      </c>
      <c r="R70" s="41">
        <f t="shared" si="28"/>
        <v>2.08</v>
      </c>
      <c r="S70" s="50">
        <v>0</v>
      </c>
      <c r="T70" s="50">
        <v>0</v>
      </c>
      <c r="U70" s="43">
        <f t="shared" si="12"/>
        <v>0</v>
      </c>
      <c r="V70" s="43">
        <f t="shared" si="13"/>
        <v>0</v>
      </c>
      <c r="W70" s="43">
        <f t="shared" si="14"/>
        <v>0</v>
      </c>
      <c r="X70" s="136">
        <f t="shared" si="15"/>
        <v>0</v>
      </c>
      <c r="Y70" s="50"/>
      <c r="Z70" s="45">
        <f t="shared" si="16"/>
        <v>0</v>
      </c>
      <c r="AA70" s="45">
        <f t="shared" si="17"/>
        <v>0</v>
      </c>
      <c r="AB70" s="46">
        <f t="shared" si="18"/>
        <v>0</v>
      </c>
      <c r="AC70" s="46">
        <f t="shared" si="2"/>
        <v>0</v>
      </c>
      <c r="AD70" s="51"/>
      <c r="AE70" s="51"/>
      <c r="AF70" s="29">
        <v>2.95</v>
      </c>
      <c r="AG70" s="31">
        <f t="shared" si="23"/>
        <v>65.2</v>
      </c>
      <c r="AH70" s="31"/>
      <c r="AI70" s="31">
        <f t="shared" si="3"/>
        <v>47.27</v>
      </c>
      <c r="AJ70" s="31">
        <f t="shared" si="19"/>
        <v>9.4499999999999993</v>
      </c>
      <c r="AK70" s="31">
        <f t="shared" si="4"/>
        <v>126.26000000000002</v>
      </c>
      <c r="AL70" s="33">
        <f t="shared" si="5"/>
        <v>4.34</v>
      </c>
      <c r="AM70" s="16">
        <f t="shared" si="20"/>
        <v>12.560640000000001</v>
      </c>
      <c r="AN70" s="16">
        <f t="shared" si="21"/>
        <v>-6.4000000000064006E-4</v>
      </c>
    </row>
    <row r="71" spans="1:43" ht="12.6" customHeight="1" x14ac:dyDescent="0.2">
      <c r="A71" s="60">
        <v>608</v>
      </c>
      <c r="B71" s="131" t="s">
        <v>67</v>
      </c>
      <c r="C71" s="131" t="s">
        <v>117</v>
      </c>
      <c r="D71" s="28"/>
      <c r="E71" s="65">
        <v>19</v>
      </c>
      <c r="F71" s="51">
        <v>22574</v>
      </c>
      <c r="G71" s="51">
        <v>22585</v>
      </c>
      <c r="H71" s="120">
        <f t="shared" si="6"/>
        <v>11</v>
      </c>
      <c r="I71" s="121">
        <f t="shared" si="0"/>
        <v>5.76</v>
      </c>
      <c r="J71" s="121">
        <f t="shared" si="7"/>
        <v>1.1499999999999999</v>
      </c>
      <c r="K71" s="122">
        <f t="shared" si="8"/>
        <v>6.91</v>
      </c>
      <c r="L71" s="121">
        <f t="shared" si="27"/>
        <v>11</v>
      </c>
      <c r="M71" s="121">
        <f t="shared" si="32"/>
        <v>1.04</v>
      </c>
      <c r="N71" s="53">
        <v>177</v>
      </c>
      <c r="O71" s="41">
        <f t="shared" si="9"/>
        <v>29.82</v>
      </c>
      <c r="P71" s="41">
        <f t="shared" si="10"/>
        <v>5.96</v>
      </c>
      <c r="Q71" s="129">
        <f t="shared" si="11"/>
        <v>35.78</v>
      </c>
      <c r="R71" s="41">
        <f t="shared" si="28"/>
        <v>1.79</v>
      </c>
      <c r="S71" s="50">
        <v>10</v>
      </c>
      <c r="T71" s="50">
        <v>10</v>
      </c>
      <c r="U71" s="43">
        <f t="shared" si="12"/>
        <v>0</v>
      </c>
      <c r="V71" s="43">
        <f>ROUND((U71*$B$6),2)</f>
        <v>0</v>
      </c>
      <c r="W71" s="43">
        <f t="shared" si="14"/>
        <v>0</v>
      </c>
      <c r="X71" s="136">
        <f t="shared" si="15"/>
        <v>0</v>
      </c>
      <c r="Y71" s="56">
        <v>0</v>
      </c>
      <c r="Z71" s="45">
        <f>ROUND((Y71*$B$7),2)</f>
        <v>0</v>
      </c>
      <c r="AA71" s="45">
        <f t="shared" si="17"/>
        <v>0</v>
      </c>
      <c r="AB71" s="46">
        <f t="shared" si="18"/>
        <v>0</v>
      </c>
      <c r="AC71" s="46">
        <f t="shared" si="2"/>
        <v>0</v>
      </c>
      <c r="AD71" s="57"/>
      <c r="AE71" s="57"/>
      <c r="AF71" s="29">
        <v>2.95</v>
      </c>
      <c r="AG71" s="31">
        <f t="shared" si="23"/>
        <v>56.05</v>
      </c>
      <c r="AH71" s="31"/>
      <c r="AI71" s="31">
        <f>ROUND((I71+O71+V71+Z71),2)</f>
        <v>35.58</v>
      </c>
      <c r="AJ71" s="31">
        <f>ROUND((AI71*0.2),2)</f>
        <v>7.12</v>
      </c>
      <c r="AK71" s="31">
        <f t="shared" si="4"/>
        <v>101.57000000000002</v>
      </c>
      <c r="AL71" s="33">
        <f t="shared" si="5"/>
        <v>2.83</v>
      </c>
      <c r="AM71" s="16">
        <f t="shared" si="20"/>
        <v>5.7569600000000003</v>
      </c>
      <c r="AN71" s="16">
        <f t="shared" si="21"/>
        <v>3.0399999999994876E-3</v>
      </c>
    </row>
    <row r="72" spans="1:43" x14ac:dyDescent="0.2">
      <c r="A72" s="60">
        <v>610</v>
      </c>
      <c r="B72" s="131" t="s">
        <v>63</v>
      </c>
      <c r="C72" s="131" t="s">
        <v>118</v>
      </c>
      <c r="D72" s="28"/>
      <c r="E72" s="64">
        <v>25.3</v>
      </c>
      <c r="F72" s="51">
        <v>22292</v>
      </c>
      <c r="G72" s="51">
        <v>22332</v>
      </c>
      <c r="H72" s="120">
        <f t="shared" si="6"/>
        <v>40</v>
      </c>
      <c r="I72" s="121">
        <f t="shared" si="0"/>
        <v>20.93</v>
      </c>
      <c r="J72" s="121">
        <f t="shared" si="7"/>
        <v>4.1900000000000004</v>
      </c>
      <c r="K72" s="122">
        <f t="shared" si="8"/>
        <v>25.12</v>
      </c>
      <c r="L72" s="121">
        <f t="shared" si="27"/>
        <v>40</v>
      </c>
      <c r="M72" s="121">
        <f t="shared" si="32"/>
        <v>3.77</v>
      </c>
      <c r="N72" s="49">
        <v>235</v>
      </c>
      <c r="O72" s="41">
        <f t="shared" si="9"/>
        <v>39.590000000000003</v>
      </c>
      <c r="P72" s="41">
        <f t="shared" si="10"/>
        <v>7.92</v>
      </c>
      <c r="Q72" s="129">
        <f t="shared" si="11"/>
        <v>47.510000000000005</v>
      </c>
      <c r="R72" s="41">
        <f t="shared" si="28"/>
        <v>2.38</v>
      </c>
      <c r="S72" s="50"/>
      <c r="T72" s="50"/>
      <c r="U72" s="43">
        <f t="shared" si="12"/>
        <v>0</v>
      </c>
      <c r="V72" s="43">
        <f t="shared" si="13"/>
        <v>0</v>
      </c>
      <c r="W72" s="43">
        <f t="shared" si="14"/>
        <v>0</v>
      </c>
      <c r="X72" s="136">
        <f t="shared" si="15"/>
        <v>0</v>
      </c>
      <c r="Y72" s="50"/>
      <c r="Z72" s="45">
        <f t="shared" si="16"/>
        <v>0</v>
      </c>
      <c r="AA72" s="45">
        <f t="shared" si="17"/>
        <v>0</v>
      </c>
      <c r="AB72" s="46">
        <f t="shared" si="18"/>
        <v>0</v>
      </c>
      <c r="AC72" s="46">
        <f t="shared" si="2"/>
        <v>0</v>
      </c>
      <c r="AD72" s="51"/>
      <c r="AE72" s="51"/>
      <c r="AF72" s="29">
        <v>2.95</v>
      </c>
      <c r="AG72" s="31">
        <f t="shared" si="23"/>
        <v>74.64</v>
      </c>
      <c r="AH72" s="31"/>
      <c r="AI72" s="31">
        <f t="shared" si="3"/>
        <v>60.52</v>
      </c>
      <c r="AJ72" s="31">
        <f t="shared" si="19"/>
        <v>12.1</v>
      </c>
      <c r="AK72" s="31">
        <f t="shared" si="4"/>
        <v>153.42000000000002</v>
      </c>
      <c r="AL72" s="33">
        <f t="shared" si="5"/>
        <v>6.15</v>
      </c>
      <c r="AM72" s="16">
        <f t="shared" si="20"/>
        <v>20.934400000000004</v>
      </c>
      <c r="AN72" s="16">
        <f t="shared" si="21"/>
        <v>-4.4000000000039563E-3</v>
      </c>
    </row>
    <row r="73" spans="1:43" x14ac:dyDescent="0.2">
      <c r="A73" s="60">
        <v>611</v>
      </c>
      <c r="B73" s="131" t="s">
        <v>85</v>
      </c>
      <c r="C73" s="131" t="s">
        <v>119</v>
      </c>
      <c r="D73" s="28"/>
      <c r="E73" s="64">
        <v>81.2</v>
      </c>
      <c r="F73" s="51">
        <v>76359</v>
      </c>
      <c r="G73" s="51">
        <v>76647</v>
      </c>
      <c r="H73" s="120">
        <f t="shared" si="6"/>
        <v>288</v>
      </c>
      <c r="I73" s="121">
        <f t="shared" si="0"/>
        <v>150.72999999999999</v>
      </c>
      <c r="J73" s="121">
        <f t="shared" si="7"/>
        <v>30.15</v>
      </c>
      <c r="K73" s="122">
        <f t="shared" si="8"/>
        <v>180.88</v>
      </c>
      <c r="L73" s="121">
        <f t="shared" si="27"/>
        <v>288</v>
      </c>
      <c r="M73" s="121">
        <f t="shared" si="32"/>
        <v>27.13</v>
      </c>
      <c r="N73" s="49">
        <v>755</v>
      </c>
      <c r="O73" s="41">
        <f t="shared" si="9"/>
        <v>127.2</v>
      </c>
      <c r="P73" s="41">
        <f t="shared" si="10"/>
        <v>25.44</v>
      </c>
      <c r="Q73" s="129">
        <f t="shared" si="11"/>
        <v>152.64000000000001</v>
      </c>
      <c r="R73" s="41">
        <f t="shared" si="28"/>
        <v>7.63</v>
      </c>
      <c r="S73" s="50">
        <v>401</v>
      </c>
      <c r="T73" s="50">
        <v>405</v>
      </c>
      <c r="U73" s="43">
        <f t="shared" si="12"/>
        <v>4</v>
      </c>
      <c r="V73" s="43">
        <f t="shared" si="13"/>
        <v>18.95</v>
      </c>
      <c r="W73" s="43">
        <f t="shared" si="14"/>
        <v>3.79</v>
      </c>
      <c r="X73" s="136">
        <f t="shared" si="15"/>
        <v>22.74</v>
      </c>
      <c r="Y73" s="56">
        <v>0.48</v>
      </c>
      <c r="Z73" s="45">
        <f t="shared" si="16"/>
        <v>1.34</v>
      </c>
      <c r="AA73" s="45">
        <f t="shared" si="17"/>
        <v>0.27</v>
      </c>
      <c r="AB73" s="46">
        <f t="shared" si="18"/>
        <v>1.61</v>
      </c>
      <c r="AC73" s="46">
        <f t="shared" si="2"/>
        <v>24.349999999999998</v>
      </c>
      <c r="AD73" s="57"/>
      <c r="AE73" s="57"/>
      <c r="AF73" s="29">
        <v>2.95</v>
      </c>
      <c r="AG73" s="31">
        <f t="shared" si="23"/>
        <v>239.54</v>
      </c>
      <c r="AH73" s="31"/>
      <c r="AI73" s="31">
        <f t="shared" si="3"/>
        <v>298.22000000000003</v>
      </c>
      <c r="AJ73" s="31">
        <f t="shared" si="19"/>
        <v>59.64</v>
      </c>
      <c r="AK73" s="31">
        <f t="shared" si="4"/>
        <v>632.16999999999996</v>
      </c>
      <c r="AL73" s="33">
        <f t="shared" si="5"/>
        <v>34.76</v>
      </c>
      <c r="AM73" s="16">
        <f t="shared" si="20"/>
        <v>150.72768000000002</v>
      </c>
      <c r="AN73" s="16">
        <f t="shared" si="21"/>
        <v>2.3199999999690135E-3</v>
      </c>
    </row>
    <row r="74" spans="1:43" x14ac:dyDescent="0.2">
      <c r="A74" s="60" t="s">
        <v>209</v>
      </c>
      <c r="B74" s="141" t="s">
        <v>207</v>
      </c>
      <c r="C74" s="141" t="s">
        <v>208</v>
      </c>
      <c r="D74" s="71"/>
      <c r="E74" s="65">
        <v>17.75</v>
      </c>
      <c r="F74" s="153">
        <v>35915</v>
      </c>
      <c r="G74" s="153">
        <v>35915</v>
      </c>
      <c r="H74" s="151">
        <v>0</v>
      </c>
      <c r="I74" s="121">
        <f t="shared" si="0"/>
        <v>0</v>
      </c>
      <c r="J74" s="121">
        <f t="shared" si="7"/>
        <v>0</v>
      </c>
      <c r="K74" s="122">
        <f t="shared" si="8"/>
        <v>0</v>
      </c>
      <c r="L74" s="121">
        <f t="shared" si="27"/>
        <v>0</v>
      </c>
      <c r="M74" s="121">
        <f t="shared" ref="M74:M85" si="33">ROUND((L74*$B$3),2)</f>
        <v>0</v>
      </c>
      <c r="N74" s="49">
        <v>165</v>
      </c>
      <c r="O74" s="41">
        <f t="shared" si="9"/>
        <v>27.8</v>
      </c>
      <c r="P74" s="41">
        <f t="shared" si="10"/>
        <v>5.56</v>
      </c>
      <c r="Q74" s="129">
        <f t="shared" si="11"/>
        <v>33.36</v>
      </c>
      <c r="R74" s="41">
        <f t="shared" si="28"/>
        <v>1.67</v>
      </c>
      <c r="S74" s="50"/>
      <c r="T74" s="50"/>
      <c r="U74" s="43">
        <f t="shared" si="12"/>
        <v>0</v>
      </c>
      <c r="V74" s="43">
        <f t="shared" si="13"/>
        <v>0</v>
      </c>
      <c r="W74" s="43">
        <f t="shared" si="14"/>
        <v>0</v>
      </c>
      <c r="X74" s="136">
        <f t="shared" si="15"/>
        <v>0</v>
      </c>
      <c r="Y74" s="50"/>
      <c r="Z74" s="45">
        <f t="shared" si="16"/>
        <v>0</v>
      </c>
      <c r="AA74" s="45">
        <f t="shared" si="17"/>
        <v>0</v>
      </c>
      <c r="AB74" s="46">
        <f t="shared" si="18"/>
        <v>0</v>
      </c>
      <c r="AC74" s="46">
        <f t="shared" si="2"/>
        <v>0</v>
      </c>
      <c r="AD74" s="51"/>
      <c r="AE74" s="51"/>
      <c r="AF74" s="29">
        <v>2.95</v>
      </c>
      <c r="AG74" s="32">
        <f t="shared" si="23"/>
        <v>52.36</v>
      </c>
      <c r="AH74" s="31"/>
      <c r="AI74" s="31">
        <f t="shared" si="3"/>
        <v>27.8</v>
      </c>
      <c r="AJ74" s="31">
        <f t="shared" si="19"/>
        <v>5.56</v>
      </c>
      <c r="AK74" s="31">
        <f>AG74+AD74+AA74+Z74+W74+V74+R74+P74+O74+M74+J74+I74</f>
        <v>87.39</v>
      </c>
      <c r="AL74" s="33">
        <f t="shared" si="5"/>
        <v>1.67</v>
      </c>
      <c r="AM74" s="16">
        <f t="shared" si="20"/>
        <v>0</v>
      </c>
      <c r="AN74" s="16">
        <f t="shared" si="21"/>
        <v>0</v>
      </c>
    </row>
    <row r="75" spans="1:43" x14ac:dyDescent="0.2">
      <c r="A75" s="60" t="s">
        <v>209</v>
      </c>
      <c r="B75" s="141" t="s">
        <v>210</v>
      </c>
      <c r="C75" s="141" t="s">
        <v>211</v>
      </c>
      <c r="D75" s="71"/>
      <c r="E75" s="65">
        <v>17.75</v>
      </c>
      <c r="F75" s="153">
        <v>35915</v>
      </c>
      <c r="G75" s="153">
        <v>35915</v>
      </c>
      <c r="H75" s="151">
        <v>0</v>
      </c>
      <c r="I75" s="121">
        <f>ROUND((H75*$B$2),2)</f>
        <v>0</v>
      </c>
      <c r="J75" s="121">
        <f>ROUND((I75*0.2),2)</f>
        <v>0</v>
      </c>
      <c r="K75" s="122">
        <f>I75+J75</f>
        <v>0</v>
      </c>
      <c r="L75" s="121">
        <f>H75</f>
        <v>0</v>
      </c>
      <c r="M75" s="121">
        <f t="shared" si="33"/>
        <v>0</v>
      </c>
      <c r="N75" s="49">
        <v>165</v>
      </c>
      <c r="O75" s="41">
        <f>ROUND((N75*$B$4),2)</f>
        <v>27.8</v>
      </c>
      <c r="P75" s="41">
        <f>ROUND((O75*0.2),2)</f>
        <v>5.56</v>
      </c>
      <c r="Q75" s="129">
        <f>O75+P75</f>
        <v>33.36</v>
      </c>
      <c r="R75" s="41">
        <f>ROUND((N75*$B$5),2)</f>
        <v>1.67</v>
      </c>
      <c r="S75" s="50"/>
      <c r="T75" s="50"/>
      <c r="U75" s="43">
        <f>T75-S75</f>
        <v>0</v>
      </c>
      <c r="V75" s="43">
        <f>ROUND((U75*$B$6),2)</f>
        <v>0</v>
      </c>
      <c r="W75" s="43">
        <f>ROUND((V75*0.2),2)</f>
        <v>0</v>
      </c>
      <c r="X75" s="136">
        <f>V75+W75</f>
        <v>0</v>
      </c>
      <c r="Y75" s="50"/>
      <c r="Z75" s="45">
        <f>ROUND((Y75*$B$7),2)</f>
        <v>0</v>
      </c>
      <c r="AA75" s="45">
        <f>ROUND((Z75*0.2),2)</f>
        <v>0</v>
      </c>
      <c r="AB75" s="46">
        <f>Z75+AA75</f>
        <v>0</v>
      </c>
      <c r="AC75" s="46">
        <f>V75+W75+Z75+AA75</f>
        <v>0</v>
      </c>
      <c r="AD75" s="51"/>
      <c r="AE75" s="51"/>
      <c r="AF75" s="29">
        <v>2.95</v>
      </c>
      <c r="AG75" s="32">
        <f t="shared" si="23"/>
        <v>52.36</v>
      </c>
      <c r="AH75" s="31"/>
      <c r="AI75" s="31">
        <f>ROUND((I75+O75+V75+Z75),2)</f>
        <v>27.8</v>
      </c>
      <c r="AJ75" s="31">
        <f>ROUND((AI75*0.2),2)</f>
        <v>5.56</v>
      </c>
      <c r="AK75" s="31">
        <f>AG75+AD75+AA75+Z75+W75+V75+R75+P75+O75+M75+J75+I75</f>
        <v>87.39</v>
      </c>
      <c r="AL75" s="33">
        <f>M75+R75+AD75</f>
        <v>1.67</v>
      </c>
      <c r="AM75" s="16">
        <f>H75*$B$2</f>
        <v>0</v>
      </c>
      <c r="AN75" s="16">
        <f>I75-AM75</f>
        <v>0</v>
      </c>
    </row>
    <row r="76" spans="1:43" x14ac:dyDescent="0.2">
      <c r="A76" s="60">
        <v>613</v>
      </c>
      <c r="B76" s="131" t="s">
        <v>85</v>
      </c>
      <c r="C76" s="131" t="s">
        <v>162</v>
      </c>
      <c r="D76" s="71"/>
      <c r="E76" s="65">
        <v>7.6</v>
      </c>
      <c r="F76" s="48">
        <v>15332</v>
      </c>
      <c r="G76" s="48">
        <v>15332</v>
      </c>
      <c r="H76" s="120">
        <f t="shared" si="6"/>
        <v>0</v>
      </c>
      <c r="I76" s="121">
        <f t="shared" si="0"/>
        <v>0</v>
      </c>
      <c r="J76" s="121">
        <f t="shared" si="7"/>
        <v>0</v>
      </c>
      <c r="K76" s="122">
        <f t="shared" si="8"/>
        <v>0</v>
      </c>
      <c r="L76" s="121">
        <f t="shared" si="27"/>
        <v>0</v>
      </c>
      <c r="M76" s="121">
        <f t="shared" si="33"/>
        <v>0</v>
      </c>
      <c r="N76" s="53">
        <v>71</v>
      </c>
      <c r="O76" s="41">
        <f t="shared" si="9"/>
        <v>11.96</v>
      </c>
      <c r="P76" s="41">
        <f t="shared" si="10"/>
        <v>2.39</v>
      </c>
      <c r="Q76" s="129">
        <f t="shared" si="11"/>
        <v>14.350000000000001</v>
      </c>
      <c r="R76" s="41">
        <f t="shared" si="28"/>
        <v>0.72</v>
      </c>
      <c r="S76" s="50"/>
      <c r="T76" s="50"/>
      <c r="U76" s="43">
        <f t="shared" si="12"/>
        <v>0</v>
      </c>
      <c r="V76" s="43">
        <f t="shared" si="13"/>
        <v>0</v>
      </c>
      <c r="W76" s="43">
        <f t="shared" si="14"/>
        <v>0</v>
      </c>
      <c r="X76" s="136">
        <f t="shared" si="15"/>
        <v>0</v>
      </c>
      <c r="Y76" s="50"/>
      <c r="Z76" s="45">
        <f t="shared" si="16"/>
        <v>0</v>
      </c>
      <c r="AA76" s="45">
        <f t="shared" si="17"/>
        <v>0</v>
      </c>
      <c r="AB76" s="46">
        <f t="shared" si="18"/>
        <v>0</v>
      </c>
      <c r="AC76" s="46">
        <f t="shared" si="2"/>
        <v>0</v>
      </c>
      <c r="AD76" s="51"/>
      <c r="AE76" s="51"/>
      <c r="AF76" s="29">
        <v>2.95</v>
      </c>
      <c r="AG76" s="32">
        <f>ROUND((AF76*E76),2)</f>
        <v>22.42</v>
      </c>
      <c r="AH76" s="31"/>
      <c r="AI76" s="31">
        <f t="shared" si="3"/>
        <v>11.96</v>
      </c>
      <c r="AJ76" s="31">
        <f t="shared" si="19"/>
        <v>2.39</v>
      </c>
      <c r="AK76" s="31">
        <f t="shared" si="4"/>
        <v>37.49</v>
      </c>
      <c r="AL76" s="33">
        <f t="shared" si="5"/>
        <v>0.72</v>
      </c>
      <c r="AM76" s="16">
        <f>H76*$B$2</f>
        <v>0</v>
      </c>
      <c r="AN76" s="16">
        <f>I76-AM76</f>
        <v>0</v>
      </c>
    </row>
    <row r="77" spans="1:43" x14ac:dyDescent="0.2">
      <c r="A77" s="60">
        <v>614</v>
      </c>
      <c r="B77" s="131" t="s">
        <v>179</v>
      </c>
      <c r="C77" s="141" t="s">
        <v>200</v>
      </c>
      <c r="D77" s="71"/>
      <c r="E77" s="65">
        <v>20.3</v>
      </c>
      <c r="F77" s="48">
        <v>21605</v>
      </c>
      <c r="G77" s="48">
        <v>21630</v>
      </c>
      <c r="H77" s="123">
        <f>G77-F77</f>
        <v>25</v>
      </c>
      <c r="I77" s="121">
        <f t="shared" si="0"/>
        <v>13.08</v>
      </c>
      <c r="J77" s="121">
        <f t="shared" si="7"/>
        <v>2.62</v>
      </c>
      <c r="K77" s="122">
        <f t="shared" si="8"/>
        <v>15.7</v>
      </c>
      <c r="L77" s="121">
        <f t="shared" si="27"/>
        <v>25</v>
      </c>
      <c r="M77" s="121">
        <f t="shared" si="33"/>
        <v>2.36</v>
      </c>
      <c r="N77" s="49">
        <v>189</v>
      </c>
      <c r="O77" s="41">
        <f t="shared" si="9"/>
        <v>31.84</v>
      </c>
      <c r="P77" s="41">
        <f t="shared" si="10"/>
        <v>6.37</v>
      </c>
      <c r="Q77" s="129">
        <f t="shared" si="11"/>
        <v>38.21</v>
      </c>
      <c r="R77" s="41">
        <f t="shared" si="28"/>
        <v>1.91</v>
      </c>
      <c r="S77" s="50"/>
      <c r="T77" s="50"/>
      <c r="U77" s="43">
        <f t="shared" si="12"/>
        <v>0</v>
      </c>
      <c r="V77" s="43">
        <f t="shared" si="13"/>
        <v>0</v>
      </c>
      <c r="W77" s="43">
        <f t="shared" si="14"/>
        <v>0</v>
      </c>
      <c r="X77" s="136">
        <f t="shared" si="15"/>
        <v>0</v>
      </c>
      <c r="Y77" s="50"/>
      <c r="Z77" s="45">
        <f t="shared" si="16"/>
        <v>0</v>
      </c>
      <c r="AA77" s="45">
        <f t="shared" si="17"/>
        <v>0</v>
      </c>
      <c r="AB77" s="46">
        <f t="shared" si="18"/>
        <v>0</v>
      </c>
      <c r="AC77" s="46">
        <f t="shared" si="2"/>
        <v>0</v>
      </c>
      <c r="AD77" s="51"/>
      <c r="AE77" s="51"/>
      <c r="AF77" s="29">
        <v>2.95</v>
      </c>
      <c r="AG77" s="32">
        <f>ROUND((AF77*E77),2)</f>
        <v>59.89</v>
      </c>
      <c r="AH77" s="31"/>
      <c r="AI77" s="31">
        <f t="shared" si="3"/>
        <v>44.92</v>
      </c>
      <c r="AJ77" s="31">
        <f t="shared" si="19"/>
        <v>8.98</v>
      </c>
      <c r="AK77" s="31">
        <f t="shared" si="4"/>
        <v>118.07000000000001</v>
      </c>
      <c r="AL77" s="33">
        <f t="shared" si="5"/>
        <v>4.2699999999999996</v>
      </c>
      <c r="AM77" s="16">
        <f t="shared" si="20"/>
        <v>13.084000000000001</v>
      </c>
      <c r="AN77" s="16">
        <f t="shared" si="21"/>
        <v>-4.0000000000013358E-3</v>
      </c>
    </row>
    <row r="78" spans="1:43" x14ac:dyDescent="0.2">
      <c r="A78" s="60">
        <v>615</v>
      </c>
      <c r="B78" s="131" t="s">
        <v>71</v>
      </c>
      <c r="C78" s="131" t="s">
        <v>120</v>
      </c>
      <c r="D78" s="75" t="s">
        <v>241</v>
      </c>
      <c r="E78" s="65">
        <v>7.6</v>
      </c>
      <c r="F78" s="48">
        <v>2777</v>
      </c>
      <c r="G78" s="167">
        <v>2785</v>
      </c>
      <c r="H78" s="123">
        <f>G78-F78</f>
        <v>8</v>
      </c>
      <c r="I78" s="121">
        <f t="shared" si="0"/>
        <v>4.1900000000000004</v>
      </c>
      <c r="J78" s="121">
        <f t="shared" si="7"/>
        <v>0.84</v>
      </c>
      <c r="K78" s="122">
        <f t="shared" si="8"/>
        <v>5.03</v>
      </c>
      <c r="L78" s="121">
        <f t="shared" si="27"/>
        <v>8</v>
      </c>
      <c r="M78" s="121">
        <f t="shared" si="33"/>
        <v>0.75</v>
      </c>
      <c r="N78" s="49">
        <v>56</v>
      </c>
      <c r="O78" s="41">
        <f t="shared" si="9"/>
        <v>9.43</v>
      </c>
      <c r="P78" s="41">
        <f t="shared" si="10"/>
        <v>1.89</v>
      </c>
      <c r="Q78" s="129">
        <f t="shared" si="11"/>
        <v>11.32</v>
      </c>
      <c r="R78" s="41">
        <f t="shared" si="28"/>
        <v>0.56999999999999995</v>
      </c>
      <c r="S78" s="50"/>
      <c r="T78" s="50"/>
      <c r="U78" s="43">
        <f t="shared" si="12"/>
        <v>0</v>
      </c>
      <c r="V78" s="43">
        <f t="shared" si="13"/>
        <v>0</v>
      </c>
      <c r="W78" s="43">
        <f t="shared" si="14"/>
        <v>0</v>
      </c>
      <c r="X78" s="136">
        <f t="shared" si="15"/>
        <v>0</v>
      </c>
      <c r="Y78" s="50"/>
      <c r="Z78" s="45">
        <f t="shared" si="16"/>
        <v>0</v>
      </c>
      <c r="AA78" s="45">
        <f t="shared" si="17"/>
        <v>0</v>
      </c>
      <c r="AB78" s="46">
        <f t="shared" si="18"/>
        <v>0</v>
      </c>
      <c r="AC78" s="46">
        <f t="shared" si="2"/>
        <v>0</v>
      </c>
      <c r="AD78" s="51"/>
      <c r="AE78" s="51"/>
      <c r="AF78" s="29">
        <v>2.95</v>
      </c>
      <c r="AG78" s="168">
        <v>17.72</v>
      </c>
      <c r="AH78" s="31"/>
      <c r="AI78" s="31">
        <f t="shared" si="3"/>
        <v>13.62</v>
      </c>
      <c r="AJ78" s="31">
        <f t="shared" si="19"/>
        <v>2.72</v>
      </c>
      <c r="AK78" s="31">
        <f t="shared" si="4"/>
        <v>35.39</v>
      </c>
      <c r="AL78" s="33">
        <f t="shared" si="5"/>
        <v>1.3199999999999998</v>
      </c>
      <c r="AM78" s="16">
        <f t="shared" si="20"/>
        <v>4.1868800000000004</v>
      </c>
      <c r="AN78" s="16">
        <f t="shared" si="21"/>
        <v>3.1200000000000117E-3</v>
      </c>
      <c r="AP78" s="16"/>
      <c r="AQ78" s="16"/>
    </row>
    <row r="79" spans="1:43" x14ac:dyDescent="0.2">
      <c r="A79" s="60">
        <v>615</v>
      </c>
      <c r="B79" s="131" t="s">
        <v>77</v>
      </c>
      <c r="C79" s="131" t="s">
        <v>238</v>
      </c>
      <c r="D79" s="75" t="s">
        <v>240</v>
      </c>
      <c r="E79" s="65">
        <v>7.6</v>
      </c>
      <c r="F79" s="167">
        <v>2785</v>
      </c>
      <c r="G79" s="48">
        <v>2785</v>
      </c>
      <c r="H79" s="123">
        <f>G79-F79</f>
        <v>0</v>
      </c>
      <c r="I79" s="121">
        <f t="shared" si="0"/>
        <v>0</v>
      </c>
      <c r="J79" s="121">
        <f t="shared" si="7"/>
        <v>0</v>
      </c>
      <c r="K79" s="122">
        <f t="shared" si="8"/>
        <v>0</v>
      </c>
      <c r="L79" s="121">
        <f t="shared" si="27"/>
        <v>0</v>
      </c>
      <c r="M79" s="121">
        <f t="shared" si="33"/>
        <v>0</v>
      </c>
      <c r="N79" s="49">
        <v>15</v>
      </c>
      <c r="O79" s="41">
        <f t="shared" si="9"/>
        <v>2.5299999999999998</v>
      </c>
      <c r="P79" s="41">
        <f t="shared" si="10"/>
        <v>0.51</v>
      </c>
      <c r="Q79" s="129">
        <f t="shared" si="11"/>
        <v>3.04</v>
      </c>
      <c r="R79" s="41">
        <f t="shared" si="28"/>
        <v>0.15</v>
      </c>
      <c r="S79" s="50"/>
      <c r="T79" s="50"/>
      <c r="U79" s="43">
        <f t="shared" si="12"/>
        <v>0</v>
      </c>
      <c r="V79" s="43">
        <f t="shared" si="13"/>
        <v>0</v>
      </c>
      <c r="W79" s="43">
        <f t="shared" si="14"/>
        <v>0</v>
      </c>
      <c r="X79" s="136">
        <f t="shared" si="15"/>
        <v>0</v>
      </c>
      <c r="Y79" s="50"/>
      <c r="Z79" s="45">
        <f t="shared" si="16"/>
        <v>0</v>
      </c>
      <c r="AA79" s="45">
        <f t="shared" si="17"/>
        <v>0</v>
      </c>
      <c r="AB79" s="46">
        <f t="shared" si="18"/>
        <v>0</v>
      </c>
      <c r="AC79" s="46">
        <f t="shared" si="2"/>
        <v>0</v>
      </c>
      <c r="AD79" s="51"/>
      <c r="AE79" s="51"/>
      <c r="AF79" s="29">
        <v>2.95</v>
      </c>
      <c r="AG79" s="168">
        <v>4.7</v>
      </c>
      <c r="AH79" s="31"/>
      <c r="AI79" s="31">
        <f t="shared" si="3"/>
        <v>2.5299999999999998</v>
      </c>
      <c r="AJ79" s="31">
        <f t="shared" si="19"/>
        <v>0.51</v>
      </c>
      <c r="AK79" s="31">
        <f t="shared" si="4"/>
        <v>7.8900000000000006</v>
      </c>
      <c r="AL79" s="33">
        <f t="shared" si="5"/>
        <v>0.15</v>
      </c>
      <c r="AM79" s="16">
        <f t="shared" si="20"/>
        <v>0</v>
      </c>
      <c r="AN79" s="16">
        <f t="shared" si="21"/>
        <v>0</v>
      </c>
      <c r="AP79" s="16"/>
      <c r="AQ79" s="16"/>
    </row>
    <row r="80" spans="1:43" x14ac:dyDescent="0.2">
      <c r="A80" s="60">
        <v>617</v>
      </c>
      <c r="B80" s="131" t="s">
        <v>81</v>
      </c>
      <c r="C80" s="131" t="s">
        <v>113</v>
      </c>
      <c r="D80" s="28"/>
      <c r="E80" s="65">
        <v>52.5</v>
      </c>
      <c r="F80" s="51">
        <v>40774</v>
      </c>
      <c r="G80" s="51">
        <v>40875</v>
      </c>
      <c r="H80" s="120">
        <f t="shared" si="6"/>
        <v>101</v>
      </c>
      <c r="I80" s="121">
        <f t="shared" ref="I80:I85" si="34">ROUND((H80*$B$2),2)</f>
        <v>52.86</v>
      </c>
      <c r="J80" s="121">
        <f t="shared" si="7"/>
        <v>10.57</v>
      </c>
      <c r="K80" s="122">
        <f t="shared" si="8"/>
        <v>63.43</v>
      </c>
      <c r="L80" s="121">
        <f t="shared" si="27"/>
        <v>101</v>
      </c>
      <c r="M80" s="121">
        <f t="shared" si="33"/>
        <v>9.52</v>
      </c>
      <c r="N80" s="53">
        <v>737</v>
      </c>
      <c r="O80" s="41">
        <f t="shared" si="9"/>
        <v>124.17</v>
      </c>
      <c r="P80" s="41">
        <f t="shared" si="10"/>
        <v>24.83</v>
      </c>
      <c r="Q80" s="129">
        <f t="shared" si="11"/>
        <v>149</v>
      </c>
      <c r="R80" s="41">
        <f t="shared" si="28"/>
        <v>7.45</v>
      </c>
      <c r="S80" s="50"/>
      <c r="T80" s="50"/>
      <c r="U80" s="43">
        <f t="shared" si="12"/>
        <v>0</v>
      </c>
      <c r="V80" s="43">
        <f t="shared" si="13"/>
        <v>0</v>
      </c>
      <c r="W80" s="43">
        <f t="shared" si="14"/>
        <v>0</v>
      </c>
      <c r="X80" s="136">
        <f t="shared" si="15"/>
        <v>0</v>
      </c>
      <c r="Y80" s="50"/>
      <c r="Z80" s="45">
        <f t="shared" si="16"/>
        <v>0</v>
      </c>
      <c r="AA80" s="45">
        <f t="shared" si="17"/>
        <v>0</v>
      </c>
      <c r="AB80" s="46">
        <f t="shared" si="18"/>
        <v>0</v>
      </c>
      <c r="AC80" s="46">
        <f t="shared" si="2"/>
        <v>0</v>
      </c>
      <c r="AD80" s="51"/>
      <c r="AE80" s="51"/>
      <c r="AF80" s="29">
        <v>2.95</v>
      </c>
      <c r="AG80" s="31">
        <f>ROUND((AF80*E80),2)-0.01</f>
        <v>154.87</v>
      </c>
      <c r="AH80" s="31"/>
      <c r="AI80" s="31">
        <f t="shared" si="3"/>
        <v>177.03</v>
      </c>
      <c r="AJ80" s="31">
        <f t="shared" si="19"/>
        <v>35.409999999999997</v>
      </c>
      <c r="AK80" s="31">
        <f t="shared" si="4"/>
        <v>384.27</v>
      </c>
      <c r="AL80" s="33">
        <f t="shared" si="5"/>
        <v>16.97</v>
      </c>
      <c r="AM80" s="16">
        <f t="shared" si="20"/>
        <v>52.859360000000002</v>
      </c>
      <c r="AN80" s="16">
        <f t="shared" si="21"/>
        <v>6.3999999999708734E-4</v>
      </c>
    </row>
    <row r="81" spans="1:40" x14ac:dyDescent="0.2">
      <c r="A81" s="60">
        <v>618</v>
      </c>
      <c r="B81" s="131" t="s">
        <v>74</v>
      </c>
      <c r="C81" s="131" t="s">
        <v>220</v>
      </c>
      <c r="D81" s="164"/>
      <c r="E81" s="65">
        <v>17.2</v>
      </c>
      <c r="F81" s="165">
        <v>497</v>
      </c>
      <c r="G81" s="165">
        <v>515</v>
      </c>
      <c r="H81" s="123">
        <f>G81-F81</f>
        <v>18</v>
      </c>
      <c r="I81" s="121">
        <f t="shared" si="34"/>
        <v>9.42</v>
      </c>
      <c r="J81" s="121">
        <f t="shared" si="7"/>
        <v>1.88</v>
      </c>
      <c r="K81" s="122">
        <f t="shared" si="8"/>
        <v>11.3</v>
      </c>
      <c r="L81" s="121">
        <f t="shared" si="27"/>
        <v>18</v>
      </c>
      <c r="M81" s="121">
        <f t="shared" si="33"/>
        <v>1.7</v>
      </c>
      <c r="N81" s="53">
        <v>347</v>
      </c>
      <c r="O81" s="41">
        <f t="shared" si="9"/>
        <v>58.46</v>
      </c>
      <c r="P81" s="41">
        <f t="shared" si="10"/>
        <v>11.69</v>
      </c>
      <c r="Q81" s="129">
        <f t="shared" si="11"/>
        <v>70.150000000000006</v>
      </c>
      <c r="R81" s="41">
        <f t="shared" si="28"/>
        <v>3.51</v>
      </c>
      <c r="S81" s="50"/>
      <c r="T81" s="50"/>
      <c r="U81" s="43">
        <f t="shared" si="12"/>
        <v>0</v>
      </c>
      <c r="V81" s="43">
        <f t="shared" si="13"/>
        <v>0</v>
      </c>
      <c r="W81" s="43">
        <f t="shared" si="14"/>
        <v>0</v>
      </c>
      <c r="X81" s="136">
        <f t="shared" si="15"/>
        <v>0</v>
      </c>
      <c r="Y81" s="50"/>
      <c r="Z81" s="45">
        <f t="shared" si="16"/>
        <v>0</v>
      </c>
      <c r="AA81" s="45">
        <f t="shared" si="17"/>
        <v>0</v>
      </c>
      <c r="AB81" s="46">
        <f t="shared" si="18"/>
        <v>0</v>
      </c>
      <c r="AC81" s="46">
        <f t="shared" si="2"/>
        <v>0</v>
      </c>
      <c r="AD81" s="51"/>
      <c r="AE81" s="51"/>
      <c r="AF81" s="29">
        <v>2.95</v>
      </c>
      <c r="AG81" s="32">
        <f>E81*AF81</f>
        <v>50.74</v>
      </c>
      <c r="AH81" s="31"/>
      <c r="AI81" s="31">
        <f t="shared" si="3"/>
        <v>67.88</v>
      </c>
      <c r="AJ81" s="31">
        <f t="shared" si="19"/>
        <v>13.58</v>
      </c>
      <c r="AK81" s="31">
        <f t="shared" si="4"/>
        <v>137.4</v>
      </c>
      <c r="AL81" s="33">
        <f t="shared" si="5"/>
        <v>5.21</v>
      </c>
      <c r="AM81" s="16">
        <f t="shared" si="20"/>
        <v>9.4204800000000013</v>
      </c>
      <c r="AN81" s="16">
        <f t="shared" si="21"/>
        <v>-4.8000000000136822E-4</v>
      </c>
    </row>
    <row r="82" spans="1:40" x14ac:dyDescent="0.2">
      <c r="A82" s="60" t="s">
        <v>13</v>
      </c>
      <c r="B82" s="131" t="s">
        <v>74</v>
      </c>
      <c r="C82" s="131" t="s">
        <v>220</v>
      </c>
      <c r="D82" s="71"/>
      <c r="E82" s="65">
        <v>10.6</v>
      </c>
      <c r="F82" s="48"/>
      <c r="G82" s="48"/>
      <c r="H82" s="123">
        <f>G82-F82</f>
        <v>0</v>
      </c>
      <c r="I82" s="121">
        <f t="shared" si="34"/>
        <v>0</v>
      </c>
      <c r="J82" s="121">
        <f t="shared" si="7"/>
        <v>0</v>
      </c>
      <c r="K82" s="122">
        <f t="shared" si="8"/>
        <v>0</v>
      </c>
      <c r="L82" s="121">
        <f t="shared" si="27"/>
        <v>0</v>
      </c>
      <c r="M82" s="121">
        <f t="shared" si="33"/>
        <v>0</v>
      </c>
      <c r="N82" s="76"/>
      <c r="O82" s="41">
        <f t="shared" si="9"/>
        <v>0</v>
      </c>
      <c r="P82" s="41">
        <f t="shared" si="10"/>
        <v>0</v>
      </c>
      <c r="Q82" s="129">
        <f t="shared" si="11"/>
        <v>0</v>
      </c>
      <c r="R82" s="41">
        <f t="shared" si="28"/>
        <v>0</v>
      </c>
      <c r="S82" s="50"/>
      <c r="T82" s="50"/>
      <c r="U82" s="43">
        <f t="shared" si="12"/>
        <v>0</v>
      </c>
      <c r="V82" s="43">
        <f t="shared" si="13"/>
        <v>0</v>
      </c>
      <c r="W82" s="43">
        <f t="shared" si="14"/>
        <v>0</v>
      </c>
      <c r="X82" s="136">
        <f t="shared" si="15"/>
        <v>0</v>
      </c>
      <c r="Y82" s="50"/>
      <c r="Z82" s="45">
        <f t="shared" si="16"/>
        <v>0</v>
      </c>
      <c r="AA82" s="45">
        <f t="shared" si="17"/>
        <v>0</v>
      </c>
      <c r="AB82" s="46">
        <f t="shared" si="18"/>
        <v>0</v>
      </c>
      <c r="AC82" s="46">
        <f t="shared" si="2"/>
        <v>0</v>
      </c>
      <c r="AD82" s="51"/>
      <c r="AE82" s="51"/>
      <c r="AF82" s="29">
        <v>2.95</v>
      </c>
      <c r="AG82" s="32">
        <f>E82*AF82</f>
        <v>31.27</v>
      </c>
      <c r="AH82" s="31"/>
      <c r="AI82" s="31">
        <f t="shared" si="3"/>
        <v>0</v>
      </c>
      <c r="AJ82" s="31">
        <f t="shared" si="19"/>
        <v>0</v>
      </c>
      <c r="AK82" s="31">
        <f t="shared" si="4"/>
        <v>31.27</v>
      </c>
      <c r="AL82" s="33">
        <f t="shared" si="5"/>
        <v>0</v>
      </c>
      <c r="AM82" s="16">
        <f t="shared" si="20"/>
        <v>0</v>
      </c>
      <c r="AN82" s="16">
        <f t="shared" si="21"/>
        <v>0</v>
      </c>
    </row>
    <row r="83" spans="1:40" x14ac:dyDescent="0.2">
      <c r="A83" s="60" t="s">
        <v>23</v>
      </c>
      <c r="B83" s="131" t="s">
        <v>74</v>
      </c>
      <c r="C83" s="131" t="s">
        <v>220</v>
      </c>
      <c r="D83" s="71"/>
      <c r="E83" s="65">
        <v>9.5</v>
      </c>
      <c r="F83" s="77"/>
      <c r="G83" s="77"/>
      <c r="H83" s="120">
        <f t="shared" si="6"/>
        <v>0</v>
      </c>
      <c r="I83" s="121">
        <f t="shared" si="34"/>
        <v>0</v>
      </c>
      <c r="J83" s="121">
        <f t="shared" si="7"/>
        <v>0</v>
      </c>
      <c r="K83" s="122">
        <f t="shared" si="8"/>
        <v>0</v>
      </c>
      <c r="L83" s="121">
        <f t="shared" si="27"/>
        <v>0</v>
      </c>
      <c r="M83" s="121">
        <f t="shared" si="33"/>
        <v>0</v>
      </c>
      <c r="N83" s="76"/>
      <c r="O83" s="41">
        <f t="shared" si="9"/>
        <v>0</v>
      </c>
      <c r="P83" s="41">
        <f t="shared" si="10"/>
        <v>0</v>
      </c>
      <c r="Q83" s="129">
        <f t="shared" si="11"/>
        <v>0</v>
      </c>
      <c r="R83" s="41">
        <f t="shared" si="28"/>
        <v>0</v>
      </c>
      <c r="S83" s="50"/>
      <c r="T83" s="50"/>
      <c r="U83" s="43">
        <f t="shared" si="12"/>
        <v>0</v>
      </c>
      <c r="V83" s="43">
        <f t="shared" si="13"/>
        <v>0</v>
      </c>
      <c r="W83" s="43">
        <f t="shared" si="14"/>
        <v>0</v>
      </c>
      <c r="X83" s="136">
        <f t="shared" si="15"/>
        <v>0</v>
      </c>
      <c r="Y83" s="50"/>
      <c r="Z83" s="45">
        <f t="shared" si="16"/>
        <v>0</v>
      </c>
      <c r="AA83" s="45">
        <f t="shared" si="17"/>
        <v>0</v>
      </c>
      <c r="AB83" s="46">
        <f t="shared" si="18"/>
        <v>0</v>
      </c>
      <c r="AC83" s="46">
        <f t="shared" si="2"/>
        <v>0</v>
      </c>
      <c r="AD83" s="51"/>
      <c r="AE83" s="51"/>
      <c r="AF83" s="29">
        <v>2.95</v>
      </c>
      <c r="AG83" s="32">
        <f>E83*AF83</f>
        <v>28.025000000000002</v>
      </c>
      <c r="AH83" s="31"/>
      <c r="AI83" s="31">
        <f t="shared" si="3"/>
        <v>0</v>
      </c>
      <c r="AJ83" s="31">
        <f t="shared" si="19"/>
        <v>0</v>
      </c>
      <c r="AK83" s="31">
        <f t="shared" si="4"/>
        <v>28.025000000000002</v>
      </c>
      <c r="AL83" s="33">
        <f t="shared" si="5"/>
        <v>0</v>
      </c>
      <c r="AM83" s="16">
        <f t="shared" si="20"/>
        <v>0</v>
      </c>
      <c r="AN83" s="16">
        <f t="shared" si="21"/>
        <v>0</v>
      </c>
    </row>
    <row r="84" spans="1:40" x14ac:dyDescent="0.2">
      <c r="A84" s="60">
        <v>620</v>
      </c>
      <c r="B84" s="131" t="s">
        <v>60</v>
      </c>
      <c r="C84" s="131" t="s">
        <v>121</v>
      </c>
      <c r="D84" s="28"/>
      <c r="E84" s="64">
        <v>9.6999999999999993</v>
      </c>
      <c r="F84" s="51">
        <v>10992</v>
      </c>
      <c r="G84" s="51">
        <v>10999</v>
      </c>
      <c r="H84" s="120">
        <f t="shared" si="6"/>
        <v>7</v>
      </c>
      <c r="I84" s="121">
        <f t="shared" si="34"/>
        <v>3.66</v>
      </c>
      <c r="J84" s="121">
        <f t="shared" si="7"/>
        <v>0.73</v>
      </c>
      <c r="K84" s="122">
        <f t="shared" si="8"/>
        <v>4.3900000000000006</v>
      </c>
      <c r="L84" s="121">
        <f t="shared" si="27"/>
        <v>7</v>
      </c>
      <c r="M84" s="121">
        <f t="shared" si="33"/>
        <v>0.66</v>
      </c>
      <c r="N84" s="49">
        <v>90</v>
      </c>
      <c r="O84" s="41">
        <f t="shared" si="9"/>
        <v>15.16</v>
      </c>
      <c r="P84" s="41">
        <f t="shared" si="10"/>
        <v>3.03</v>
      </c>
      <c r="Q84" s="129">
        <f t="shared" si="11"/>
        <v>18.190000000000001</v>
      </c>
      <c r="R84" s="41">
        <f>ROUND((N84*$B$5),2)</f>
        <v>0.91</v>
      </c>
      <c r="S84" s="50"/>
      <c r="T84" s="50"/>
      <c r="U84" s="43">
        <f t="shared" si="12"/>
        <v>0</v>
      </c>
      <c r="V84" s="43">
        <f t="shared" si="13"/>
        <v>0</v>
      </c>
      <c r="W84" s="43">
        <f t="shared" si="14"/>
        <v>0</v>
      </c>
      <c r="X84" s="136">
        <f t="shared" si="15"/>
        <v>0</v>
      </c>
      <c r="Y84" s="50"/>
      <c r="Z84" s="45">
        <f t="shared" si="16"/>
        <v>0</v>
      </c>
      <c r="AA84" s="45">
        <f t="shared" si="17"/>
        <v>0</v>
      </c>
      <c r="AB84" s="46">
        <f t="shared" si="18"/>
        <v>0</v>
      </c>
      <c r="AC84" s="46">
        <f>V84+W84+Z84+AA84</f>
        <v>0</v>
      </c>
      <c r="AD84" s="51"/>
      <c r="AE84" s="51"/>
      <c r="AF84" s="29">
        <v>2.95</v>
      </c>
      <c r="AG84" s="31">
        <f>ROUND((AF84*E84),2)</f>
        <v>28.62</v>
      </c>
      <c r="AH84" s="31"/>
      <c r="AI84" s="31">
        <f>ROUND((I84+O84+V84+Z84),2)</f>
        <v>18.82</v>
      </c>
      <c r="AJ84" s="31">
        <f t="shared" si="19"/>
        <v>3.76</v>
      </c>
      <c r="AK84" s="31">
        <f>AG84+AD84+AA84+Z84+W84+V84+R84+P84+O84+M84+J84+I84</f>
        <v>52.769999999999996</v>
      </c>
      <c r="AL84" s="33">
        <f>M84+R84+AD84</f>
        <v>1.57</v>
      </c>
      <c r="AM84" s="16">
        <f t="shared" si="20"/>
        <v>3.6635200000000001</v>
      </c>
      <c r="AN84" s="16">
        <f t="shared" si="21"/>
        <v>-3.5199999999999676E-3</v>
      </c>
    </row>
    <row r="85" spans="1:40" x14ac:dyDescent="0.2">
      <c r="A85" s="78">
        <v>409</v>
      </c>
      <c r="B85" s="71" t="s">
        <v>89</v>
      </c>
      <c r="C85" s="146" t="s">
        <v>180</v>
      </c>
      <c r="D85" s="71"/>
      <c r="E85" s="64">
        <v>13.65</v>
      </c>
      <c r="F85" s="79">
        <v>0</v>
      </c>
      <c r="G85" s="79">
        <v>0</v>
      </c>
      <c r="H85" s="123">
        <v>0</v>
      </c>
      <c r="I85" s="121">
        <f t="shared" si="34"/>
        <v>0</v>
      </c>
      <c r="J85" s="121">
        <f>ROUND((I85*0.2),2)</f>
        <v>0</v>
      </c>
      <c r="K85" s="122">
        <f>I85+J85</f>
        <v>0</v>
      </c>
      <c r="L85" s="121">
        <f t="shared" si="27"/>
        <v>0</v>
      </c>
      <c r="M85" s="121">
        <f t="shared" si="33"/>
        <v>0</v>
      </c>
      <c r="N85" s="80">
        <v>127</v>
      </c>
      <c r="O85" s="41">
        <f>ROUND((N85*$B$4),2)</f>
        <v>21.4</v>
      </c>
      <c r="P85" s="41">
        <f>ROUND((O85*0.2),2)</f>
        <v>4.28</v>
      </c>
      <c r="Q85" s="129">
        <f>O85+P85</f>
        <v>25.68</v>
      </c>
      <c r="R85" s="41">
        <v>0</v>
      </c>
      <c r="S85" s="30"/>
      <c r="T85" s="30"/>
      <c r="U85" s="43">
        <f>T85-S85</f>
        <v>0</v>
      </c>
      <c r="V85" s="43">
        <f>ROUND((U85*$B$6),2)</f>
        <v>0</v>
      </c>
      <c r="W85" s="43">
        <f>ROUND((V85*0.2),2)</f>
        <v>0</v>
      </c>
      <c r="X85" s="136">
        <f>V85+W85</f>
        <v>0</v>
      </c>
      <c r="Y85" s="44"/>
      <c r="Z85" s="45">
        <f>ROUND((Y85*$B$7),2)</f>
        <v>0</v>
      </c>
      <c r="AA85" s="45">
        <f>ROUND((Z85*0.2),2)</f>
        <v>0</v>
      </c>
      <c r="AB85" s="46">
        <f>Z85+AA85</f>
        <v>0</v>
      </c>
      <c r="AC85" s="46">
        <f>V85+W85+Z85+AA85</f>
        <v>0</v>
      </c>
      <c r="AD85" s="29"/>
      <c r="AE85" s="29"/>
      <c r="AF85" s="29"/>
      <c r="AG85" s="31">
        <f>ROUND((AF85*E85),2)</f>
        <v>0</v>
      </c>
      <c r="AH85" s="31"/>
      <c r="AI85" s="31">
        <f>ROUND((I85+O85+V85+Z85),2)</f>
        <v>21.4</v>
      </c>
      <c r="AJ85" s="31">
        <f>ROUND((AI85*0.2),2)</f>
        <v>4.28</v>
      </c>
      <c r="AK85" s="31">
        <f>AG85+AD85+AA85+Z85+W85+V85+R85+P85+O85+M85+J85+I85</f>
        <v>25.68</v>
      </c>
      <c r="AL85" s="33">
        <f>M85+R85+AD85</f>
        <v>0</v>
      </c>
      <c r="AM85" s="16">
        <f t="shared" ref="AM85:AM101" si="35">H85*$B$2</f>
        <v>0</v>
      </c>
      <c r="AN85" s="16">
        <f t="shared" ref="AN85:AN101" si="36">I85-AM85</f>
        <v>0</v>
      </c>
    </row>
    <row r="86" spans="1:40" s="17" customFormat="1" x14ac:dyDescent="0.2">
      <c r="A86" s="81"/>
      <c r="B86" s="81" t="s">
        <v>21</v>
      </c>
      <c r="C86" s="81"/>
      <c r="D86" s="81"/>
      <c r="E86" s="82"/>
      <c r="F86" s="83"/>
      <c r="G86" s="83"/>
      <c r="H86" s="149">
        <f t="shared" ref="H86:M86" si="37">H87</f>
        <v>16193</v>
      </c>
      <c r="I86" s="83">
        <f t="shared" si="37"/>
        <v>8474.7700000000023</v>
      </c>
      <c r="J86" s="83">
        <f t="shared" si="37"/>
        <v>1694.95</v>
      </c>
      <c r="K86" s="83">
        <f t="shared" si="37"/>
        <v>10169.719999999998</v>
      </c>
      <c r="L86" s="83">
        <f t="shared" si="37"/>
        <v>5851</v>
      </c>
      <c r="M86" s="83">
        <f t="shared" si="37"/>
        <v>551.19000000000005</v>
      </c>
      <c r="N86" s="149">
        <f t="shared" ref="N86:Z86" si="38">N87</f>
        <v>26693</v>
      </c>
      <c r="O86" s="83">
        <f>O87</f>
        <v>4497.1800000000021</v>
      </c>
      <c r="P86" s="83">
        <f t="shared" si="38"/>
        <v>899.43999999999994</v>
      </c>
      <c r="Q86" s="83">
        <f>Q87</f>
        <v>5396.62</v>
      </c>
      <c r="R86" s="83">
        <f>R87</f>
        <v>221.27999999999992</v>
      </c>
      <c r="S86" s="83">
        <f>S87</f>
        <v>3554</v>
      </c>
      <c r="T86" s="83">
        <f t="shared" si="38"/>
        <v>3601</v>
      </c>
      <c r="U86" s="83">
        <f t="shared" si="38"/>
        <v>46</v>
      </c>
      <c r="V86" s="83">
        <f t="shared" si="38"/>
        <v>217.92000000000002</v>
      </c>
      <c r="W86" s="83">
        <f t="shared" si="38"/>
        <v>43.58</v>
      </c>
      <c r="X86" s="83">
        <f>X87</f>
        <v>261.5</v>
      </c>
      <c r="Y86" s="83">
        <f t="shared" si="38"/>
        <v>5.52</v>
      </c>
      <c r="Z86" s="83">
        <f t="shared" si="38"/>
        <v>15.41</v>
      </c>
      <c r="AA86" s="83">
        <f>AA87</f>
        <v>3.0999999999999996</v>
      </c>
      <c r="AB86" s="83">
        <f>AB87</f>
        <v>18.489999999999998</v>
      </c>
      <c r="AC86" s="83">
        <f>AC87</f>
        <v>280.01</v>
      </c>
      <c r="AD86" s="83">
        <f>AD87</f>
        <v>28.94</v>
      </c>
      <c r="AE86" s="83">
        <f>AE87</f>
        <v>81.95</v>
      </c>
      <c r="AF86" s="83"/>
      <c r="AG86" s="83">
        <f t="shared" ref="AG86:AL86" si="39">AG87</f>
        <v>5611.106241935483</v>
      </c>
      <c r="AH86" s="83">
        <f t="shared" si="39"/>
        <v>502.7</v>
      </c>
      <c r="AI86" s="83">
        <f t="shared" si="39"/>
        <v>13205.22</v>
      </c>
      <c r="AJ86" s="83">
        <f>AJ87</f>
        <v>2641.0200000000004</v>
      </c>
      <c r="AK86" s="83">
        <f t="shared" si="39"/>
        <v>22258.786241935486</v>
      </c>
      <c r="AL86" s="84">
        <f t="shared" si="39"/>
        <v>801.4100000000002</v>
      </c>
      <c r="AM86" s="16">
        <f t="shared" si="35"/>
        <v>8474.7684800000006</v>
      </c>
      <c r="AN86" s="16">
        <f t="shared" si="36"/>
        <v>1.5200000016193371E-3</v>
      </c>
    </row>
    <row r="87" spans="1:40" s="17" customFormat="1" x14ac:dyDescent="0.2">
      <c r="A87" s="81"/>
      <c r="B87" s="81" t="s">
        <v>7</v>
      </c>
      <c r="C87" s="81"/>
      <c r="D87" s="81"/>
      <c r="E87" s="83"/>
      <c r="F87" s="83"/>
      <c r="G87" s="83"/>
      <c r="H87" s="149">
        <f>SUM(H10:H85)</f>
        <v>16193</v>
      </c>
      <c r="I87" s="83">
        <f>SUM(I10:I85)+0.04</f>
        <v>8474.7700000000023</v>
      </c>
      <c r="J87" s="83">
        <f>SUM(J10:J85)+0.02</f>
        <v>1694.95</v>
      </c>
      <c r="K87" s="83">
        <f>SUM(K10:K85)+0.06</f>
        <v>10169.719999999998</v>
      </c>
      <c r="L87" s="83">
        <f>SUM(L10:L85)</f>
        <v>5851</v>
      </c>
      <c r="M87" s="83">
        <f>SUM(M10:M85)-0.01</f>
        <v>551.19000000000005</v>
      </c>
      <c r="N87" s="149">
        <f>SUM(N10:N85)</f>
        <v>26693</v>
      </c>
      <c r="O87" s="83">
        <f>SUM(O10:O85)+0.02</f>
        <v>4497.1800000000021</v>
      </c>
      <c r="P87" s="83">
        <f>SUM(P10:P85)</f>
        <v>899.43999999999994</v>
      </c>
      <c r="Q87" s="83">
        <f>SUM(Q10:Q85)+0.02</f>
        <v>5396.62</v>
      </c>
      <c r="R87" s="83">
        <f>SUM(R10:R85)+0.01</f>
        <v>221.27999999999992</v>
      </c>
      <c r="S87" s="83">
        <f t="shared" ref="S87:AE87" si="40">SUM(S10:S85)</f>
        <v>3554</v>
      </c>
      <c r="T87" s="83">
        <f t="shared" si="40"/>
        <v>3601</v>
      </c>
      <c r="U87" s="83">
        <f t="shared" si="40"/>
        <v>46</v>
      </c>
      <c r="V87" s="83">
        <f>SUM(V10:V85)</f>
        <v>217.92000000000002</v>
      </c>
      <c r="W87" s="83">
        <f t="shared" si="40"/>
        <v>43.58</v>
      </c>
      <c r="X87" s="83">
        <f>SUM(X10:X85)</f>
        <v>261.5</v>
      </c>
      <c r="Y87" s="83">
        <f t="shared" si="40"/>
        <v>5.52</v>
      </c>
      <c r="Z87" s="83">
        <f t="shared" si="40"/>
        <v>15.41</v>
      </c>
      <c r="AA87" s="83">
        <f>SUM(AA10:AA85)</f>
        <v>3.0999999999999996</v>
      </c>
      <c r="AB87" s="83">
        <f>SUM(AB10:AB85)-0.02</f>
        <v>18.489999999999998</v>
      </c>
      <c r="AC87" s="83">
        <f>SUM(AC10:AC85)</f>
        <v>280.01</v>
      </c>
      <c r="AD87" s="83">
        <f t="shared" si="40"/>
        <v>28.94</v>
      </c>
      <c r="AE87" s="83">
        <f t="shared" si="40"/>
        <v>81.95</v>
      </c>
      <c r="AF87" s="83"/>
      <c r="AG87" s="83">
        <f>SUM(AG10:AG85)+0.01</f>
        <v>5611.106241935483</v>
      </c>
      <c r="AH87" s="83">
        <f>SUM(AH10:AH85)</f>
        <v>502.7</v>
      </c>
      <c r="AI87" s="83">
        <f>SUM(AI10:AI85)</f>
        <v>13205.22</v>
      </c>
      <c r="AJ87" s="83">
        <f>SUM(AJ10:AJ85)</f>
        <v>2641.0200000000004</v>
      </c>
      <c r="AK87" s="83">
        <f>SUM(AK10:AK85)</f>
        <v>22258.786241935486</v>
      </c>
      <c r="AL87" s="84">
        <f>SUM(AL10:AL85)</f>
        <v>801.4100000000002</v>
      </c>
      <c r="AM87" s="16">
        <f t="shared" si="35"/>
        <v>8474.7684800000006</v>
      </c>
      <c r="AN87" s="16">
        <f t="shared" si="36"/>
        <v>1.5200000016193371E-3</v>
      </c>
    </row>
    <row r="88" spans="1:40" s="21" customFormat="1" x14ac:dyDescent="0.2">
      <c r="A88" s="28"/>
      <c r="B88" s="28" t="s">
        <v>5</v>
      </c>
      <c r="C88" s="28"/>
      <c r="D88" s="28"/>
      <c r="E88" s="47">
        <v>2.4300000000000002</v>
      </c>
      <c r="F88" s="47"/>
      <c r="G88" s="47"/>
      <c r="H88" s="124">
        <v>5</v>
      </c>
      <c r="I88" s="121">
        <f>ROUND((H88*$B$2),2)</f>
        <v>2.62</v>
      </c>
      <c r="J88" s="121">
        <f>ROUND((I88*0.2),2)</f>
        <v>0.52</v>
      </c>
      <c r="K88" s="122">
        <f t="shared" ref="K88:K98" si="41">I88+J88</f>
        <v>3.14</v>
      </c>
      <c r="L88" s="121"/>
      <c r="M88" s="121">
        <f t="shared" ref="M88:M99" si="42">ROUND((L88*$B$3),2)</f>
        <v>0</v>
      </c>
      <c r="N88" s="85"/>
      <c r="O88" s="41">
        <f t="shared" ref="O88:O99" si="43">ROUND((N88*$B$4),2)</f>
        <v>0</v>
      </c>
      <c r="P88" s="41">
        <f t="shared" ref="P88:P99" si="44">ROUND((O88*0.2),2)</f>
        <v>0</v>
      </c>
      <c r="Q88" s="129">
        <f t="shared" ref="Q88:Q99" si="45">O88+P88</f>
        <v>0</v>
      </c>
      <c r="R88" s="41">
        <f t="shared" ref="R88:R96" si="46">ROUND((N88*$B$5),2)</f>
        <v>0</v>
      </c>
      <c r="S88" s="42"/>
      <c r="T88" s="42"/>
      <c r="U88" s="43"/>
      <c r="V88" s="43">
        <f>ROUND((U88*$B$6),2)</f>
        <v>0</v>
      </c>
      <c r="W88" s="43">
        <f>ROUND((V88*0.2),2)</f>
        <v>0</v>
      </c>
      <c r="X88" s="136">
        <f t="shared" ref="X88:X99" si="47">V88+W88</f>
        <v>0</v>
      </c>
      <c r="Y88" s="44"/>
      <c r="Z88" s="45">
        <f>ROUND((Y88*$B$7),2)</f>
        <v>0</v>
      </c>
      <c r="AA88" s="45">
        <f>ROUND((Z88*0.2),2)</f>
        <v>0</v>
      </c>
      <c r="AB88" s="46">
        <f t="shared" ref="AB88:AB99" si="48">Z88+AA88</f>
        <v>0</v>
      </c>
      <c r="AC88" s="46">
        <f t="shared" ref="AC88:AC99" si="49">V88+W88+Z88+AA88</f>
        <v>0</v>
      </c>
      <c r="AD88" s="29"/>
      <c r="AE88" s="29"/>
      <c r="AF88" s="29"/>
      <c r="AG88" s="31">
        <f>ROUND((AF88*E88),2)</f>
        <v>0</v>
      </c>
      <c r="AH88" s="31"/>
      <c r="AI88" s="31"/>
      <c r="AJ88" s="31"/>
      <c r="AK88" s="31"/>
      <c r="AL88" s="33">
        <f>M88+R88</f>
        <v>0</v>
      </c>
      <c r="AM88" s="16">
        <f t="shared" si="35"/>
        <v>2.6168000000000005</v>
      </c>
      <c r="AN88" s="16">
        <f t="shared" si="36"/>
        <v>3.1999999999996476E-3</v>
      </c>
    </row>
    <row r="89" spans="1:40" s="21" customFormat="1" x14ac:dyDescent="0.2">
      <c r="A89" s="71"/>
      <c r="B89" s="71" t="s">
        <v>16</v>
      </c>
      <c r="C89" s="71"/>
      <c r="D89" s="71"/>
      <c r="E89" s="47"/>
      <c r="F89" s="47">
        <v>4745</v>
      </c>
      <c r="G89" s="47">
        <v>4766</v>
      </c>
      <c r="H89" s="125">
        <f>(G89-F89)*40</f>
        <v>840</v>
      </c>
      <c r="I89" s="121">
        <f>ROUND((H89*$B$2),2)</f>
        <v>439.62</v>
      </c>
      <c r="J89" s="121">
        <f>ROUND((I89*0.2),2)</f>
        <v>87.92</v>
      </c>
      <c r="K89" s="122">
        <f>I89+J89</f>
        <v>527.54</v>
      </c>
      <c r="L89" s="121"/>
      <c r="M89" s="121">
        <f t="shared" si="42"/>
        <v>0</v>
      </c>
      <c r="N89" s="86"/>
      <c r="O89" s="41">
        <f t="shared" si="43"/>
        <v>0</v>
      </c>
      <c r="P89" s="41">
        <f t="shared" si="44"/>
        <v>0</v>
      </c>
      <c r="Q89" s="129">
        <f t="shared" si="45"/>
        <v>0</v>
      </c>
      <c r="R89" s="41">
        <f t="shared" si="46"/>
        <v>0</v>
      </c>
      <c r="S89" s="87"/>
      <c r="T89" s="87"/>
      <c r="U89" s="43"/>
      <c r="V89" s="43">
        <f>ROUND((U89*$B$6),2)</f>
        <v>0</v>
      </c>
      <c r="W89" s="43">
        <f>ROUND((V89*0.2),2)</f>
        <v>0</v>
      </c>
      <c r="X89" s="136">
        <f t="shared" si="47"/>
        <v>0</v>
      </c>
      <c r="Y89" s="44"/>
      <c r="Z89" s="45">
        <f>ROUND((Y89*$B$7),2)</f>
        <v>0</v>
      </c>
      <c r="AA89" s="45">
        <f>ROUND((Z89*0.2),2)</f>
        <v>0</v>
      </c>
      <c r="AB89" s="46">
        <f t="shared" si="48"/>
        <v>0</v>
      </c>
      <c r="AC89" s="46">
        <f t="shared" si="49"/>
        <v>0</v>
      </c>
      <c r="AD89" s="29"/>
      <c r="AE89" s="29"/>
      <c r="AF89" s="29"/>
      <c r="AG89" s="31">
        <f>ROUND((AF89*E89),2)</f>
        <v>0</v>
      </c>
      <c r="AH89" s="31"/>
      <c r="AI89" s="31"/>
      <c r="AJ89" s="31"/>
      <c r="AK89" s="31"/>
      <c r="AL89" s="33">
        <f>M89+R89</f>
        <v>0</v>
      </c>
      <c r="AM89" s="16">
        <f t="shared" si="35"/>
        <v>439.62240000000003</v>
      </c>
      <c r="AN89" s="16">
        <f t="shared" si="36"/>
        <v>-2.4000000000228283E-3</v>
      </c>
    </row>
    <row r="90" spans="1:40" s="21" customFormat="1" x14ac:dyDescent="0.2">
      <c r="A90" s="71"/>
      <c r="B90" s="71" t="s">
        <v>11</v>
      </c>
      <c r="C90" s="71"/>
      <c r="D90" s="71"/>
      <c r="E90" s="47"/>
      <c r="F90" s="47">
        <v>15192</v>
      </c>
      <c r="G90" s="47">
        <v>15214</v>
      </c>
      <c r="H90" s="125">
        <f>(G90-F90)*15</f>
        <v>330</v>
      </c>
      <c r="I90" s="121">
        <f>ROUND((H90*$B$2),2)</f>
        <v>172.71</v>
      </c>
      <c r="J90" s="121">
        <f>ROUND((I90*0.2),2)</f>
        <v>34.54</v>
      </c>
      <c r="K90" s="122">
        <f t="shared" si="41"/>
        <v>207.25</v>
      </c>
      <c r="L90" s="121"/>
      <c r="M90" s="121">
        <f t="shared" si="42"/>
        <v>0</v>
      </c>
      <c r="N90" s="86"/>
      <c r="O90" s="41">
        <f t="shared" si="43"/>
        <v>0</v>
      </c>
      <c r="P90" s="41">
        <f t="shared" si="44"/>
        <v>0</v>
      </c>
      <c r="Q90" s="129">
        <f t="shared" si="45"/>
        <v>0</v>
      </c>
      <c r="R90" s="41">
        <f>ROUND((N90*$B$5),2)</f>
        <v>0</v>
      </c>
      <c r="S90" s="87"/>
      <c r="T90" s="87"/>
      <c r="U90" s="43"/>
      <c r="V90" s="43">
        <f>ROUND((U90*$B$6),2)</f>
        <v>0</v>
      </c>
      <c r="W90" s="43">
        <f>ROUND((V90*0.2),2)</f>
        <v>0</v>
      </c>
      <c r="X90" s="136">
        <f t="shared" si="47"/>
        <v>0</v>
      </c>
      <c r="Y90" s="44"/>
      <c r="Z90" s="45">
        <f>ROUND((Y90*$B$7),2)</f>
        <v>0</v>
      </c>
      <c r="AA90" s="45">
        <f>ROUND((Z90*0.2),2)</f>
        <v>0</v>
      </c>
      <c r="AB90" s="46">
        <f t="shared" si="48"/>
        <v>0</v>
      </c>
      <c r="AC90" s="46">
        <f t="shared" si="49"/>
        <v>0</v>
      </c>
      <c r="AD90" s="29"/>
      <c r="AE90" s="29"/>
      <c r="AF90" s="29"/>
      <c r="AG90" s="31">
        <f>ROUND((AF90*E90),2)</f>
        <v>0</v>
      </c>
      <c r="AH90" s="31"/>
      <c r="AI90" s="31"/>
      <c r="AJ90" s="31"/>
      <c r="AK90" s="31"/>
      <c r="AL90" s="33">
        <f>M90+R90</f>
        <v>0</v>
      </c>
      <c r="AM90" s="16">
        <f t="shared" si="35"/>
        <v>172.70880000000002</v>
      </c>
      <c r="AN90" s="16">
        <f t="shared" si="36"/>
        <v>1.1999999999829924E-3</v>
      </c>
    </row>
    <row r="91" spans="1:40" s="21" customFormat="1" ht="13.5" x14ac:dyDescent="0.25">
      <c r="A91" s="88"/>
      <c r="B91" s="71" t="s">
        <v>243</v>
      </c>
      <c r="C91" s="71"/>
      <c r="D91" s="71"/>
      <c r="E91" s="89"/>
      <c r="F91" s="47"/>
      <c r="G91" s="47"/>
      <c r="H91" s="125">
        <f>48+185</f>
        <v>233</v>
      </c>
      <c r="I91" s="121">
        <f>ROUND((H91*$B$2),2)</f>
        <v>121.94</v>
      </c>
      <c r="J91" s="121">
        <f>ROUND((I91*0.2),2)</f>
        <v>24.39</v>
      </c>
      <c r="K91" s="122">
        <f t="shared" si="41"/>
        <v>146.32999999999998</v>
      </c>
      <c r="L91" s="121"/>
      <c r="M91" s="121">
        <f t="shared" si="42"/>
        <v>0</v>
      </c>
      <c r="N91" s="86"/>
      <c r="O91" s="41">
        <f t="shared" si="43"/>
        <v>0</v>
      </c>
      <c r="P91" s="41">
        <f t="shared" si="44"/>
        <v>0</v>
      </c>
      <c r="Q91" s="129">
        <f t="shared" si="45"/>
        <v>0</v>
      </c>
      <c r="R91" s="41">
        <f t="shared" si="46"/>
        <v>0</v>
      </c>
      <c r="S91" s="90"/>
      <c r="T91" s="90"/>
      <c r="U91" s="43">
        <v>68</v>
      </c>
      <c r="V91" s="43">
        <f>ROUND((U91*$B$6),2)</f>
        <v>322.11</v>
      </c>
      <c r="W91" s="43">
        <f>ROUND((V91*0.2),2)</f>
        <v>64.42</v>
      </c>
      <c r="X91" s="136">
        <f>V91+W91</f>
        <v>386.53000000000003</v>
      </c>
      <c r="Y91" s="91">
        <v>8.16</v>
      </c>
      <c r="Z91" s="45">
        <f>ROUND((Y91*$B$7),2)</f>
        <v>22.78</v>
      </c>
      <c r="AA91" s="45">
        <f>ROUND((Z91*0.2),2)</f>
        <v>4.5599999999999996</v>
      </c>
      <c r="AB91" s="46">
        <f>Z91+AA91</f>
        <v>27.34</v>
      </c>
      <c r="AC91" s="46">
        <f t="shared" si="49"/>
        <v>413.87000000000006</v>
      </c>
      <c r="AD91" s="92"/>
      <c r="AE91" s="92"/>
      <c r="AF91" s="92"/>
      <c r="AG91" s="31">
        <f>ROUND((AF91*E91),2)</f>
        <v>0</v>
      </c>
      <c r="AH91" s="31"/>
      <c r="AI91" s="31"/>
      <c r="AJ91" s="31"/>
      <c r="AK91" s="31"/>
      <c r="AL91" s="33">
        <f>M91+R91</f>
        <v>0</v>
      </c>
      <c r="AM91" s="16">
        <f t="shared" si="35"/>
        <v>121.94288000000002</v>
      </c>
      <c r="AN91" s="16">
        <f t="shared" si="36"/>
        <v>-2.8800000000188675E-3</v>
      </c>
    </row>
    <row r="92" spans="1:40" x14ac:dyDescent="0.2">
      <c r="A92" s="93" t="s">
        <v>19</v>
      </c>
      <c r="B92" s="94" t="s">
        <v>31</v>
      </c>
      <c r="C92" s="94"/>
      <c r="D92" s="94"/>
      <c r="E92" s="95">
        <v>503.71</v>
      </c>
      <c r="F92" s="10">
        <v>677053</v>
      </c>
      <c r="G92" s="96">
        <v>686123</v>
      </c>
      <c r="H92" s="120">
        <v>0</v>
      </c>
      <c r="I92" s="121">
        <f t="shared" ref="I92:I97" si="50">ROUND((H92*$B$2),2)</f>
        <v>0</v>
      </c>
      <c r="J92" s="121">
        <f t="shared" ref="J92:J98" si="51">ROUND((I92*0.2),2)</f>
        <v>0</v>
      </c>
      <c r="K92" s="122">
        <f t="shared" si="41"/>
        <v>0</v>
      </c>
      <c r="L92" s="121"/>
      <c r="M92" s="121">
        <f t="shared" si="42"/>
        <v>0</v>
      </c>
      <c r="N92" s="49"/>
      <c r="O92" s="41">
        <f t="shared" si="43"/>
        <v>0</v>
      </c>
      <c r="P92" s="41">
        <f t="shared" si="44"/>
        <v>0</v>
      </c>
      <c r="Q92" s="129">
        <f t="shared" si="45"/>
        <v>0</v>
      </c>
      <c r="R92" s="41">
        <f t="shared" si="46"/>
        <v>0</v>
      </c>
      <c r="S92" s="54">
        <v>1832</v>
      </c>
      <c r="T92" s="54">
        <v>1832</v>
      </c>
      <c r="U92" s="43">
        <v>0</v>
      </c>
      <c r="V92" s="43">
        <v>0</v>
      </c>
      <c r="W92" s="43">
        <v>0</v>
      </c>
      <c r="X92" s="136">
        <f t="shared" si="47"/>
        <v>0</v>
      </c>
      <c r="Y92" s="97"/>
      <c r="Z92" s="45">
        <v>0</v>
      </c>
      <c r="AA92" s="45">
        <v>0</v>
      </c>
      <c r="AB92" s="46">
        <f t="shared" si="48"/>
        <v>0</v>
      </c>
      <c r="AC92" s="46">
        <f t="shared" si="49"/>
        <v>0</v>
      </c>
      <c r="AD92" s="98"/>
      <c r="AE92" s="98"/>
      <c r="AF92" s="29"/>
      <c r="AG92" s="31">
        <v>0</v>
      </c>
      <c r="AH92" s="31"/>
      <c r="AI92" s="31"/>
      <c r="AJ92" s="31"/>
      <c r="AK92" s="31"/>
      <c r="AL92" s="33">
        <v>0</v>
      </c>
      <c r="AM92" s="16">
        <f t="shared" si="35"/>
        <v>0</v>
      </c>
      <c r="AN92" s="16">
        <f t="shared" si="36"/>
        <v>0</v>
      </c>
    </row>
    <row r="93" spans="1:40" x14ac:dyDescent="0.2">
      <c r="A93" s="93" t="s">
        <v>19</v>
      </c>
      <c r="B93" s="94" t="s">
        <v>31</v>
      </c>
      <c r="C93" s="94"/>
      <c r="D93" s="94"/>
      <c r="E93" s="95">
        <v>0</v>
      </c>
      <c r="F93" s="10">
        <v>200058</v>
      </c>
      <c r="G93" s="96">
        <v>201543</v>
      </c>
      <c r="H93" s="120">
        <v>0</v>
      </c>
      <c r="I93" s="121">
        <f t="shared" si="50"/>
        <v>0</v>
      </c>
      <c r="J93" s="121">
        <f t="shared" si="51"/>
        <v>0</v>
      </c>
      <c r="K93" s="122">
        <f t="shared" si="41"/>
        <v>0</v>
      </c>
      <c r="L93" s="121"/>
      <c r="M93" s="121">
        <f t="shared" si="42"/>
        <v>0</v>
      </c>
      <c r="N93" s="61"/>
      <c r="O93" s="41">
        <f t="shared" si="43"/>
        <v>0</v>
      </c>
      <c r="P93" s="41">
        <f t="shared" si="44"/>
        <v>0</v>
      </c>
      <c r="Q93" s="129">
        <f t="shared" si="45"/>
        <v>0</v>
      </c>
      <c r="R93" s="41">
        <f t="shared" si="46"/>
        <v>0</v>
      </c>
      <c r="S93" s="50"/>
      <c r="T93" s="50"/>
      <c r="U93" s="43">
        <v>0</v>
      </c>
      <c r="V93" s="43">
        <v>0</v>
      </c>
      <c r="W93" s="43">
        <v>0</v>
      </c>
      <c r="X93" s="136">
        <f t="shared" si="47"/>
        <v>0</v>
      </c>
      <c r="Y93" s="50"/>
      <c r="Z93" s="45">
        <v>0</v>
      </c>
      <c r="AA93" s="45">
        <v>0</v>
      </c>
      <c r="AB93" s="46">
        <f t="shared" si="48"/>
        <v>0</v>
      </c>
      <c r="AC93" s="46">
        <f t="shared" si="49"/>
        <v>0</v>
      </c>
      <c r="AD93" s="51"/>
      <c r="AE93" s="51"/>
      <c r="AF93" s="29"/>
      <c r="AG93" s="31">
        <v>0</v>
      </c>
      <c r="AH93" s="31"/>
      <c r="AI93" s="31"/>
      <c r="AJ93" s="31"/>
      <c r="AK93" s="31"/>
      <c r="AL93" s="33">
        <v>0</v>
      </c>
      <c r="AM93" s="16">
        <f t="shared" si="35"/>
        <v>0</v>
      </c>
      <c r="AN93" s="16">
        <f t="shared" si="36"/>
        <v>0</v>
      </c>
    </row>
    <row r="94" spans="1:40" x14ac:dyDescent="0.2">
      <c r="A94" s="93" t="s">
        <v>19</v>
      </c>
      <c r="B94" s="99" t="s">
        <v>163</v>
      </c>
      <c r="C94" s="99"/>
      <c r="D94" s="99"/>
      <c r="E94" s="47">
        <v>0</v>
      </c>
      <c r="F94" s="48">
        <v>0</v>
      </c>
      <c r="G94" s="48">
        <v>0</v>
      </c>
      <c r="H94" s="120">
        <v>477</v>
      </c>
      <c r="I94" s="121">
        <f t="shared" si="50"/>
        <v>249.64</v>
      </c>
      <c r="J94" s="121">
        <f t="shared" si="51"/>
        <v>49.93</v>
      </c>
      <c r="K94" s="122">
        <f t="shared" si="41"/>
        <v>299.57</v>
      </c>
      <c r="L94" s="121"/>
      <c r="M94" s="121">
        <f t="shared" si="42"/>
        <v>0</v>
      </c>
      <c r="N94" s="61"/>
      <c r="O94" s="41">
        <f t="shared" si="43"/>
        <v>0</v>
      </c>
      <c r="P94" s="41">
        <f t="shared" si="44"/>
        <v>0</v>
      </c>
      <c r="Q94" s="129">
        <f t="shared" si="45"/>
        <v>0</v>
      </c>
      <c r="R94" s="41">
        <f t="shared" si="46"/>
        <v>0</v>
      </c>
      <c r="S94" s="50"/>
      <c r="T94" s="50"/>
      <c r="U94" s="43">
        <v>0</v>
      </c>
      <c r="V94" s="43">
        <v>0</v>
      </c>
      <c r="W94" s="43">
        <v>0</v>
      </c>
      <c r="X94" s="136">
        <f t="shared" si="47"/>
        <v>0</v>
      </c>
      <c r="Y94" s="50"/>
      <c r="Z94" s="45">
        <v>0</v>
      </c>
      <c r="AA94" s="45">
        <v>0</v>
      </c>
      <c r="AB94" s="46">
        <f t="shared" si="48"/>
        <v>0</v>
      </c>
      <c r="AC94" s="46">
        <f t="shared" si="49"/>
        <v>0</v>
      </c>
      <c r="AD94" s="51"/>
      <c r="AE94" s="51"/>
      <c r="AF94" s="29"/>
      <c r="AG94" s="31">
        <v>0</v>
      </c>
      <c r="AH94" s="31"/>
      <c r="AI94" s="31"/>
      <c r="AJ94" s="31"/>
      <c r="AK94" s="31"/>
      <c r="AL94" s="33">
        <v>0</v>
      </c>
      <c r="AM94" s="16">
        <f t="shared" si="35"/>
        <v>249.64272000000003</v>
      </c>
      <c r="AN94" s="16">
        <f t="shared" si="36"/>
        <v>-2.7200000000391356E-3</v>
      </c>
    </row>
    <row r="95" spans="1:40" x14ac:dyDescent="0.2">
      <c r="A95" s="93">
        <v>113</v>
      </c>
      <c r="B95" s="93" t="s">
        <v>24</v>
      </c>
      <c r="C95" s="93"/>
      <c r="D95" s="93"/>
      <c r="E95" s="47">
        <v>36</v>
      </c>
      <c r="F95" s="48">
        <v>440</v>
      </c>
      <c r="G95" s="48">
        <v>443</v>
      </c>
      <c r="H95" s="142">
        <f>G95-F95</f>
        <v>3</v>
      </c>
      <c r="I95" s="121">
        <f t="shared" si="50"/>
        <v>1.57</v>
      </c>
      <c r="J95" s="121">
        <f t="shared" si="51"/>
        <v>0.31</v>
      </c>
      <c r="K95" s="122">
        <f t="shared" si="41"/>
        <v>1.8800000000000001</v>
      </c>
      <c r="L95" s="121"/>
      <c r="M95" s="121">
        <f t="shared" si="42"/>
        <v>0</v>
      </c>
      <c r="N95" s="53"/>
      <c r="O95" s="41">
        <f t="shared" si="43"/>
        <v>0</v>
      </c>
      <c r="P95" s="41">
        <f t="shared" si="44"/>
        <v>0</v>
      </c>
      <c r="Q95" s="129">
        <f t="shared" si="45"/>
        <v>0</v>
      </c>
      <c r="R95" s="41">
        <f t="shared" si="46"/>
        <v>0</v>
      </c>
      <c r="S95" s="50"/>
      <c r="T95" s="50"/>
      <c r="U95" s="43">
        <v>0</v>
      </c>
      <c r="V95" s="43">
        <v>0</v>
      </c>
      <c r="W95" s="43">
        <v>0</v>
      </c>
      <c r="X95" s="136">
        <f t="shared" si="47"/>
        <v>0</v>
      </c>
      <c r="Y95" s="50"/>
      <c r="Z95" s="45">
        <v>0</v>
      </c>
      <c r="AA95" s="45">
        <v>0</v>
      </c>
      <c r="AB95" s="46">
        <f t="shared" si="48"/>
        <v>0</v>
      </c>
      <c r="AC95" s="46">
        <f t="shared" si="49"/>
        <v>0</v>
      </c>
      <c r="AD95" s="51"/>
      <c r="AE95" s="51"/>
      <c r="AF95" s="29"/>
      <c r="AG95" s="31">
        <v>0</v>
      </c>
      <c r="AH95" s="31"/>
      <c r="AI95" s="31"/>
      <c r="AJ95" s="31"/>
      <c r="AK95" s="31"/>
      <c r="AL95" s="33">
        <v>0</v>
      </c>
      <c r="AM95" s="16">
        <f t="shared" si="35"/>
        <v>1.5700800000000001</v>
      </c>
      <c r="AN95" s="16">
        <f t="shared" si="36"/>
        <v>-8.0000000000080007E-5</v>
      </c>
    </row>
    <row r="96" spans="1:40" x14ac:dyDescent="0.2">
      <c r="A96" s="93" t="s">
        <v>8</v>
      </c>
      <c r="B96" s="93" t="s">
        <v>26</v>
      </c>
      <c r="C96" s="93"/>
      <c r="D96" s="93"/>
      <c r="E96" s="100">
        <v>7</v>
      </c>
      <c r="F96" s="48">
        <v>1616</v>
      </c>
      <c r="G96" s="48">
        <v>1633</v>
      </c>
      <c r="H96" s="120">
        <f>G96-F96</f>
        <v>17</v>
      </c>
      <c r="I96" s="121">
        <f t="shared" si="50"/>
        <v>8.9</v>
      </c>
      <c r="J96" s="121">
        <f t="shared" si="51"/>
        <v>1.78</v>
      </c>
      <c r="K96" s="122">
        <f t="shared" si="41"/>
        <v>10.68</v>
      </c>
      <c r="L96" s="121"/>
      <c r="M96" s="121">
        <f t="shared" si="42"/>
        <v>0</v>
      </c>
      <c r="N96" s="101"/>
      <c r="O96" s="41">
        <f t="shared" si="43"/>
        <v>0</v>
      </c>
      <c r="P96" s="41">
        <f t="shared" si="44"/>
        <v>0</v>
      </c>
      <c r="Q96" s="129">
        <f t="shared" si="45"/>
        <v>0</v>
      </c>
      <c r="R96" s="41">
        <f t="shared" si="46"/>
        <v>0</v>
      </c>
      <c r="S96" s="50"/>
      <c r="T96" s="50"/>
      <c r="U96" s="43">
        <v>0</v>
      </c>
      <c r="V96" s="43">
        <v>0</v>
      </c>
      <c r="W96" s="43">
        <v>0</v>
      </c>
      <c r="X96" s="136">
        <f t="shared" si="47"/>
        <v>0</v>
      </c>
      <c r="Y96" s="50"/>
      <c r="Z96" s="45">
        <v>0</v>
      </c>
      <c r="AA96" s="45">
        <v>0</v>
      </c>
      <c r="AB96" s="46">
        <f t="shared" si="48"/>
        <v>0</v>
      </c>
      <c r="AC96" s="46">
        <f t="shared" si="49"/>
        <v>0</v>
      </c>
      <c r="AD96" s="51"/>
      <c r="AE96" s="51"/>
      <c r="AF96" s="29"/>
      <c r="AG96" s="31">
        <v>0</v>
      </c>
      <c r="AH96" s="31"/>
      <c r="AI96" s="31"/>
      <c r="AJ96" s="31"/>
      <c r="AK96" s="31"/>
      <c r="AL96" s="33">
        <v>0</v>
      </c>
      <c r="AM96" s="16">
        <f t="shared" si="35"/>
        <v>8.897120000000001</v>
      </c>
      <c r="AN96" s="16">
        <f t="shared" si="36"/>
        <v>2.8799999999993275E-3</v>
      </c>
    </row>
    <row r="97" spans="1:40" x14ac:dyDescent="0.2">
      <c r="A97" s="93">
        <v>409</v>
      </c>
      <c r="B97" s="93" t="s">
        <v>32</v>
      </c>
      <c r="C97" s="93"/>
      <c r="D97" s="93"/>
      <c r="E97" s="100">
        <v>57.5</v>
      </c>
      <c r="F97" s="48">
        <v>5720</v>
      </c>
      <c r="G97" s="48">
        <v>6075</v>
      </c>
      <c r="H97" s="123">
        <f>G97-F97</f>
        <v>355</v>
      </c>
      <c r="I97" s="121">
        <f t="shared" si="50"/>
        <v>185.79</v>
      </c>
      <c r="J97" s="121">
        <f t="shared" si="51"/>
        <v>37.159999999999997</v>
      </c>
      <c r="K97" s="122">
        <f>I97+J97</f>
        <v>222.95</v>
      </c>
      <c r="L97" s="121"/>
      <c r="M97" s="121">
        <f t="shared" si="42"/>
        <v>0</v>
      </c>
      <c r="N97" s="101">
        <v>721</v>
      </c>
      <c r="O97" s="41">
        <f>ROUND((N97*$B$4),2)</f>
        <v>121.47</v>
      </c>
      <c r="P97" s="41">
        <f>ROUND((O97*0.2),2)</f>
        <v>24.29</v>
      </c>
      <c r="Q97" s="129">
        <f>O97+P97</f>
        <v>145.76</v>
      </c>
      <c r="R97" s="41">
        <v>0</v>
      </c>
      <c r="S97" s="50"/>
      <c r="T97" s="50"/>
      <c r="U97" s="43">
        <v>0</v>
      </c>
      <c r="V97" s="43">
        <v>0</v>
      </c>
      <c r="W97" s="43">
        <v>0</v>
      </c>
      <c r="X97" s="136">
        <f t="shared" si="47"/>
        <v>0</v>
      </c>
      <c r="Y97" s="50"/>
      <c r="Z97" s="45">
        <v>0</v>
      </c>
      <c r="AA97" s="45">
        <v>0</v>
      </c>
      <c r="AB97" s="46">
        <f t="shared" si="48"/>
        <v>0</v>
      </c>
      <c r="AC97" s="46">
        <f t="shared" si="49"/>
        <v>0</v>
      </c>
      <c r="AD97" s="57">
        <v>0</v>
      </c>
      <c r="AE97" s="57">
        <v>0</v>
      </c>
      <c r="AF97" s="29"/>
      <c r="AG97" s="31">
        <v>0</v>
      </c>
      <c r="AH97" s="31"/>
      <c r="AI97" s="31"/>
      <c r="AJ97" s="31"/>
      <c r="AK97" s="31"/>
      <c r="AL97" s="33">
        <v>0</v>
      </c>
      <c r="AM97" s="16">
        <f t="shared" si="35"/>
        <v>185.79280000000003</v>
      </c>
      <c r="AN97" s="16">
        <f t="shared" si="36"/>
        <v>-2.8000000000361069E-3</v>
      </c>
    </row>
    <row r="98" spans="1:40" x14ac:dyDescent="0.2">
      <c r="A98" s="93" t="s">
        <v>33</v>
      </c>
      <c r="B98" s="93" t="s">
        <v>32</v>
      </c>
      <c r="C98" s="93"/>
      <c r="D98" s="93"/>
      <c r="E98" s="100">
        <v>20</v>
      </c>
      <c r="F98" s="47">
        <v>11648</v>
      </c>
      <c r="G98" s="47">
        <v>11752</v>
      </c>
      <c r="H98" s="120">
        <f>G98-F98</f>
        <v>104</v>
      </c>
      <c r="I98" s="121">
        <f>ROUND((H98*$B$2),2)</f>
        <v>54.43</v>
      </c>
      <c r="J98" s="121">
        <f t="shared" si="51"/>
        <v>10.89</v>
      </c>
      <c r="K98" s="122">
        <f t="shared" si="41"/>
        <v>65.319999999999993</v>
      </c>
      <c r="L98" s="121"/>
      <c r="M98" s="121">
        <f t="shared" si="42"/>
        <v>0</v>
      </c>
      <c r="N98" s="102"/>
      <c r="O98" s="41">
        <f t="shared" si="43"/>
        <v>0</v>
      </c>
      <c r="P98" s="41">
        <f>ROUND((O98*0.2),2)</f>
        <v>0</v>
      </c>
      <c r="Q98" s="129">
        <f>O98+P98</f>
        <v>0</v>
      </c>
      <c r="R98" s="41">
        <f>ROUND((N98*$B$5),2)</f>
        <v>0</v>
      </c>
      <c r="S98" s="50"/>
      <c r="T98" s="50"/>
      <c r="U98" s="43">
        <v>0</v>
      </c>
      <c r="V98" s="43">
        <v>0</v>
      </c>
      <c r="W98" s="43">
        <v>0</v>
      </c>
      <c r="X98" s="136">
        <f t="shared" si="47"/>
        <v>0</v>
      </c>
      <c r="Y98" s="50"/>
      <c r="Z98" s="45">
        <v>0</v>
      </c>
      <c r="AA98" s="45">
        <v>0</v>
      </c>
      <c r="AB98" s="46">
        <f t="shared" si="48"/>
        <v>0</v>
      </c>
      <c r="AC98" s="46">
        <f t="shared" si="49"/>
        <v>0</v>
      </c>
      <c r="AD98" s="51"/>
      <c r="AE98" s="51"/>
      <c r="AF98" s="29"/>
      <c r="AG98" s="31">
        <v>0</v>
      </c>
      <c r="AH98" s="31"/>
      <c r="AI98" s="31"/>
      <c r="AJ98" s="31"/>
      <c r="AK98" s="31"/>
      <c r="AL98" s="33">
        <v>0</v>
      </c>
      <c r="AM98" s="16">
        <f t="shared" si="35"/>
        <v>54.429440000000007</v>
      </c>
      <c r="AN98" s="16">
        <f t="shared" si="36"/>
        <v>5.5999999999301053E-4</v>
      </c>
    </row>
    <row r="99" spans="1:40" ht="15.75" x14ac:dyDescent="0.25">
      <c r="A99" s="93">
        <v>513</v>
      </c>
      <c r="B99" s="103" t="s">
        <v>242</v>
      </c>
      <c r="C99" s="103"/>
      <c r="D99" s="103"/>
      <c r="E99" s="104">
        <v>9.6999999999999993</v>
      </c>
      <c r="F99" s="51">
        <v>0</v>
      </c>
      <c r="G99" s="51">
        <v>3</v>
      </c>
      <c r="H99" s="120">
        <f>G99-F99</f>
        <v>3</v>
      </c>
      <c r="I99" s="121">
        <f>ROUND((H99*$B$2),2)</f>
        <v>1.57</v>
      </c>
      <c r="J99" s="121">
        <f>ROUND((I99*0.2),2)</f>
        <v>0.31</v>
      </c>
      <c r="K99" s="122">
        <f>I99+J99</f>
        <v>1.8800000000000001</v>
      </c>
      <c r="L99" s="121"/>
      <c r="M99" s="121">
        <f t="shared" si="42"/>
        <v>0</v>
      </c>
      <c r="N99" s="61"/>
      <c r="O99" s="41">
        <f t="shared" si="43"/>
        <v>0</v>
      </c>
      <c r="P99" s="41">
        <f t="shared" si="44"/>
        <v>0</v>
      </c>
      <c r="Q99" s="129">
        <f t="shared" si="45"/>
        <v>0</v>
      </c>
      <c r="R99" s="41">
        <f>ROUND((N99*$B$5),2)</f>
        <v>0</v>
      </c>
      <c r="S99" s="50"/>
      <c r="T99" s="50"/>
      <c r="U99" s="43">
        <v>0</v>
      </c>
      <c r="V99" s="43">
        <v>0</v>
      </c>
      <c r="W99" s="43">
        <v>0</v>
      </c>
      <c r="X99" s="136">
        <f t="shared" si="47"/>
        <v>0</v>
      </c>
      <c r="Y99" s="50"/>
      <c r="Z99" s="45">
        <v>0</v>
      </c>
      <c r="AA99" s="45">
        <v>0</v>
      </c>
      <c r="AB99" s="46">
        <f t="shared" si="48"/>
        <v>0</v>
      </c>
      <c r="AC99" s="46">
        <f t="shared" si="49"/>
        <v>0</v>
      </c>
      <c r="AD99" s="51"/>
      <c r="AE99" s="51"/>
      <c r="AF99" s="29"/>
      <c r="AG99" s="31"/>
      <c r="AH99" s="31"/>
      <c r="AI99" s="31"/>
      <c r="AJ99" s="31"/>
      <c r="AK99" s="31"/>
      <c r="AL99" s="33">
        <v>0</v>
      </c>
      <c r="AM99" s="16">
        <f t="shared" si="35"/>
        <v>1.5700800000000001</v>
      </c>
      <c r="AN99" s="16">
        <f>I99-AM99</f>
        <v>-8.0000000000080007E-5</v>
      </c>
    </row>
    <row r="100" spans="1:40" s="23" customFormat="1" x14ac:dyDescent="0.2">
      <c r="A100" s="105"/>
      <c r="B100" s="105" t="s">
        <v>49</v>
      </c>
      <c r="C100" s="105"/>
      <c r="D100" s="105"/>
      <c r="E100" s="106"/>
      <c r="F100" s="107"/>
      <c r="G100" s="107"/>
      <c r="H100" s="107">
        <f>SUM(H88:H99)</f>
        <v>2367</v>
      </c>
      <c r="I100" s="107">
        <f>SUM(I88:I99)</f>
        <v>1238.7900000000002</v>
      </c>
      <c r="J100" s="107">
        <f>SUM(J88:J99)+0.01</f>
        <v>247.76</v>
      </c>
      <c r="K100" s="107">
        <f>SUM(K88:K99)+0.01</f>
        <v>1486.5500000000002</v>
      </c>
      <c r="L100" s="107">
        <f t="shared" ref="L100:Q100" si="52">SUM(L88:L99)</f>
        <v>0</v>
      </c>
      <c r="M100" s="107">
        <f t="shared" si="52"/>
        <v>0</v>
      </c>
      <c r="N100" s="156">
        <f t="shared" si="52"/>
        <v>721</v>
      </c>
      <c r="O100" s="107">
        <f t="shared" si="52"/>
        <v>121.47</v>
      </c>
      <c r="P100" s="107">
        <f t="shared" si="52"/>
        <v>24.29</v>
      </c>
      <c r="Q100" s="107">
        <f t="shared" si="52"/>
        <v>145.76</v>
      </c>
      <c r="R100" s="144">
        <v>0</v>
      </c>
      <c r="S100" s="107">
        <f t="shared" ref="S100:Z100" si="53">SUM(S88:S99)</f>
        <v>1832</v>
      </c>
      <c r="T100" s="107">
        <f t="shared" si="53"/>
        <v>1832</v>
      </c>
      <c r="U100" s="107">
        <f t="shared" si="53"/>
        <v>68</v>
      </c>
      <c r="V100" s="107">
        <f>SUM(V88:V99)-0.03</f>
        <v>322.08000000000004</v>
      </c>
      <c r="W100" s="107">
        <f>SUM(W88:W99)-0.01</f>
        <v>64.41</v>
      </c>
      <c r="X100" s="107">
        <f>SUM(X88:X99)-0.04</f>
        <v>386.49</v>
      </c>
      <c r="Y100" s="107">
        <f t="shared" si="53"/>
        <v>8.16</v>
      </c>
      <c r="Z100" s="107">
        <f t="shared" si="53"/>
        <v>22.78</v>
      </c>
      <c r="AA100" s="107">
        <f>SUM(AA88:AA99)-0.02</f>
        <v>4.54</v>
      </c>
      <c r="AB100" s="107">
        <f>SUM(AB88:AB99)-0.02</f>
        <v>27.32</v>
      </c>
      <c r="AC100" s="107">
        <f>SUM(AC88:AC99)-0.06</f>
        <v>413.81000000000006</v>
      </c>
      <c r="AD100" s="107">
        <f t="shared" ref="AD100:AL100" si="54">SUM(AD88:AD99)</f>
        <v>0</v>
      </c>
      <c r="AE100" s="107">
        <f t="shared" si="54"/>
        <v>0</v>
      </c>
      <c r="AF100" s="107">
        <f t="shared" si="54"/>
        <v>0</v>
      </c>
      <c r="AG100" s="107">
        <f t="shared" si="54"/>
        <v>0</v>
      </c>
      <c r="AH100" s="107">
        <f t="shared" si="54"/>
        <v>0</v>
      </c>
      <c r="AI100" s="107">
        <f t="shared" si="54"/>
        <v>0</v>
      </c>
      <c r="AJ100" s="107">
        <f t="shared" si="54"/>
        <v>0</v>
      </c>
      <c r="AK100" s="107">
        <f t="shared" si="54"/>
        <v>0</v>
      </c>
      <c r="AL100" s="107">
        <f t="shared" si="54"/>
        <v>0</v>
      </c>
      <c r="AM100" s="16">
        <f t="shared" si="35"/>
        <v>1238.79312</v>
      </c>
      <c r="AN100" s="16">
        <f t="shared" si="36"/>
        <v>-3.1199999998534622E-3</v>
      </c>
    </row>
    <row r="101" spans="1:40" s="21" customFormat="1" x14ac:dyDescent="0.2">
      <c r="A101" s="108"/>
      <c r="B101" s="109" t="s">
        <v>0</v>
      </c>
      <c r="C101" s="109"/>
      <c r="D101" s="109"/>
      <c r="E101" s="110"/>
      <c r="F101" s="110"/>
      <c r="G101" s="83" t="s">
        <v>35</v>
      </c>
      <c r="H101" s="149">
        <f t="shared" ref="H101:P101" si="55">H100+H87</f>
        <v>18560</v>
      </c>
      <c r="I101" s="83">
        <f t="shared" si="55"/>
        <v>9713.5600000000031</v>
      </c>
      <c r="J101" s="83">
        <f>J100+J87</f>
        <v>1942.71</v>
      </c>
      <c r="K101" s="83">
        <f t="shared" si="55"/>
        <v>11656.269999999997</v>
      </c>
      <c r="L101" s="83">
        <f t="shared" si="55"/>
        <v>5851</v>
      </c>
      <c r="M101" s="83">
        <f>M100+M87</f>
        <v>551.19000000000005</v>
      </c>
      <c r="N101" s="149">
        <f t="shared" si="55"/>
        <v>27414</v>
      </c>
      <c r="O101" s="83">
        <f>O100+O87+0.01</f>
        <v>4618.6600000000026</v>
      </c>
      <c r="P101" s="83">
        <f t="shared" si="55"/>
        <v>923.7299999999999</v>
      </c>
      <c r="Q101" s="83">
        <f>Q100+Q87+0.01</f>
        <v>5542.39</v>
      </c>
      <c r="R101" s="145">
        <f>R86</f>
        <v>221.27999999999992</v>
      </c>
      <c r="S101" s="83">
        <f t="shared" ref="S101:AL101" si="56">S100+S87</f>
        <v>5386</v>
      </c>
      <c r="T101" s="83">
        <f t="shared" si="56"/>
        <v>5433</v>
      </c>
      <c r="U101" s="83">
        <f t="shared" si="56"/>
        <v>114</v>
      </c>
      <c r="V101" s="83">
        <f t="shared" si="56"/>
        <v>540</v>
      </c>
      <c r="W101" s="83">
        <f t="shared" si="56"/>
        <v>107.99</v>
      </c>
      <c r="X101" s="83">
        <f t="shared" si="56"/>
        <v>647.99</v>
      </c>
      <c r="Y101" s="83">
        <f t="shared" si="56"/>
        <v>13.68</v>
      </c>
      <c r="Z101" s="83">
        <f t="shared" si="56"/>
        <v>38.19</v>
      </c>
      <c r="AA101" s="83">
        <f t="shared" si="56"/>
        <v>7.64</v>
      </c>
      <c r="AB101" s="83">
        <f t="shared" si="56"/>
        <v>45.81</v>
      </c>
      <c r="AC101" s="83">
        <f t="shared" si="56"/>
        <v>693.82</v>
      </c>
      <c r="AD101" s="83">
        <f t="shared" si="56"/>
        <v>28.94</v>
      </c>
      <c r="AE101" s="83">
        <f t="shared" si="56"/>
        <v>81.95</v>
      </c>
      <c r="AF101" s="83">
        <f t="shared" si="56"/>
        <v>0</v>
      </c>
      <c r="AG101" s="83">
        <f t="shared" si="56"/>
        <v>5611.106241935483</v>
      </c>
      <c r="AH101" s="83">
        <f t="shared" si="56"/>
        <v>502.7</v>
      </c>
      <c r="AI101" s="83">
        <f t="shared" si="56"/>
        <v>13205.22</v>
      </c>
      <c r="AJ101" s="83">
        <f t="shared" si="56"/>
        <v>2641.0200000000004</v>
      </c>
      <c r="AK101" s="83">
        <f t="shared" si="56"/>
        <v>22258.786241935486</v>
      </c>
      <c r="AL101" s="83">
        <f t="shared" si="56"/>
        <v>801.4100000000002</v>
      </c>
      <c r="AM101" s="16">
        <f t="shared" si="35"/>
        <v>9713.5616000000009</v>
      </c>
      <c r="AN101" s="16">
        <f t="shared" si="36"/>
        <v>-1.5999999977793777E-3</v>
      </c>
    </row>
    <row r="102" spans="1:40" x14ac:dyDescent="0.2">
      <c r="H102" s="5">
        <v>15314</v>
      </c>
      <c r="S102" s="5"/>
      <c r="T102" s="5"/>
      <c r="U102" s="17" t="s">
        <v>222</v>
      </c>
      <c r="V102" s="17">
        <v>-1.35</v>
      </c>
      <c r="Y102" s="5" t="s">
        <v>28</v>
      </c>
      <c r="AA102" s="20">
        <v>-0.28999999999999998</v>
      </c>
      <c r="AC102" s="26">
        <v>-1.64</v>
      </c>
      <c r="AD102" s="8">
        <f>AD101+AE101</f>
        <v>110.89</v>
      </c>
      <c r="AE102" s="8"/>
      <c r="AF102" s="8"/>
    </row>
    <row r="103" spans="1:40" x14ac:dyDescent="0.2">
      <c r="H103" s="8">
        <f>H101-H102</f>
        <v>3246</v>
      </c>
      <c r="Q103" s="130"/>
      <c r="S103" s="5"/>
      <c r="T103" s="5"/>
      <c r="U103" s="158" t="s">
        <v>224</v>
      </c>
      <c r="V103" s="158"/>
      <c r="W103" s="158"/>
      <c r="X103" s="159"/>
      <c r="Y103" s="160"/>
      <c r="Z103" s="161"/>
      <c r="AA103" s="161"/>
      <c r="AB103" s="162"/>
      <c r="AC103" s="162"/>
      <c r="AD103" s="6"/>
      <c r="AE103" s="6"/>
      <c r="AF103" s="6"/>
    </row>
    <row r="104" spans="1:40" x14ac:dyDescent="0.2">
      <c r="T104" s="5"/>
      <c r="V104" s="22" t="s">
        <v>225</v>
      </c>
      <c r="W104" s="22" t="s">
        <v>244</v>
      </c>
      <c r="Y104" s="7"/>
      <c r="AD104" s="8"/>
      <c r="AE104" s="8"/>
      <c r="AF104" s="8"/>
    </row>
    <row r="105" spans="1:40" x14ac:dyDescent="0.2">
      <c r="N105" s="21"/>
      <c r="AD105" s="9"/>
      <c r="AE105" s="9"/>
      <c r="AF105" s="9"/>
    </row>
    <row r="106" spans="1:40" x14ac:dyDescent="0.2">
      <c r="B106" s="14" t="s">
        <v>55</v>
      </c>
      <c r="E106" s="12">
        <f>M101+R101+AD101</f>
        <v>801.41000000000008</v>
      </c>
      <c r="N106" s="21"/>
      <c r="AD106" s="11"/>
      <c r="AE106" s="11"/>
      <c r="AF106" s="11"/>
    </row>
    <row r="107" spans="1:40" x14ac:dyDescent="0.2">
      <c r="B107" s="14" t="s">
        <v>47</v>
      </c>
      <c r="E107" s="12">
        <f>SUM(Q88:Q99)</f>
        <v>145.76</v>
      </c>
      <c r="N107" s="21"/>
      <c r="S107" s="2"/>
      <c r="Y107" s="9"/>
    </row>
    <row r="108" spans="1:40" x14ac:dyDescent="0.2">
      <c r="B108" s="14" t="s">
        <v>48</v>
      </c>
      <c r="D108" s="139"/>
      <c r="E108" s="12">
        <f>SUM(K88:K99)</f>
        <v>1486.5400000000002</v>
      </c>
      <c r="N108" s="21"/>
      <c r="S108" s="2"/>
    </row>
    <row r="109" spans="1:40" x14ac:dyDescent="0.2">
      <c r="B109" s="14" t="s">
        <v>53</v>
      </c>
      <c r="E109" s="12">
        <f>Q87</f>
        <v>5396.62</v>
      </c>
      <c r="N109" s="21"/>
    </row>
    <row r="110" spans="1:40" x14ac:dyDescent="0.2">
      <c r="B110" s="14" t="s">
        <v>54</v>
      </c>
      <c r="E110" s="12">
        <f>K87</f>
        <v>10169.719999999998</v>
      </c>
      <c r="N110" s="21"/>
    </row>
    <row r="111" spans="1:40" x14ac:dyDescent="0.2">
      <c r="B111" s="14" t="s">
        <v>56</v>
      </c>
      <c r="E111" s="12">
        <f>AG87</f>
        <v>5611.106241935483</v>
      </c>
      <c r="N111" s="21"/>
    </row>
    <row r="112" spans="1:40" x14ac:dyDescent="0.2">
      <c r="N112" s="21"/>
    </row>
    <row r="113" spans="1:38" s="16" customFormat="1" x14ac:dyDescent="0.2">
      <c r="A113" s="15"/>
      <c r="B113" s="14"/>
      <c r="C113" s="14"/>
      <c r="D113" s="14"/>
      <c r="E113" s="3"/>
      <c r="F113" s="3"/>
      <c r="G113" s="3"/>
      <c r="H113" s="5"/>
      <c r="I113" s="17"/>
      <c r="J113" s="17"/>
      <c r="K113" s="23"/>
      <c r="L113" s="17"/>
      <c r="M113" s="17"/>
      <c r="N113" s="21"/>
      <c r="O113" s="17"/>
      <c r="P113" s="17"/>
      <c r="Q113" s="23"/>
      <c r="R113" s="17"/>
      <c r="S113" s="3"/>
      <c r="T113" s="3"/>
      <c r="U113" s="17"/>
      <c r="V113" s="17"/>
      <c r="W113" s="17"/>
      <c r="X113" s="23"/>
      <c r="Y113" s="5"/>
      <c r="Z113" s="20"/>
      <c r="AA113" s="20"/>
      <c r="AB113" s="26"/>
      <c r="AC113" s="26"/>
      <c r="AD113" s="5"/>
      <c r="AE113" s="5"/>
      <c r="AF113" s="5"/>
      <c r="AG113" s="17"/>
      <c r="AH113" s="17"/>
      <c r="AI113" s="17"/>
      <c r="AJ113" s="17"/>
      <c r="AK113" s="17"/>
      <c r="AL113" s="24"/>
    </row>
    <row r="114" spans="1:38" s="16" customFormat="1" x14ac:dyDescent="0.2">
      <c r="A114" s="15"/>
      <c r="B114" s="14"/>
      <c r="C114" s="14"/>
      <c r="D114" s="14"/>
      <c r="E114" s="3"/>
      <c r="F114" s="3"/>
      <c r="G114" s="3"/>
      <c r="H114" s="5"/>
      <c r="I114" s="17"/>
      <c r="J114" s="17"/>
      <c r="K114" s="23"/>
      <c r="L114" s="17"/>
      <c r="M114" s="17"/>
      <c r="N114" s="21"/>
      <c r="O114" s="17"/>
      <c r="P114" s="17"/>
      <c r="Q114" s="23"/>
      <c r="R114" s="17"/>
      <c r="S114" s="3"/>
      <c r="T114" s="3"/>
      <c r="U114" s="17"/>
      <c r="V114" s="17"/>
      <c r="W114" s="17"/>
      <c r="X114" s="23"/>
      <c r="Y114" s="5"/>
      <c r="Z114" s="20"/>
      <c r="AA114" s="20"/>
      <c r="AB114" s="26"/>
      <c r="AC114" s="26"/>
      <c r="AD114" s="5"/>
      <c r="AE114" s="5"/>
      <c r="AF114" s="5"/>
      <c r="AG114" s="17"/>
      <c r="AH114" s="17"/>
      <c r="AI114" s="17"/>
      <c r="AJ114" s="17"/>
      <c r="AK114" s="17"/>
      <c r="AL114" s="24"/>
    </row>
    <row r="115" spans="1:38" s="16" customFormat="1" x14ac:dyDescent="0.2">
      <c r="A115" s="15"/>
      <c r="B115" s="14"/>
      <c r="C115" s="14"/>
      <c r="D115" s="14"/>
      <c r="E115" s="3"/>
      <c r="F115" s="3"/>
      <c r="G115" s="3"/>
      <c r="H115" s="5"/>
      <c r="I115" s="17"/>
      <c r="J115" s="17"/>
      <c r="K115" s="23"/>
      <c r="L115" s="17"/>
      <c r="M115" s="17"/>
      <c r="N115" s="4"/>
      <c r="O115" s="17"/>
      <c r="P115" s="17"/>
      <c r="Q115" s="23"/>
      <c r="R115" s="17"/>
      <c r="S115" s="3"/>
      <c r="T115" s="3"/>
      <c r="U115" s="17"/>
      <c r="V115" s="17"/>
      <c r="W115" s="17"/>
      <c r="X115" s="23"/>
      <c r="Y115" s="5"/>
      <c r="Z115" s="20"/>
      <c r="AA115" s="20"/>
      <c r="AB115" s="26"/>
      <c r="AC115" s="26"/>
      <c r="AD115" s="5"/>
      <c r="AE115" s="5"/>
      <c r="AF115" s="5"/>
      <c r="AG115" s="17"/>
      <c r="AH115" s="17"/>
      <c r="AI115" s="17"/>
      <c r="AJ115" s="17"/>
      <c r="AK115" s="17"/>
      <c r="AL115" s="24"/>
    </row>
    <row r="116" spans="1:38" s="16" customFormat="1" x14ac:dyDescent="0.2">
      <c r="A116" s="15"/>
      <c r="B116" s="14" t="s">
        <v>174</v>
      </c>
      <c r="C116" s="14"/>
      <c r="D116" s="14"/>
      <c r="E116" s="3"/>
      <c r="F116" s="3"/>
      <c r="G116" s="3"/>
      <c r="H116" s="5"/>
      <c r="I116" s="17"/>
      <c r="J116" s="17"/>
      <c r="K116" s="23"/>
      <c r="L116" s="17"/>
      <c r="M116" s="17"/>
      <c r="N116" s="3"/>
      <c r="O116" s="17"/>
      <c r="P116" s="17"/>
      <c r="Q116" s="23"/>
      <c r="R116" s="17"/>
      <c r="S116" s="3"/>
      <c r="T116" s="3"/>
      <c r="U116" s="17"/>
      <c r="V116" s="17"/>
      <c r="W116" s="17"/>
      <c r="X116" s="23"/>
      <c r="Y116" s="5"/>
      <c r="Z116" s="20"/>
      <c r="AA116" s="20"/>
      <c r="AB116" s="26"/>
      <c r="AC116" s="26"/>
      <c r="AD116" s="5"/>
      <c r="AE116" s="5"/>
      <c r="AF116" s="5"/>
      <c r="AG116" s="17"/>
      <c r="AH116" s="17"/>
      <c r="AI116" s="17"/>
      <c r="AJ116" s="17"/>
      <c r="AK116" s="17"/>
      <c r="AL116" s="24"/>
    </row>
    <row r="117" spans="1:38" s="16" customFormat="1" x14ac:dyDescent="0.2">
      <c r="A117" s="15"/>
      <c r="B117" s="14"/>
      <c r="C117" s="14"/>
      <c r="D117" s="14"/>
      <c r="E117" s="3"/>
      <c r="F117" s="3"/>
      <c r="G117" s="3"/>
      <c r="H117" s="5"/>
      <c r="I117" s="17"/>
      <c r="J117" s="17"/>
      <c r="K117" s="23"/>
      <c r="L117" s="17"/>
      <c r="M117" s="17"/>
      <c r="N117" s="3"/>
      <c r="O117" s="17"/>
      <c r="P117" s="17"/>
      <c r="Q117" s="23"/>
      <c r="R117" s="17"/>
      <c r="S117" s="3"/>
      <c r="T117" s="3"/>
      <c r="U117" s="17"/>
      <c r="V117" s="17"/>
      <c r="W117" s="17"/>
      <c r="X117" s="23"/>
      <c r="Y117" s="5"/>
      <c r="Z117" s="20"/>
      <c r="AA117" s="20"/>
      <c r="AB117" s="26"/>
      <c r="AC117" s="26"/>
      <c r="AD117" s="5"/>
      <c r="AE117" s="5"/>
      <c r="AF117" s="5"/>
      <c r="AG117" s="17"/>
      <c r="AH117" s="17"/>
      <c r="AI117" s="17"/>
      <c r="AJ117" s="17"/>
      <c r="AK117" s="17"/>
      <c r="AL117" s="24"/>
    </row>
    <row r="118" spans="1:38" s="16" customFormat="1" x14ac:dyDescent="0.2">
      <c r="A118" s="15"/>
      <c r="B118" s="14" t="s">
        <v>234</v>
      </c>
      <c r="C118" s="14"/>
      <c r="D118" s="14"/>
      <c r="E118" s="3"/>
      <c r="F118" s="3"/>
      <c r="G118" s="3"/>
      <c r="H118" s="5"/>
      <c r="I118" s="17"/>
      <c r="J118" s="17"/>
      <c r="K118" s="23"/>
      <c r="L118" s="17"/>
      <c r="M118" s="17"/>
      <c r="N118" s="3"/>
      <c r="O118" s="17"/>
      <c r="P118" s="17"/>
      <c r="Q118" s="23"/>
      <c r="R118" s="17"/>
      <c r="S118" s="3"/>
      <c r="T118" s="3"/>
      <c r="U118" s="17"/>
      <c r="V118" s="17"/>
      <c r="W118" s="17"/>
      <c r="X118" s="23"/>
      <c r="Y118" s="5"/>
      <c r="Z118" s="20"/>
      <c r="AA118" s="20"/>
      <c r="AB118" s="26"/>
      <c r="AC118" s="26"/>
      <c r="AD118" s="5"/>
      <c r="AE118" s="5"/>
      <c r="AF118" s="5"/>
      <c r="AG118" s="17"/>
      <c r="AH118" s="17"/>
      <c r="AI118" s="17"/>
      <c r="AJ118" s="17"/>
      <c r="AK118" s="17"/>
      <c r="AL118" s="24"/>
    </row>
    <row r="119" spans="1:38" s="16" customFormat="1" x14ac:dyDescent="0.2">
      <c r="A119" s="15"/>
      <c r="B119" s="14" t="s">
        <v>235</v>
      </c>
      <c r="C119" s="14"/>
      <c r="D119" s="14"/>
      <c r="E119" s="3"/>
      <c r="F119" s="3"/>
      <c r="G119" s="3"/>
      <c r="H119" s="5"/>
      <c r="I119" s="17"/>
      <c r="J119" s="17"/>
      <c r="K119" s="23"/>
      <c r="L119" s="17"/>
      <c r="M119" s="17"/>
      <c r="N119" s="3"/>
      <c r="O119" s="17"/>
      <c r="P119" s="17"/>
      <c r="Q119" s="23"/>
      <c r="R119" s="17"/>
      <c r="S119" s="3"/>
      <c r="T119" s="3"/>
      <c r="U119" s="17"/>
      <c r="V119" s="17"/>
      <c r="W119" s="17"/>
      <c r="X119" s="23"/>
      <c r="Y119" s="5"/>
      <c r="Z119" s="20"/>
      <c r="AA119" s="20"/>
      <c r="AB119" s="26"/>
      <c r="AC119" s="26"/>
      <c r="AD119" s="5"/>
      <c r="AE119" s="5"/>
      <c r="AF119" s="5"/>
      <c r="AG119" s="17"/>
      <c r="AH119" s="17"/>
      <c r="AI119" s="17"/>
      <c r="AJ119" s="17"/>
      <c r="AK119" s="17"/>
      <c r="AL119" s="24"/>
    </row>
    <row r="120" spans="1:38" s="16" customFormat="1" x14ac:dyDescent="0.2">
      <c r="A120" s="15"/>
      <c r="B120" s="14" t="s">
        <v>233</v>
      </c>
      <c r="C120" s="14"/>
      <c r="D120" s="14"/>
      <c r="E120" s="3"/>
      <c r="F120" s="3"/>
      <c r="G120" s="3"/>
      <c r="H120" s="5"/>
      <c r="I120" s="17"/>
      <c r="J120" s="17"/>
      <c r="K120" s="23"/>
      <c r="L120" s="17"/>
      <c r="M120" s="17"/>
      <c r="N120" s="3"/>
      <c r="O120" s="17"/>
      <c r="P120" s="17"/>
      <c r="Q120" s="23"/>
      <c r="R120" s="17"/>
      <c r="S120" s="3"/>
      <c r="T120" s="3"/>
      <c r="U120" s="17"/>
      <c r="V120" s="17"/>
      <c r="W120" s="17"/>
      <c r="X120" s="23"/>
      <c r="Y120" s="5"/>
      <c r="Z120" s="20"/>
      <c r="AA120" s="20"/>
      <c r="AB120" s="26"/>
      <c r="AC120" s="26"/>
      <c r="AD120" s="5"/>
      <c r="AE120" s="5"/>
      <c r="AF120" s="5"/>
      <c r="AG120" s="17"/>
      <c r="AH120" s="17"/>
      <c r="AI120" s="17"/>
      <c r="AJ120" s="17"/>
      <c r="AK120" s="17"/>
      <c r="AL120" s="24"/>
    </row>
    <row r="121" spans="1:38" s="16" customFormat="1" x14ac:dyDescent="0.2">
      <c r="A121" s="15"/>
      <c r="B121" s="14" t="s">
        <v>236</v>
      </c>
      <c r="C121" s="14"/>
      <c r="D121" s="14"/>
      <c r="E121" s="3"/>
      <c r="F121" s="3"/>
      <c r="G121" s="3"/>
      <c r="H121" s="5"/>
      <c r="I121" s="17"/>
      <c r="J121" s="17"/>
      <c r="K121" s="23"/>
      <c r="L121" s="17"/>
      <c r="M121" s="17"/>
      <c r="N121" s="3"/>
      <c r="O121" s="17"/>
      <c r="P121" s="17"/>
      <c r="Q121" s="23"/>
      <c r="R121" s="17"/>
      <c r="S121" s="3"/>
      <c r="T121" s="3"/>
      <c r="U121" s="17"/>
      <c r="V121" s="17"/>
      <c r="W121" s="17"/>
      <c r="X121" s="23"/>
      <c r="Y121" s="5"/>
      <c r="Z121" s="20"/>
      <c r="AA121" s="20"/>
      <c r="AB121" s="26"/>
      <c r="AC121" s="26"/>
      <c r="AD121" s="5"/>
      <c r="AE121" s="5"/>
      <c r="AF121" s="5"/>
      <c r="AG121" s="17"/>
      <c r="AH121" s="17"/>
      <c r="AI121" s="17"/>
      <c r="AJ121" s="17"/>
      <c r="AK121" s="17"/>
      <c r="AL121" s="24"/>
    </row>
    <row r="122" spans="1:38" s="16" customFormat="1" x14ac:dyDescent="0.2">
      <c r="A122" s="15"/>
      <c r="B122" s="14" t="s">
        <v>231</v>
      </c>
      <c r="C122" s="14"/>
      <c r="D122" s="14"/>
      <c r="E122" s="3"/>
      <c r="F122" s="3"/>
      <c r="G122" s="3"/>
      <c r="H122" s="5"/>
      <c r="I122" s="17"/>
      <c r="J122" s="17"/>
      <c r="K122" s="23"/>
      <c r="L122" s="17"/>
      <c r="M122" s="17"/>
      <c r="N122" s="3"/>
      <c r="O122" s="17"/>
      <c r="P122" s="17"/>
      <c r="Q122" s="23"/>
      <c r="R122" s="17"/>
      <c r="S122" s="3"/>
      <c r="T122" s="3"/>
      <c r="U122" s="17"/>
      <c r="V122" s="17"/>
      <c r="W122" s="17"/>
      <c r="X122" s="23"/>
      <c r="Y122" s="5"/>
      <c r="Z122" s="20"/>
      <c r="AA122" s="20"/>
      <c r="AB122" s="26"/>
      <c r="AC122" s="26"/>
      <c r="AD122" s="5"/>
      <c r="AE122" s="5"/>
      <c r="AF122" s="5"/>
      <c r="AG122" s="17"/>
      <c r="AH122" s="17"/>
      <c r="AI122" s="17"/>
      <c r="AJ122" s="17"/>
      <c r="AK122" s="17"/>
      <c r="AL122" s="24"/>
    </row>
    <row r="123" spans="1:38" s="16" customFormat="1" x14ac:dyDescent="0.2">
      <c r="A123" s="15"/>
      <c r="B123" s="14" t="s">
        <v>232</v>
      </c>
      <c r="C123" s="14"/>
      <c r="D123" s="14"/>
      <c r="E123" s="3"/>
      <c r="F123" s="3"/>
      <c r="G123" s="3"/>
      <c r="H123" s="5"/>
      <c r="I123" s="17"/>
      <c r="J123" s="17"/>
      <c r="K123" s="23"/>
      <c r="L123" s="17"/>
      <c r="M123" s="17"/>
      <c r="N123" s="3"/>
      <c r="O123" s="17"/>
      <c r="P123" s="17"/>
      <c r="Q123" s="23"/>
      <c r="R123" s="17"/>
      <c r="S123" s="3"/>
      <c r="T123" s="3"/>
      <c r="U123" s="17"/>
      <c r="V123" s="17"/>
      <c r="W123" s="17"/>
      <c r="X123" s="23"/>
      <c r="Y123" s="5"/>
      <c r="Z123" s="20"/>
      <c r="AA123" s="20"/>
      <c r="AB123" s="26"/>
      <c r="AC123" s="26"/>
      <c r="AD123" s="5"/>
      <c r="AE123" s="5"/>
      <c r="AF123" s="5"/>
      <c r="AG123" s="17"/>
      <c r="AH123" s="17"/>
      <c r="AI123" s="17"/>
      <c r="AJ123" s="17"/>
      <c r="AK123" s="17"/>
      <c r="AL123" s="24"/>
    </row>
    <row r="124" spans="1:38" s="16" customFormat="1" x14ac:dyDescent="0.2">
      <c r="A124" s="15"/>
      <c r="B124" s="14" t="s">
        <v>245</v>
      </c>
      <c r="C124" s="14"/>
      <c r="D124" s="14"/>
      <c r="E124" s="3"/>
      <c r="F124" s="3"/>
      <c r="G124" s="3"/>
      <c r="H124" s="5"/>
      <c r="I124" s="17"/>
      <c r="J124" s="17"/>
      <c r="K124" s="23"/>
      <c r="L124" s="17"/>
      <c r="M124" s="17"/>
      <c r="N124" s="3"/>
      <c r="O124" s="17"/>
      <c r="P124" s="17"/>
      <c r="Q124" s="23"/>
      <c r="R124" s="17"/>
      <c r="S124" s="3"/>
      <c r="T124" s="3"/>
      <c r="U124" s="17"/>
      <c r="V124" s="17"/>
      <c r="W124" s="17"/>
      <c r="X124" s="23"/>
      <c r="Y124" s="5"/>
      <c r="Z124" s="20"/>
      <c r="AA124" s="20"/>
      <c r="AB124" s="26"/>
      <c r="AC124" s="26"/>
      <c r="AD124" s="5"/>
      <c r="AE124" s="5"/>
      <c r="AF124" s="5"/>
      <c r="AG124" s="17"/>
      <c r="AH124" s="17"/>
      <c r="AI124" s="17"/>
      <c r="AJ124" s="17"/>
      <c r="AK124" s="17"/>
      <c r="AL124" s="24"/>
    </row>
    <row r="129" spans="1:40" s="16" customFormat="1" x14ac:dyDescent="0.2">
      <c r="A129" s="15"/>
      <c r="B129" s="14"/>
      <c r="C129" s="14"/>
      <c r="D129" s="14"/>
      <c r="E129" s="3"/>
      <c r="F129" s="3"/>
      <c r="G129" s="3"/>
      <c r="H129" s="5"/>
      <c r="I129" s="17"/>
      <c r="J129" s="17"/>
      <c r="K129" s="23"/>
      <c r="L129" s="17"/>
      <c r="M129" s="17"/>
      <c r="N129" s="3"/>
      <c r="O129" s="17"/>
      <c r="P129" s="17"/>
      <c r="Q129" s="23"/>
      <c r="R129" s="17"/>
      <c r="S129" s="3"/>
      <c r="T129" s="3"/>
      <c r="U129" s="17"/>
      <c r="V129" s="17"/>
      <c r="W129" s="17"/>
      <c r="X129" s="23"/>
      <c r="Y129" s="3"/>
      <c r="Z129" s="20"/>
      <c r="AA129" s="20"/>
      <c r="AB129" s="26"/>
      <c r="AC129" s="26"/>
      <c r="AD129" s="3"/>
      <c r="AE129" s="3"/>
      <c r="AF129" s="3"/>
      <c r="AG129" s="17"/>
      <c r="AH129" s="17"/>
      <c r="AI129" s="17"/>
      <c r="AJ129" s="17"/>
      <c r="AK129" s="17"/>
      <c r="AL129" s="24"/>
    </row>
    <row r="130" spans="1:40" s="16" customFormat="1" x14ac:dyDescent="0.2">
      <c r="A130" s="15"/>
      <c r="B130" s="14"/>
      <c r="C130" s="14"/>
      <c r="D130" s="14"/>
      <c r="E130" s="3"/>
      <c r="F130" s="3"/>
      <c r="G130" s="3"/>
      <c r="H130" s="5"/>
      <c r="I130" s="17"/>
      <c r="J130" s="17"/>
      <c r="K130" s="23"/>
      <c r="L130" s="17"/>
      <c r="M130" s="17"/>
      <c r="N130" s="3"/>
      <c r="O130" s="17"/>
      <c r="P130" s="17"/>
      <c r="Q130" s="23"/>
      <c r="R130" s="17"/>
      <c r="S130" s="21"/>
      <c r="T130" s="21"/>
      <c r="U130" s="17"/>
      <c r="V130" s="17"/>
      <c r="W130" s="17"/>
      <c r="X130" s="23"/>
      <c r="Y130" s="3"/>
      <c r="Z130" s="20"/>
      <c r="AA130" s="20"/>
      <c r="AB130" s="26"/>
      <c r="AC130" s="26"/>
      <c r="AD130" s="3"/>
      <c r="AE130" s="3"/>
      <c r="AF130" s="3"/>
      <c r="AG130" s="17"/>
      <c r="AH130" s="17"/>
      <c r="AI130" s="17"/>
      <c r="AJ130" s="17"/>
      <c r="AK130" s="17"/>
      <c r="AL130" s="24"/>
    </row>
    <row r="131" spans="1:40" s="16" customFormat="1" x14ac:dyDescent="0.2">
      <c r="A131" s="15"/>
      <c r="B131" s="14"/>
      <c r="C131" s="14"/>
      <c r="D131" s="14"/>
      <c r="E131" s="3"/>
      <c r="F131" s="3"/>
      <c r="G131" s="3"/>
      <c r="H131" s="5"/>
      <c r="I131" s="17"/>
      <c r="J131" s="17"/>
      <c r="K131" s="23"/>
      <c r="L131" s="17"/>
      <c r="M131" s="17"/>
      <c r="N131" s="3"/>
      <c r="O131" s="17"/>
      <c r="P131" s="17"/>
      <c r="Q131" s="23"/>
      <c r="R131" s="17"/>
      <c r="S131" s="21"/>
      <c r="T131" s="21"/>
      <c r="U131" s="17"/>
      <c r="V131" s="17"/>
      <c r="W131" s="17"/>
      <c r="X131" s="23"/>
      <c r="Y131" s="3"/>
      <c r="Z131" s="20"/>
      <c r="AA131" s="20"/>
      <c r="AB131" s="26"/>
      <c r="AC131" s="26"/>
      <c r="AD131" s="3"/>
      <c r="AE131" s="3"/>
      <c r="AF131" s="3"/>
      <c r="AG131" s="17"/>
      <c r="AH131" s="17"/>
      <c r="AI131" s="17"/>
      <c r="AJ131" s="17"/>
      <c r="AK131" s="17"/>
      <c r="AL131" s="24"/>
    </row>
    <row r="132" spans="1:40" s="16" customFormat="1" x14ac:dyDescent="0.2">
      <c r="A132" s="15"/>
      <c r="B132" s="14"/>
      <c r="C132" s="14"/>
      <c r="D132" s="14"/>
      <c r="E132" s="3"/>
      <c r="F132" s="3"/>
      <c r="G132" s="3"/>
      <c r="H132" s="5"/>
      <c r="I132" s="17"/>
      <c r="J132" s="17"/>
      <c r="K132" s="23"/>
      <c r="L132" s="17"/>
      <c r="M132" s="17"/>
      <c r="N132" s="3"/>
      <c r="O132" s="17"/>
      <c r="P132" s="17"/>
      <c r="Q132" s="23"/>
      <c r="R132" s="17"/>
      <c r="S132" s="21"/>
      <c r="T132" s="21"/>
      <c r="U132" s="17"/>
      <c r="V132" s="17"/>
      <c r="W132" s="17"/>
      <c r="X132" s="23"/>
      <c r="Y132" s="3"/>
      <c r="Z132" s="20"/>
      <c r="AA132" s="20"/>
      <c r="AB132" s="26"/>
      <c r="AC132" s="26"/>
      <c r="AD132" s="3"/>
      <c r="AE132" s="3"/>
      <c r="AF132" s="3"/>
      <c r="AG132" s="17"/>
      <c r="AH132" s="17"/>
      <c r="AI132" s="17"/>
      <c r="AJ132" s="17"/>
      <c r="AK132" s="17"/>
      <c r="AL132" s="24"/>
    </row>
    <row r="133" spans="1:40" s="16" customFormat="1" x14ac:dyDescent="0.2">
      <c r="A133" s="15"/>
      <c r="B133" s="14"/>
      <c r="C133" s="14"/>
      <c r="D133" s="14"/>
      <c r="E133" s="3"/>
      <c r="F133" s="3"/>
      <c r="G133" s="3"/>
      <c r="H133" s="5"/>
      <c r="I133" s="17"/>
      <c r="J133" s="17"/>
      <c r="K133" s="23"/>
      <c r="L133" s="17"/>
      <c r="M133" s="17"/>
      <c r="N133" s="3"/>
      <c r="O133" s="17"/>
      <c r="P133" s="17"/>
      <c r="Q133" s="23"/>
      <c r="R133" s="17"/>
      <c r="S133" s="21"/>
      <c r="T133" s="21"/>
      <c r="U133" s="17"/>
      <c r="V133" s="17"/>
      <c r="W133" s="17"/>
      <c r="X133" s="23"/>
      <c r="Y133" s="3"/>
      <c r="Z133" s="20"/>
      <c r="AA133" s="20"/>
      <c r="AB133" s="26"/>
      <c r="AC133" s="26"/>
      <c r="AD133" s="3"/>
      <c r="AE133" s="3"/>
      <c r="AF133" s="3"/>
      <c r="AG133" s="17"/>
      <c r="AH133" s="17"/>
      <c r="AI133" s="17"/>
      <c r="AJ133" s="17"/>
      <c r="AK133" s="17"/>
      <c r="AL133" s="24"/>
    </row>
    <row r="134" spans="1:40" s="16" customFormat="1" x14ac:dyDescent="0.2">
      <c r="A134" s="15"/>
      <c r="B134" s="14"/>
      <c r="C134" s="14"/>
      <c r="D134" s="14"/>
      <c r="E134" s="3"/>
      <c r="F134" s="3"/>
      <c r="G134" s="3"/>
      <c r="H134" s="5"/>
      <c r="I134" s="17"/>
      <c r="J134" s="17"/>
      <c r="K134" s="23"/>
      <c r="L134" s="17"/>
      <c r="M134" s="17"/>
      <c r="N134" s="3"/>
      <c r="O134" s="17"/>
      <c r="P134" s="17"/>
      <c r="Q134" s="23"/>
      <c r="R134" s="17"/>
      <c r="S134" s="21"/>
      <c r="T134" s="21"/>
      <c r="U134" s="17"/>
      <c r="V134" s="17"/>
      <c r="W134" s="17"/>
      <c r="X134" s="23"/>
      <c r="Y134" s="3"/>
      <c r="Z134" s="20"/>
      <c r="AA134" s="20"/>
      <c r="AB134" s="26"/>
      <c r="AC134" s="26"/>
      <c r="AD134" s="3"/>
      <c r="AE134" s="3"/>
      <c r="AF134" s="3"/>
      <c r="AG134" s="17"/>
      <c r="AH134" s="17"/>
      <c r="AI134" s="17"/>
      <c r="AJ134" s="17"/>
      <c r="AK134" s="17"/>
      <c r="AL134" s="24"/>
    </row>
    <row r="135" spans="1:40" s="17" customFormat="1" x14ac:dyDescent="0.2">
      <c r="A135" s="15"/>
      <c r="B135" s="14"/>
      <c r="C135" s="14"/>
      <c r="D135" s="14"/>
      <c r="E135" s="3"/>
      <c r="F135" s="3"/>
      <c r="G135" s="3"/>
      <c r="H135" s="5"/>
      <c r="K135" s="23"/>
      <c r="N135" s="3"/>
      <c r="Q135" s="23"/>
      <c r="S135" s="21"/>
      <c r="T135" s="21"/>
      <c r="X135" s="23"/>
      <c r="Y135" s="3"/>
      <c r="Z135" s="20"/>
      <c r="AA135" s="20"/>
      <c r="AB135" s="26"/>
      <c r="AC135" s="26"/>
      <c r="AD135" s="3"/>
      <c r="AE135" s="3"/>
      <c r="AF135" s="3"/>
      <c r="AL135" s="24"/>
      <c r="AM135" s="16"/>
      <c r="AN135" s="16"/>
    </row>
    <row r="136" spans="1:40" s="17" customFormat="1" x14ac:dyDescent="0.2">
      <c r="A136" s="15"/>
      <c r="B136" s="14"/>
      <c r="C136" s="14"/>
      <c r="D136" s="14"/>
      <c r="E136" s="3"/>
      <c r="F136" s="3"/>
      <c r="G136" s="3"/>
      <c r="H136" s="5"/>
      <c r="K136" s="23"/>
      <c r="N136" s="3"/>
      <c r="Q136" s="23"/>
      <c r="S136" s="21"/>
      <c r="T136" s="21"/>
      <c r="X136" s="23"/>
      <c r="Y136" s="3"/>
      <c r="Z136" s="20"/>
      <c r="AA136" s="20"/>
      <c r="AB136" s="26"/>
      <c r="AC136" s="26"/>
      <c r="AD136" s="3"/>
      <c r="AE136" s="3"/>
      <c r="AF136" s="3"/>
      <c r="AL136" s="24"/>
      <c r="AM136" s="16"/>
      <c r="AN136" s="16"/>
    </row>
    <row r="137" spans="1:40" s="17" customFormat="1" x14ac:dyDescent="0.2">
      <c r="A137" s="15"/>
      <c r="B137" s="14"/>
      <c r="C137" s="14"/>
      <c r="D137" s="14"/>
      <c r="E137" s="3"/>
      <c r="F137" s="3"/>
      <c r="G137" s="3"/>
      <c r="H137" s="5"/>
      <c r="K137" s="23"/>
      <c r="N137" s="3"/>
      <c r="Q137" s="23"/>
      <c r="S137" s="21"/>
      <c r="T137" s="21"/>
      <c r="X137" s="23"/>
      <c r="Y137" s="3"/>
      <c r="Z137" s="20"/>
      <c r="AA137" s="20"/>
      <c r="AB137" s="26"/>
      <c r="AC137" s="26"/>
      <c r="AD137" s="3"/>
      <c r="AE137" s="3"/>
      <c r="AF137" s="3"/>
      <c r="AL137" s="24"/>
      <c r="AM137" s="16"/>
      <c r="AN137" s="16"/>
    </row>
    <row r="138" spans="1:40" s="17" customFormat="1" x14ac:dyDescent="0.2">
      <c r="A138" s="15"/>
      <c r="B138" s="14"/>
      <c r="C138" s="14"/>
      <c r="D138" s="14"/>
      <c r="E138" s="3"/>
      <c r="F138" s="3"/>
      <c r="G138" s="3"/>
      <c r="H138" s="5"/>
      <c r="K138" s="23"/>
      <c r="N138" s="3"/>
      <c r="Q138" s="23"/>
      <c r="S138" s="21"/>
      <c r="T138" s="21"/>
      <c r="X138" s="23"/>
      <c r="Y138" s="3"/>
      <c r="Z138" s="20"/>
      <c r="AA138" s="20"/>
      <c r="AB138" s="26"/>
      <c r="AC138" s="26"/>
      <c r="AD138" s="3"/>
      <c r="AE138" s="3"/>
      <c r="AF138" s="3"/>
      <c r="AL138" s="24"/>
      <c r="AM138" s="16"/>
      <c r="AN138" s="16"/>
    </row>
    <row r="139" spans="1:40" s="17" customFormat="1" x14ac:dyDescent="0.2">
      <c r="A139" s="15"/>
      <c r="B139" s="14"/>
      <c r="C139" s="14"/>
      <c r="D139" s="14"/>
      <c r="E139" s="3"/>
      <c r="F139" s="3"/>
      <c r="G139" s="3"/>
      <c r="H139" s="5"/>
      <c r="K139" s="23"/>
      <c r="N139" s="3"/>
      <c r="Q139" s="23"/>
      <c r="S139" s="21"/>
      <c r="T139" s="21"/>
      <c r="X139" s="23"/>
      <c r="Y139" s="3"/>
      <c r="Z139" s="20"/>
      <c r="AA139" s="20"/>
      <c r="AB139" s="26"/>
      <c r="AC139" s="26"/>
      <c r="AD139" s="3"/>
      <c r="AE139" s="3"/>
      <c r="AF139" s="3"/>
      <c r="AL139" s="24"/>
      <c r="AM139" s="16"/>
      <c r="AN139" s="16"/>
    </row>
    <row r="140" spans="1:40" s="17" customFormat="1" x14ac:dyDescent="0.2">
      <c r="A140" s="15"/>
      <c r="B140" s="14"/>
      <c r="C140" s="14"/>
      <c r="D140" s="14"/>
      <c r="E140" s="3"/>
      <c r="F140" s="3"/>
      <c r="G140" s="3"/>
      <c r="H140" s="5"/>
      <c r="K140" s="23"/>
      <c r="N140" s="3"/>
      <c r="Q140" s="23"/>
      <c r="S140" s="3"/>
      <c r="T140" s="3"/>
      <c r="X140" s="23"/>
      <c r="Y140" s="3"/>
      <c r="Z140" s="20"/>
      <c r="AA140" s="20"/>
      <c r="AB140" s="26"/>
      <c r="AC140" s="26"/>
      <c r="AD140" s="3"/>
      <c r="AE140" s="3"/>
      <c r="AF140" s="3"/>
      <c r="AL140" s="24"/>
      <c r="AM140" s="16"/>
      <c r="AN140" s="16"/>
    </row>
    <row r="141" spans="1:40" s="17" customFormat="1" x14ac:dyDescent="0.2">
      <c r="A141" s="15"/>
      <c r="B141" s="14"/>
      <c r="C141" s="14"/>
      <c r="D141" s="14"/>
      <c r="E141" s="3"/>
      <c r="F141" s="3"/>
      <c r="G141" s="3"/>
      <c r="H141" s="5"/>
      <c r="K141" s="23"/>
      <c r="N141" s="3"/>
      <c r="Q141" s="23"/>
      <c r="S141" s="3"/>
      <c r="T141" s="3"/>
      <c r="X141" s="23"/>
      <c r="Y141" s="3"/>
      <c r="Z141" s="20"/>
      <c r="AA141" s="20"/>
      <c r="AB141" s="26"/>
      <c r="AC141" s="26"/>
      <c r="AD141" s="3"/>
      <c r="AE141" s="3"/>
      <c r="AF141" s="3"/>
      <c r="AL141" s="24"/>
      <c r="AM141" s="16"/>
      <c r="AN141" s="16"/>
    </row>
    <row r="142" spans="1:40" s="17" customFormat="1" x14ac:dyDescent="0.2">
      <c r="A142" s="15"/>
      <c r="B142" s="14"/>
      <c r="C142" s="14"/>
      <c r="D142" s="14"/>
      <c r="E142" s="3"/>
      <c r="F142" s="3"/>
      <c r="G142" s="3"/>
      <c r="H142" s="5"/>
      <c r="K142" s="23"/>
      <c r="N142" s="3"/>
      <c r="Q142" s="23"/>
      <c r="S142" s="3"/>
      <c r="T142" s="3"/>
      <c r="X142" s="23"/>
      <c r="Y142" s="3"/>
      <c r="Z142" s="20"/>
      <c r="AA142" s="20"/>
      <c r="AB142" s="26"/>
      <c r="AC142" s="26"/>
      <c r="AD142" s="3"/>
      <c r="AE142" s="3"/>
      <c r="AF142" s="3"/>
      <c r="AL142" s="24"/>
      <c r="AM142" s="16"/>
      <c r="AN142" s="16"/>
    </row>
    <row r="143" spans="1:40" s="17" customFormat="1" x14ac:dyDescent="0.2">
      <c r="A143" s="15"/>
      <c r="B143" s="14"/>
      <c r="C143" s="14"/>
      <c r="D143" s="14"/>
      <c r="E143" s="3"/>
      <c r="F143" s="3"/>
      <c r="G143" s="3"/>
      <c r="H143" s="5"/>
      <c r="K143" s="23"/>
      <c r="N143" s="3"/>
      <c r="Q143" s="23"/>
      <c r="S143" s="3"/>
      <c r="T143" s="3"/>
      <c r="X143" s="23"/>
      <c r="Y143" s="3"/>
      <c r="Z143" s="20"/>
      <c r="AA143" s="20"/>
      <c r="AB143" s="26"/>
      <c r="AC143" s="26"/>
      <c r="AD143" s="3"/>
      <c r="AE143" s="3"/>
      <c r="AF143" s="3"/>
      <c r="AL143" s="24"/>
      <c r="AM143" s="16"/>
      <c r="AN143" s="16"/>
    </row>
  </sheetData>
  <mergeCells count="5">
    <mergeCell ref="S2:T2"/>
    <mergeCell ref="AD4:AD8"/>
    <mergeCell ref="H8:M8"/>
    <mergeCell ref="N8:R8"/>
    <mergeCell ref="S8:AC8"/>
  </mergeCells>
  <conditionalFormatting sqref="AD113:AF113 U100:X101 Z100:AC101 AG100:AL101 O100:Q101 N23:N26 S11:T19 F100:M101 H89:H95 N28:N85 AD11:AE85 Y11:Y85 S89:T103 N88:N101 AD88:AF103 Y88:Y103 F11:G99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</cp:lastModifiedBy>
  <cp:lastPrinted>2023-04-17T11:48:23Z</cp:lastPrinted>
  <dcterms:created xsi:type="dcterms:W3CDTF">1996-10-08T23:32:33Z</dcterms:created>
  <dcterms:modified xsi:type="dcterms:W3CDTF">2025-05-14T15:32:43Z</dcterms:modified>
</cp:coreProperties>
</file>